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2025-1-0485-P01揽秀南街住宅、车位--门总\"/>
    </mc:Choice>
  </mc:AlternateContent>
  <xr:revisionPtr revIDLastSave="0" documentId="13_ncr:1_{A7249599-681B-48C3-8AE2-59C067A2F80F}" xr6:coauthVersionLast="47" xr6:coauthVersionMax="47" xr10:uidLastSave="{00000000-0000-0000-0000-000000000000}"/>
  <bookViews>
    <workbookView xWindow="-108" yWindow="-108" windowWidth="20376" windowHeight="12216"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住宅" sheetId="9" r:id="rId18"/>
    <sheet name="成本法 (元)" sheetId="69" state="hidden" r:id="rId19"/>
    <sheet name="假设开发法" sheetId="12" state="hidden" r:id="rId20"/>
    <sheet name="比较法-住宅" sheetId="21" r:id="rId21"/>
    <sheet name="成本法-住宅" sheetId="68" r:id="rId22"/>
    <sheet name="土地比较法-住宅、综合" sheetId="39" r:id="rId23"/>
    <sheet name="典型户型修正" sheetId="31" r:id="rId24"/>
    <sheet name="土地比较法案例-中指" sheetId="90" r:id="rId25"/>
    <sheet name="土地案例1" sheetId="91" r:id="rId26"/>
    <sheet name="土地案例2" sheetId="92" r:id="rId27"/>
    <sheet name="土地案例3" sheetId="93" r:id="rId28"/>
    <sheet name="收益法-酒店模型" sheetId="77" state="hidden" r:id="rId29"/>
    <sheet name="收益法（汇总）" sheetId="70" state="hidden" r:id="rId30"/>
    <sheet name="比较法-商业" sheetId="33" state="hidden" r:id="rId31"/>
    <sheet name="比较法-办公" sheetId="34" state="hidden" r:id="rId32"/>
    <sheet name="比较法-工业" sheetId="37" state="hidden" r:id="rId33"/>
    <sheet name="结果表 -车位" sheetId="85" r:id="rId34"/>
    <sheet name="比较法-车位" sheetId="35" r:id="rId35"/>
    <sheet name="收益法 (元)" sheetId="67" r:id="rId36"/>
    <sheet name="典型户型修正-车位" sheetId="95" r:id="rId37"/>
    <sheet name="产权证信息" sheetId="96" r:id="rId38"/>
    <sheet name="住宅面积信息" sheetId="80" r:id="rId39"/>
    <sheet name="车位面积信息" sheetId="94" r:id="rId40"/>
    <sheet name="中指成交案例" sheetId="81" r:id="rId41"/>
    <sheet name="售价案例" sheetId="84" r:id="rId42"/>
    <sheet name="住宅租金案例" sheetId="89" r:id="rId43"/>
    <sheet name="Sheet7" sheetId="86" r:id="rId44"/>
    <sheet name="基准地价修正-住宅" sheetId="43" r:id="rId45"/>
    <sheet name="成本法-车位" sheetId="88" r:id="rId46"/>
    <sheet name="基准地价修正-车位" sheetId="87" r:id="rId47"/>
    <sheet name="比较法-仓储" sheetId="36" state="hidden" r:id="rId48"/>
    <sheet name="土地比较法-工业" sheetId="40" state="hidden" r:id="rId49"/>
    <sheet name="收益法-住宅" sheetId="15" r:id="rId50"/>
    <sheet name="收益法 （车位）" sheetId="83" r:id="rId51"/>
    <sheet name="基准地价（汇总）" sheetId="76" state="hidden" r:id="rId52"/>
    <sheet name="修正" sheetId="45" state="hidden" r:id="rId53"/>
    <sheet name="容积率修正" sheetId="46" r:id="rId54"/>
    <sheet name="成本法（废）" sheetId="11" state="hidden" r:id="rId55"/>
    <sheet name="因素修正幅度" sheetId="65" state="hidden" r:id="rId56"/>
    <sheet name="区片价（范围）" sheetId="75" state="hidden" r:id="rId57"/>
    <sheet name="地价-分区" sheetId="79" r:id="rId58"/>
    <sheet name="地价" sheetId="71" r:id="rId59"/>
    <sheet name="区片价" sheetId="44" r:id="rId60"/>
    <sheet name="存贷款利率" sheetId="73" r:id="rId61"/>
  </sheets>
  <externalReferences>
    <externalReference r:id="rId62"/>
  </externalReferences>
  <definedNames>
    <definedName name="_xlnm._FilterDatabase" localSheetId="31" hidden="1">'比较法-办公'!$A$1:$L$50</definedName>
    <definedName name="_xlnm._FilterDatabase" localSheetId="47"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0" hidden="1">'比较法-住宅'!$A$1:$L$49</definedName>
    <definedName name="_xlnm._FilterDatabase" localSheetId="39" hidden="1">车位面积信息!$A$1:$L$1149</definedName>
    <definedName name="_xlnm._FilterDatabase" localSheetId="12" hidden="1">'数据-基础表'!$A$12:$AT$587</definedName>
    <definedName name="_xlnm._FilterDatabase" localSheetId="48"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47">'比较法-仓储'!$A$1:$K$42,'比较法-仓储'!$A$45:$M$96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0">'比较法-住宅'!$A$1:$K$54,'比较法-住宅'!$A$57:$M$131</definedName>
    <definedName name="_xlnm.Print_Area" localSheetId="18">'成本法 (元)'!$A$1:$G$57</definedName>
    <definedName name="_xlnm.Print_Area" localSheetId="45">'成本法-车位'!$A$1:$G$57</definedName>
    <definedName name="_xlnm.Print_Area" localSheetId="21">'成本法-住宅'!$A$1:$G$57</definedName>
    <definedName name="_xlnm.Print_Area" localSheetId="15">估价对象房地状况!$A$1:$G$24</definedName>
    <definedName name="_xlnm.Print_Area" localSheetId="8">估价师及机构信息!$A$1:$G$22</definedName>
    <definedName name="_xlnm.Print_Area" localSheetId="51">'基准地价（汇总）'!$A$1:$E$13</definedName>
    <definedName name="_xlnm.Print_Area" localSheetId="46">'基准地价修正-车位'!$A$1:$J$44,'基准地价修正-车位'!$A$47:$H$101,'基准地价修正-车位'!$R$1:$V$16</definedName>
    <definedName name="_xlnm.Print_Area" localSheetId="44">'基准地价修正-住宅'!$A$1:$J$44,'基准地价修正-住宅'!$A$47:$H$101,'基准地价修正-住宅'!$R$1:$V$16</definedName>
    <definedName name="_xlnm.Print_Area" localSheetId="19">假设开发法!$A$1:$K$32</definedName>
    <definedName name="_xlnm.Print_Area" localSheetId="33">'结果表 -车位'!$A$1:$I$127</definedName>
    <definedName name="_xlnm.Print_Area" localSheetId="17">'结果表-住宅'!$A$1:$I$127</definedName>
    <definedName name="_xlnm.Print_Area" localSheetId="50">'收益法 （车位）'!$A$1:$F$43,'收益法 （车位）'!$H$3:$M$29,'收益法 （车位）'!$A$46:$F$71,'收益法 （车位）'!$I$46:$N$65</definedName>
    <definedName name="_xlnm.Print_Area" localSheetId="35">'收益法 (元)'!$A$1:$F$43,'收益法 (元)'!$H$3:$M$29,'收益法 (元)'!$A$45:$F$71,'收益法 (元)'!$I$46:$N$65</definedName>
    <definedName name="_xlnm.Print_Area" localSheetId="29">'收益法（汇总）'!$A$1:$F$13</definedName>
    <definedName name="_xlnm.Print_Area" localSheetId="49">'收益法-住宅'!$A$1:$F$43,'收益法-住宅'!$H$3:$M$29,'收益法-住宅'!$A$46:$F$71,'收益法-住宅'!$I$46:$N$65</definedName>
    <definedName name="_xlnm.Print_Area" localSheetId="13">'数据-汇总表'!$A$1:$P$32</definedName>
    <definedName name="_xlnm.Print_Area" localSheetId="48">'土地比较法-工业'!$A$1:$K$61,'土地比较法-工业'!$A$64:$M$121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6">'基准地价修正-车位'!$Q$19:$AD$19</definedName>
    <definedName name="季度">'基准地价修正-住宅'!$Q$19:$AD$19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 localSheetId="36">'典型户型修正-车位'!$5:$5</definedName>
    <definedName name="一修多修正项2">典型户型修正!$5:$5</definedName>
    <definedName name="一修多修正项3" localSheetId="36">'典型户型修正-车位'!$7:$7</definedName>
    <definedName name="一修多修正项3">典型户型修正!$7:$7</definedName>
    <definedName name="一修多修正项4" localSheetId="36">'典型户型修正-车位'!$9:$9</definedName>
    <definedName name="一修多修正项4">典型户型修正!$9:$9</definedName>
    <definedName name="一修多修正项5" localSheetId="36">'典型户型修正-车位'!$11:$11</definedName>
    <definedName name="一修多修正项5">典型户型修正!$11:$11</definedName>
    <definedName name="一修多修正项6" localSheetId="36">'典型户型修正-车位'!$13:$13</definedName>
    <definedName name="一修多修正项6">典型户型修正!$13:$13</definedName>
    <definedName name="一修多修正项7" localSheetId="36">'典型户型修正-车位'!$15:$15</definedName>
    <definedName name="一修多修正项7">典型户型修正!$15:$15</definedName>
    <definedName name="一修多修正项8" localSheetId="36">'典型户型修正-车位'!$17:$17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20" i="6" l="1"/>
  <c r="C19" i="6"/>
  <c r="C14" i="3"/>
  <c r="T5" i="95"/>
  <c r="G525" i="95"/>
  <c r="I525" i="95"/>
  <c r="K525" i="95"/>
  <c r="M525" i="95"/>
  <c r="O525" i="95"/>
  <c r="Q525" i="95"/>
  <c r="G526" i="95"/>
  <c r="I526" i="95"/>
  <c r="K526" i="95"/>
  <c r="M526" i="95"/>
  <c r="O526" i="95"/>
  <c r="Q526" i="95"/>
  <c r="G527" i="95"/>
  <c r="I527" i="95"/>
  <c r="K527" i="95"/>
  <c r="M527" i="95"/>
  <c r="O527" i="95"/>
  <c r="Q527" i="95"/>
  <c r="G528" i="95"/>
  <c r="I528" i="95"/>
  <c r="K528" i="95"/>
  <c r="M528" i="95"/>
  <c r="O528" i="95"/>
  <c r="Q528" i="95"/>
  <c r="G529" i="95"/>
  <c r="I529" i="95"/>
  <c r="K529" i="95"/>
  <c r="M529" i="95"/>
  <c r="O529" i="95"/>
  <c r="Q529" i="95"/>
  <c r="G530" i="95"/>
  <c r="I530" i="95"/>
  <c r="K530" i="95"/>
  <c r="M530" i="95"/>
  <c r="O530" i="95"/>
  <c r="Q530" i="95"/>
  <c r="G531" i="95"/>
  <c r="I531" i="95"/>
  <c r="K531" i="95"/>
  <c r="M531" i="95"/>
  <c r="O531" i="95"/>
  <c r="Q531" i="95"/>
  <c r="G532" i="95"/>
  <c r="I532" i="95"/>
  <c r="K532" i="95"/>
  <c r="M532" i="95"/>
  <c r="O532" i="95"/>
  <c r="Q532" i="95"/>
  <c r="G533" i="95"/>
  <c r="I533" i="95"/>
  <c r="K533" i="95"/>
  <c r="M533" i="95"/>
  <c r="O533" i="95"/>
  <c r="Q533" i="95"/>
  <c r="G534" i="95"/>
  <c r="I534" i="95"/>
  <c r="K534" i="95"/>
  <c r="M534" i="95"/>
  <c r="O534" i="95"/>
  <c r="Q534" i="95"/>
  <c r="G535" i="95"/>
  <c r="I535" i="95"/>
  <c r="K535" i="95"/>
  <c r="M535" i="95"/>
  <c r="O535" i="95"/>
  <c r="Q535" i="95"/>
  <c r="G536" i="95"/>
  <c r="I536" i="95"/>
  <c r="K536" i="95"/>
  <c r="M536" i="95"/>
  <c r="O536" i="95"/>
  <c r="Q536" i="95"/>
  <c r="G537" i="95"/>
  <c r="I537" i="95"/>
  <c r="K537" i="95"/>
  <c r="M537" i="95"/>
  <c r="O537" i="95"/>
  <c r="Q537" i="95"/>
  <c r="G538" i="95"/>
  <c r="I538" i="95"/>
  <c r="K538" i="95"/>
  <c r="M538" i="95"/>
  <c r="O538" i="95"/>
  <c r="Q538" i="95"/>
  <c r="G539" i="95"/>
  <c r="I539" i="95"/>
  <c r="K539" i="95"/>
  <c r="M539" i="95"/>
  <c r="O539" i="95"/>
  <c r="Q539" i="95"/>
  <c r="G540" i="95"/>
  <c r="I540" i="95"/>
  <c r="K540" i="95"/>
  <c r="M540" i="95"/>
  <c r="O540" i="95"/>
  <c r="Q540" i="95"/>
  <c r="G541" i="95"/>
  <c r="I541" i="95"/>
  <c r="K541" i="95"/>
  <c r="M541" i="95"/>
  <c r="O541" i="95"/>
  <c r="Q541" i="95"/>
  <c r="G542" i="95"/>
  <c r="I542" i="95"/>
  <c r="K542" i="95"/>
  <c r="M542" i="95"/>
  <c r="O542" i="95"/>
  <c r="Q542" i="95"/>
  <c r="G543" i="95"/>
  <c r="I543" i="95"/>
  <c r="K543" i="95"/>
  <c r="M543" i="95"/>
  <c r="O543" i="95"/>
  <c r="Q543" i="95"/>
  <c r="G544" i="95"/>
  <c r="I544" i="95"/>
  <c r="K544" i="95"/>
  <c r="M544" i="95"/>
  <c r="O544" i="95"/>
  <c r="Q544" i="95"/>
  <c r="G545" i="95"/>
  <c r="I545" i="95"/>
  <c r="K545" i="95"/>
  <c r="M545" i="95"/>
  <c r="O545" i="95"/>
  <c r="Q545" i="95"/>
  <c r="G546" i="95"/>
  <c r="I546" i="95"/>
  <c r="K546" i="95"/>
  <c r="M546" i="95"/>
  <c r="O546" i="95"/>
  <c r="Q546" i="95"/>
  <c r="G547" i="95"/>
  <c r="I547" i="95"/>
  <c r="K547" i="95"/>
  <c r="M547" i="95"/>
  <c r="O547" i="95"/>
  <c r="Q547" i="95"/>
  <c r="G548" i="95"/>
  <c r="I548" i="95"/>
  <c r="K548" i="95"/>
  <c r="M548" i="95"/>
  <c r="O548" i="95"/>
  <c r="Q548" i="95"/>
  <c r="G549" i="95"/>
  <c r="I549" i="95"/>
  <c r="K549" i="95"/>
  <c r="M549" i="95"/>
  <c r="O549" i="95"/>
  <c r="Q549" i="95"/>
  <c r="G550" i="95"/>
  <c r="I550" i="95"/>
  <c r="K550" i="95"/>
  <c r="M550" i="95"/>
  <c r="O550" i="95"/>
  <c r="Q550" i="95"/>
  <c r="G551" i="95"/>
  <c r="I551" i="95"/>
  <c r="K551" i="95"/>
  <c r="M551" i="95"/>
  <c r="O551" i="95"/>
  <c r="Q551" i="95"/>
  <c r="G552" i="95"/>
  <c r="I552" i="95"/>
  <c r="K552" i="95"/>
  <c r="M552" i="95"/>
  <c r="O552" i="95"/>
  <c r="Q552" i="95"/>
  <c r="G553" i="95"/>
  <c r="I553" i="95"/>
  <c r="K553" i="95"/>
  <c r="M553" i="95"/>
  <c r="O553" i="95"/>
  <c r="Q553" i="95"/>
  <c r="G554" i="95"/>
  <c r="I554" i="95"/>
  <c r="K554" i="95"/>
  <c r="M554" i="95"/>
  <c r="O554" i="95"/>
  <c r="Q554" i="95"/>
  <c r="G555" i="95"/>
  <c r="I555" i="95"/>
  <c r="K555" i="95"/>
  <c r="M555" i="95"/>
  <c r="O555" i="95"/>
  <c r="Q555" i="95"/>
  <c r="G556" i="95"/>
  <c r="I556" i="95"/>
  <c r="K556" i="95"/>
  <c r="M556" i="95"/>
  <c r="O556" i="95"/>
  <c r="Q556" i="95"/>
  <c r="G557" i="95"/>
  <c r="I557" i="95"/>
  <c r="K557" i="95"/>
  <c r="M557" i="95"/>
  <c r="O557" i="95"/>
  <c r="Q557" i="95"/>
  <c r="G558" i="95"/>
  <c r="I558" i="95"/>
  <c r="K558" i="95"/>
  <c r="M558" i="95"/>
  <c r="O558" i="95"/>
  <c r="Q558" i="95"/>
  <c r="G559" i="95"/>
  <c r="I559" i="95"/>
  <c r="K559" i="95"/>
  <c r="M559" i="95"/>
  <c r="O559" i="95"/>
  <c r="Q559" i="95"/>
  <c r="G560" i="95"/>
  <c r="I560" i="95"/>
  <c r="K560" i="95"/>
  <c r="M560" i="95"/>
  <c r="O560" i="95"/>
  <c r="Q560" i="95"/>
  <c r="G561" i="95"/>
  <c r="I561" i="95"/>
  <c r="K561" i="95"/>
  <c r="M561" i="95"/>
  <c r="O561" i="95"/>
  <c r="Q561" i="95"/>
  <c r="G562" i="95"/>
  <c r="I562" i="95"/>
  <c r="K562" i="95"/>
  <c r="M562" i="95"/>
  <c r="O562" i="95"/>
  <c r="Q562" i="95"/>
  <c r="G563" i="95"/>
  <c r="I563" i="95"/>
  <c r="K563" i="95"/>
  <c r="M563" i="95"/>
  <c r="O563" i="95"/>
  <c r="Q563" i="95"/>
  <c r="G564" i="95"/>
  <c r="I564" i="95"/>
  <c r="K564" i="95"/>
  <c r="M564" i="95"/>
  <c r="O564" i="95"/>
  <c r="Q564" i="95"/>
  <c r="G565" i="95"/>
  <c r="I565" i="95"/>
  <c r="K565" i="95"/>
  <c r="M565" i="95"/>
  <c r="O565" i="95"/>
  <c r="Q565" i="95"/>
  <c r="G566" i="95"/>
  <c r="I566" i="95"/>
  <c r="K566" i="95"/>
  <c r="M566" i="95"/>
  <c r="O566" i="95"/>
  <c r="Q566" i="95"/>
  <c r="G567" i="95"/>
  <c r="I567" i="95"/>
  <c r="K567" i="95"/>
  <c r="M567" i="95"/>
  <c r="O567" i="95"/>
  <c r="Q567" i="95"/>
  <c r="G568" i="95"/>
  <c r="I568" i="95"/>
  <c r="K568" i="95"/>
  <c r="M568" i="95"/>
  <c r="O568" i="95"/>
  <c r="Q568" i="95"/>
  <c r="G569" i="95"/>
  <c r="I569" i="95"/>
  <c r="K569" i="95"/>
  <c r="M569" i="95"/>
  <c r="O569" i="95"/>
  <c r="Q569" i="95"/>
  <c r="G570" i="95"/>
  <c r="I570" i="95"/>
  <c r="K570" i="95"/>
  <c r="M570" i="95"/>
  <c r="O570" i="95"/>
  <c r="Q570" i="95"/>
  <c r="G571" i="95"/>
  <c r="I571" i="95"/>
  <c r="K571" i="95"/>
  <c r="M571" i="95"/>
  <c r="O571" i="95"/>
  <c r="Q571" i="95"/>
  <c r="G572" i="95"/>
  <c r="I572" i="95"/>
  <c r="K572" i="95"/>
  <c r="M572" i="95"/>
  <c r="O572" i="95"/>
  <c r="Q572" i="95"/>
  <c r="G573" i="95"/>
  <c r="I573" i="95"/>
  <c r="K573" i="95"/>
  <c r="M573" i="95"/>
  <c r="O573" i="95"/>
  <c r="Q573" i="95"/>
  <c r="G574" i="95"/>
  <c r="I574" i="95"/>
  <c r="K574" i="95"/>
  <c r="M574" i="95"/>
  <c r="O574" i="95"/>
  <c r="Q574" i="95"/>
  <c r="G575" i="95"/>
  <c r="I575" i="95"/>
  <c r="K575" i="95"/>
  <c r="M575" i="95"/>
  <c r="O575" i="95"/>
  <c r="Q575" i="95"/>
  <c r="G576" i="95"/>
  <c r="I576" i="95"/>
  <c r="K576" i="95"/>
  <c r="M576" i="95"/>
  <c r="O576" i="95"/>
  <c r="Q576" i="95"/>
  <c r="G577" i="95"/>
  <c r="I577" i="95"/>
  <c r="K577" i="95"/>
  <c r="M577" i="95"/>
  <c r="O577" i="95"/>
  <c r="Q577" i="95"/>
  <c r="G578" i="95"/>
  <c r="I578" i="95"/>
  <c r="K578" i="95"/>
  <c r="M578" i="95"/>
  <c r="O578" i="95"/>
  <c r="Q578" i="95"/>
  <c r="G579" i="95"/>
  <c r="I579" i="95"/>
  <c r="K579" i="95"/>
  <c r="M579" i="95"/>
  <c r="O579" i="95"/>
  <c r="Q579" i="95"/>
  <c r="G580" i="95"/>
  <c r="I580" i="95"/>
  <c r="K580" i="95"/>
  <c r="M580" i="95"/>
  <c r="O580" i="95"/>
  <c r="Q580" i="95"/>
  <c r="G581" i="95"/>
  <c r="I581" i="95"/>
  <c r="K581" i="95"/>
  <c r="M581" i="95"/>
  <c r="O581" i="95"/>
  <c r="Q581" i="95"/>
  <c r="G582" i="95"/>
  <c r="I582" i="95"/>
  <c r="K582" i="95"/>
  <c r="M582" i="95"/>
  <c r="O582" i="95"/>
  <c r="Q582" i="95"/>
  <c r="G583" i="95"/>
  <c r="I583" i="95"/>
  <c r="K583" i="95"/>
  <c r="M583" i="95"/>
  <c r="O583" i="95"/>
  <c r="Q583" i="95"/>
  <c r="G584" i="95"/>
  <c r="I584" i="95"/>
  <c r="K584" i="95"/>
  <c r="M584" i="95"/>
  <c r="O584" i="95"/>
  <c r="Q584" i="95"/>
  <c r="G585" i="95"/>
  <c r="I585" i="95"/>
  <c r="K585" i="95"/>
  <c r="M585" i="95"/>
  <c r="O585" i="95"/>
  <c r="Q585" i="95"/>
  <c r="G586" i="95"/>
  <c r="I586" i="95"/>
  <c r="K586" i="95"/>
  <c r="M586" i="95"/>
  <c r="O586" i="95"/>
  <c r="Q586" i="95"/>
  <c r="G587" i="95"/>
  <c r="I587" i="95"/>
  <c r="K587" i="95"/>
  <c r="M587" i="95"/>
  <c r="O587" i="95"/>
  <c r="Q587" i="95"/>
  <c r="G588" i="95"/>
  <c r="I588" i="95"/>
  <c r="K588" i="95"/>
  <c r="M588" i="95"/>
  <c r="O588" i="95"/>
  <c r="Q588" i="95"/>
  <c r="G589" i="95"/>
  <c r="I589" i="95"/>
  <c r="K589" i="95"/>
  <c r="M589" i="95"/>
  <c r="O589" i="95"/>
  <c r="Q589" i="95"/>
  <c r="G590" i="95"/>
  <c r="I590" i="95"/>
  <c r="K590" i="95"/>
  <c r="M590" i="95"/>
  <c r="O590" i="95"/>
  <c r="Q590" i="95"/>
  <c r="G591" i="95"/>
  <c r="I591" i="95"/>
  <c r="K591" i="95"/>
  <c r="M591" i="95"/>
  <c r="O591" i="95"/>
  <c r="Q591" i="95"/>
  <c r="G592" i="95"/>
  <c r="I592" i="95"/>
  <c r="K592" i="95"/>
  <c r="M592" i="95"/>
  <c r="O592" i="95"/>
  <c r="Q592" i="95"/>
  <c r="G593" i="95"/>
  <c r="I593" i="95"/>
  <c r="K593" i="95"/>
  <c r="M593" i="95"/>
  <c r="O593" i="95"/>
  <c r="Q593" i="95"/>
  <c r="G594" i="95"/>
  <c r="I594" i="95"/>
  <c r="K594" i="95"/>
  <c r="M594" i="95"/>
  <c r="O594" i="95"/>
  <c r="Q594" i="95"/>
  <c r="G595" i="95"/>
  <c r="I595" i="95"/>
  <c r="K595" i="95"/>
  <c r="M595" i="95"/>
  <c r="O595" i="95"/>
  <c r="Q595" i="95"/>
  <c r="G596" i="95"/>
  <c r="I596" i="95"/>
  <c r="K596" i="95"/>
  <c r="M596" i="95"/>
  <c r="O596" i="95"/>
  <c r="Q596" i="95"/>
  <c r="G597" i="95"/>
  <c r="I597" i="95"/>
  <c r="K597" i="95"/>
  <c r="M597" i="95"/>
  <c r="O597" i="95"/>
  <c r="Q597" i="95"/>
  <c r="G598" i="95"/>
  <c r="I598" i="95"/>
  <c r="K598" i="95"/>
  <c r="M598" i="95"/>
  <c r="O598" i="95"/>
  <c r="Q598" i="95"/>
  <c r="G599" i="95"/>
  <c r="I599" i="95"/>
  <c r="K599" i="95"/>
  <c r="M599" i="95"/>
  <c r="O599" i="95"/>
  <c r="Q599" i="95"/>
  <c r="G600" i="95"/>
  <c r="I600" i="95"/>
  <c r="K600" i="95"/>
  <c r="M600" i="95"/>
  <c r="O600" i="95"/>
  <c r="Q600" i="95"/>
  <c r="G601" i="95"/>
  <c r="I601" i="95"/>
  <c r="K601" i="95"/>
  <c r="M601" i="95"/>
  <c r="O601" i="95"/>
  <c r="Q601" i="95"/>
  <c r="G602" i="95"/>
  <c r="I602" i="95"/>
  <c r="K602" i="95"/>
  <c r="M602" i="95"/>
  <c r="O602" i="95"/>
  <c r="Q602" i="95"/>
  <c r="G603" i="95"/>
  <c r="I603" i="95"/>
  <c r="K603" i="95"/>
  <c r="M603" i="95"/>
  <c r="O603" i="95"/>
  <c r="Q603" i="95"/>
  <c r="G604" i="95"/>
  <c r="I604" i="95"/>
  <c r="K604" i="95"/>
  <c r="M604" i="95"/>
  <c r="O604" i="95"/>
  <c r="Q604" i="95"/>
  <c r="G605" i="95"/>
  <c r="I605" i="95"/>
  <c r="K605" i="95"/>
  <c r="M605" i="95"/>
  <c r="O605" i="95"/>
  <c r="Q605" i="95"/>
  <c r="G606" i="95"/>
  <c r="I606" i="95"/>
  <c r="K606" i="95"/>
  <c r="M606" i="95"/>
  <c r="O606" i="95"/>
  <c r="Q606" i="95"/>
  <c r="G607" i="95"/>
  <c r="I607" i="95"/>
  <c r="K607" i="95"/>
  <c r="M607" i="95"/>
  <c r="O607" i="95"/>
  <c r="Q607" i="95"/>
  <c r="G608" i="95"/>
  <c r="I608" i="95"/>
  <c r="K608" i="95"/>
  <c r="M608" i="95"/>
  <c r="O608" i="95"/>
  <c r="Q608" i="95"/>
  <c r="G609" i="95"/>
  <c r="I609" i="95"/>
  <c r="K609" i="95"/>
  <c r="M609" i="95"/>
  <c r="O609" i="95"/>
  <c r="Q609" i="95"/>
  <c r="G610" i="95"/>
  <c r="I610" i="95"/>
  <c r="K610" i="95"/>
  <c r="M610" i="95"/>
  <c r="O610" i="95"/>
  <c r="Q610" i="95"/>
  <c r="G611" i="95"/>
  <c r="I611" i="95"/>
  <c r="K611" i="95"/>
  <c r="M611" i="95"/>
  <c r="O611" i="95"/>
  <c r="Q611" i="95"/>
  <c r="G612" i="95"/>
  <c r="I612" i="95"/>
  <c r="K612" i="95"/>
  <c r="M612" i="95"/>
  <c r="O612" i="95"/>
  <c r="Q612" i="95"/>
  <c r="G613" i="95"/>
  <c r="I613" i="95"/>
  <c r="K613" i="95"/>
  <c r="M613" i="95"/>
  <c r="O613" i="95"/>
  <c r="Q613" i="95"/>
  <c r="G614" i="95"/>
  <c r="I614" i="95"/>
  <c r="K614" i="95"/>
  <c r="M614" i="95"/>
  <c r="O614" i="95"/>
  <c r="Q614" i="95"/>
  <c r="G615" i="95"/>
  <c r="I615" i="95"/>
  <c r="K615" i="95"/>
  <c r="M615" i="95"/>
  <c r="O615" i="95"/>
  <c r="Q615" i="95"/>
  <c r="G616" i="95"/>
  <c r="I616" i="95"/>
  <c r="K616" i="95"/>
  <c r="M616" i="95"/>
  <c r="O616" i="95"/>
  <c r="Q616" i="95"/>
  <c r="G617" i="95"/>
  <c r="I617" i="95"/>
  <c r="K617" i="95"/>
  <c r="M617" i="95"/>
  <c r="O617" i="95"/>
  <c r="Q617" i="95"/>
  <c r="G618" i="95"/>
  <c r="I618" i="95"/>
  <c r="K618" i="95"/>
  <c r="M618" i="95"/>
  <c r="O618" i="95"/>
  <c r="Q618" i="95"/>
  <c r="G619" i="95"/>
  <c r="I619" i="95"/>
  <c r="K619" i="95"/>
  <c r="M619" i="95"/>
  <c r="O619" i="95"/>
  <c r="Q619" i="95"/>
  <c r="G620" i="95"/>
  <c r="I620" i="95"/>
  <c r="K620" i="95"/>
  <c r="M620" i="95"/>
  <c r="O620" i="95"/>
  <c r="Q620" i="95"/>
  <c r="G621" i="95"/>
  <c r="I621" i="95"/>
  <c r="K621" i="95"/>
  <c r="M621" i="95"/>
  <c r="O621" i="95"/>
  <c r="Q621" i="95"/>
  <c r="G622" i="95"/>
  <c r="I622" i="95"/>
  <c r="K622" i="95"/>
  <c r="M622" i="95"/>
  <c r="O622" i="95"/>
  <c r="Q622" i="95"/>
  <c r="G623" i="95"/>
  <c r="I623" i="95"/>
  <c r="K623" i="95"/>
  <c r="M623" i="95"/>
  <c r="O623" i="95"/>
  <c r="Q623" i="95"/>
  <c r="G624" i="95"/>
  <c r="I624" i="95"/>
  <c r="K624" i="95"/>
  <c r="M624" i="95"/>
  <c r="O624" i="95"/>
  <c r="Q624" i="95"/>
  <c r="G625" i="95"/>
  <c r="I625" i="95"/>
  <c r="K625" i="95"/>
  <c r="M625" i="95"/>
  <c r="O625" i="95"/>
  <c r="Q625" i="95"/>
  <c r="G626" i="95"/>
  <c r="I626" i="95"/>
  <c r="K626" i="95"/>
  <c r="M626" i="95"/>
  <c r="O626" i="95"/>
  <c r="Q626" i="95"/>
  <c r="G627" i="95"/>
  <c r="I627" i="95"/>
  <c r="K627" i="95"/>
  <c r="M627" i="95"/>
  <c r="O627" i="95"/>
  <c r="Q627" i="95"/>
  <c r="G628" i="95"/>
  <c r="I628" i="95"/>
  <c r="K628" i="95"/>
  <c r="M628" i="95"/>
  <c r="O628" i="95"/>
  <c r="Q628" i="95"/>
  <c r="G629" i="95"/>
  <c r="I629" i="95"/>
  <c r="K629" i="95"/>
  <c r="M629" i="95"/>
  <c r="O629" i="95"/>
  <c r="Q629" i="95"/>
  <c r="G630" i="95"/>
  <c r="I630" i="95"/>
  <c r="K630" i="95"/>
  <c r="M630" i="95"/>
  <c r="O630" i="95"/>
  <c r="Q630" i="95"/>
  <c r="G631" i="95"/>
  <c r="I631" i="95"/>
  <c r="K631" i="95"/>
  <c r="M631" i="95"/>
  <c r="O631" i="95"/>
  <c r="Q631" i="95"/>
  <c r="G632" i="95"/>
  <c r="I632" i="95"/>
  <c r="K632" i="95"/>
  <c r="M632" i="95"/>
  <c r="O632" i="95"/>
  <c r="Q632" i="95"/>
  <c r="G633" i="95"/>
  <c r="I633" i="95"/>
  <c r="K633" i="95"/>
  <c r="M633" i="95"/>
  <c r="O633" i="95"/>
  <c r="Q633" i="95"/>
  <c r="G634" i="95"/>
  <c r="I634" i="95"/>
  <c r="K634" i="95"/>
  <c r="M634" i="95"/>
  <c r="O634" i="95"/>
  <c r="Q634" i="95"/>
  <c r="G635" i="95"/>
  <c r="I635" i="95"/>
  <c r="K635" i="95"/>
  <c r="M635" i="95"/>
  <c r="O635" i="95"/>
  <c r="Q635" i="95"/>
  <c r="G636" i="95"/>
  <c r="I636" i="95"/>
  <c r="K636" i="95"/>
  <c r="M636" i="95"/>
  <c r="O636" i="95"/>
  <c r="Q636" i="95"/>
  <c r="G637" i="95"/>
  <c r="I637" i="95"/>
  <c r="K637" i="95"/>
  <c r="M637" i="95"/>
  <c r="O637" i="95"/>
  <c r="Q637" i="95"/>
  <c r="G638" i="95"/>
  <c r="I638" i="95"/>
  <c r="K638" i="95"/>
  <c r="M638" i="95"/>
  <c r="O638" i="95"/>
  <c r="Q638" i="95"/>
  <c r="G639" i="95"/>
  <c r="I639" i="95"/>
  <c r="K639" i="95"/>
  <c r="M639" i="95"/>
  <c r="O639" i="95"/>
  <c r="Q639" i="95"/>
  <c r="G640" i="95"/>
  <c r="I640" i="95"/>
  <c r="K640" i="95"/>
  <c r="M640" i="95"/>
  <c r="O640" i="95"/>
  <c r="Q640" i="95"/>
  <c r="G641" i="95"/>
  <c r="I641" i="95"/>
  <c r="K641" i="95"/>
  <c r="M641" i="95"/>
  <c r="O641" i="95"/>
  <c r="Q641" i="95"/>
  <c r="G642" i="95"/>
  <c r="I642" i="95"/>
  <c r="K642" i="95"/>
  <c r="M642" i="95"/>
  <c r="O642" i="95"/>
  <c r="Q642" i="95"/>
  <c r="G643" i="95"/>
  <c r="I643" i="95"/>
  <c r="K643" i="95"/>
  <c r="M643" i="95"/>
  <c r="O643" i="95"/>
  <c r="Q643" i="95"/>
  <c r="G644" i="95"/>
  <c r="I644" i="95"/>
  <c r="K644" i="95"/>
  <c r="M644" i="95"/>
  <c r="O644" i="95"/>
  <c r="Q644" i="95"/>
  <c r="G645" i="95"/>
  <c r="I645" i="95"/>
  <c r="K645" i="95"/>
  <c r="M645" i="95"/>
  <c r="O645" i="95"/>
  <c r="Q645" i="95"/>
  <c r="G646" i="95"/>
  <c r="I646" i="95"/>
  <c r="K646" i="95"/>
  <c r="M646" i="95"/>
  <c r="O646" i="95"/>
  <c r="Q646" i="95"/>
  <c r="G647" i="95"/>
  <c r="I647" i="95"/>
  <c r="K647" i="95"/>
  <c r="M647" i="95"/>
  <c r="O647" i="95"/>
  <c r="Q647" i="95"/>
  <c r="G648" i="95"/>
  <c r="I648" i="95"/>
  <c r="K648" i="95"/>
  <c r="M648" i="95"/>
  <c r="O648" i="95"/>
  <c r="Q648" i="95"/>
  <c r="G649" i="95"/>
  <c r="I649" i="95"/>
  <c r="K649" i="95"/>
  <c r="M649" i="95"/>
  <c r="O649" i="95"/>
  <c r="Q649" i="95"/>
  <c r="G650" i="95"/>
  <c r="I650" i="95"/>
  <c r="K650" i="95"/>
  <c r="M650" i="95"/>
  <c r="O650" i="95"/>
  <c r="Q650" i="95"/>
  <c r="G651" i="95"/>
  <c r="I651" i="95"/>
  <c r="K651" i="95"/>
  <c r="M651" i="95"/>
  <c r="O651" i="95"/>
  <c r="Q651" i="95"/>
  <c r="G652" i="95"/>
  <c r="I652" i="95"/>
  <c r="K652" i="95"/>
  <c r="M652" i="95"/>
  <c r="O652" i="95"/>
  <c r="Q652" i="95"/>
  <c r="G653" i="95"/>
  <c r="I653" i="95"/>
  <c r="K653" i="95"/>
  <c r="M653" i="95"/>
  <c r="O653" i="95"/>
  <c r="Q653" i="95"/>
  <c r="G654" i="95"/>
  <c r="I654" i="95"/>
  <c r="K654" i="95"/>
  <c r="M654" i="95"/>
  <c r="O654" i="95"/>
  <c r="Q654" i="95"/>
  <c r="G655" i="95"/>
  <c r="I655" i="95"/>
  <c r="K655" i="95"/>
  <c r="M655" i="95"/>
  <c r="O655" i="95"/>
  <c r="Q655" i="95"/>
  <c r="G656" i="95"/>
  <c r="I656" i="95"/>
  <c r="K656" i="95"/>
  <c r="M656" i="95"/>
  <c r="O656" i="95"/>
  <c r="Q656" i="95"/>
  <c r="G657" i="95"/>
  <c r="I657" i="95"/>
  <c r="K657" i="95"/>
  <c r="M657" i="95"/>
  <c r="O657" i="95"/>
  <c r="Q657" i="95"/>
  <c r="G658" i="95"/>
  <c r="I658" i="95"/>
  <c r="K658" i="95"/>
  <c r="M658" i="95"/>
  <c r="O658" i="95"/>
  <c r="Q658" i="95"/>
  <c r="G659" i="95"/>
  <c r="I659" i="95"/>
  <c r="K659" i="95"/>
  <c r="M659" i="95"/>
  <c r="O659" i="95"/>
  <c r="Q659" i="95"/>
  <c r="G660" i="95"/>
  <c r="I660" i="95"/>
  <c r="K660" i="95"/>
  <c r="M660" i="95"/>
  <c r="O660" i="95"/>
  <c r="Q660" i="95"/>
  <c r="G661" i="95"/>
  <c r="I661" i="95"/>
  <c r="K661" i="95"/>
  <c r="M661" i="95"/>
  <c r="O661" i="95"/>
  <c r="Q661" i="95"/>
  <c r="G662" i="95"/>
  <c r="I662" i="95"/>
  <c r="K662" i="95"/>
  <c r="M662" i="95"/>
  <c r="O662" i="95"/>
  <c r="Q662" i="95"/>
  <c r="G663" i="95"/>
  <c r="I663" i="95"/>
  <c r="K663" i="95"/>
  <c r="M663" i="95"/>
  <c r="O663" i="95"/>
  <c r="Q663" i="95"/>
  <c r="G664" i="95"/>
  <c r="I664" i="95"/>
  <c r="K664" i="95"/>
  <c r="M664" i="95"/>
  <c r="O664" i="95"/>
  <c r="Q664" i="95"/>
  <c r="G665" i="95"/>
  <c r="I665" i="95"/>
  <c r="K665" i="95"/>
  <c r="M665" i="95"/>
  <c r="O665" i="95"/>
  <c r="Q665" i="95"/>
  <c r="G666" i="95"/>
  <c r="I666" i="95"/>
  <c r="K666" i="95"/>
  <c r="M666" i="95"/>
  <c r="O666" i="95"/>
  <c r="Q666" i="95"/>
  <c r="G667" i="95"/>
  <c r="I667" i="95"/>
  <c r="K667" i="95"/>
  <c r="M667" i="95"/>
  <c r="O667" i="95"/>
  <c r="Q667" i="95"/>
  <c r="G668" i="95"/>
  <c r="I668" i="95"/>
  <c r="K668" i="95"/>
  <c r="M668" i="95"/>
  <c r="O668" i="95"/>
  <c r="Q668" i="95"/>
  <c r="G669" i="95"/>
  <c r="I669" i="95"/>
  <c r="K669" i="95"/>
  <c r="M669" i="95"/>
  <c r="O669" i="95"/>
  <c r="Q669" i="95"/>
  <c r="G670" i="95"/>
  <c r="I670" i="95"/>
  <c r="K670" i="95"/>
  <c r="M670" i="95"/>
  <c r="O670" i="95"/>
  <c r="Q670" i="95"/>
  <c r="G671" i="95"/>
  <c r="I671" i="95"/>
  <c r="K671" i="95"/>
  <c r="M671" i="95"/>
  <c r="O671" i="95"/>
  <c r="Q671" i="95"/>
  <c r="G672" i="95"/>
  <c r="I672" i="95"/>
  <c r="K672" i="95"/>
  <c r="M672" i="95"/>
  <c r="O672" i="95"/>
  <c r="Q672" i="95"/>
  <c r="G673" i="95"/>
  <c r="I673" i="95"/>
  <c r="K673" i="95"/>
  <c r="M673" i="95"/>
  <c r="O673" i="95"/>
  <c r="Q673" i="95"/>
  <c r="G674" i="95"/>
  <c r="I674" i="95"/>
  <c r="K674" i="95"/>
  <c r="M674" i="95"/>
  <c r="O674" i="95"/>
  <c r="Q674" i="95"/>
  <c r="G675" i="95"/>
  <c r="I675" i="95"/>
  <c r="K675" i="95"/>
  <c r="M675" i="95"/>
  <c r="O675" i="95"/>
  <c r="Q675" i="95"/>
  <c r="G676" i="95"/>
  <c r="I676" i="95"/>
  <c r="K676" i="95"/>
  <c r="M676" i="95"/>
  <c r="O676" i="95"/>
  <c r="Q676" i="95"/>
  <c r="G677" i="95"/>
  <c r="I677" i="95"/>
  <c r="K677" i="95"/>
  <c r="M677" i="95"/>
  <c r="O677" i="95"/>
  <c r="Q677" i="95"/>
  <c r="G678" i="95"/>
  <c r="I678" i="95"/>
  <c r="K678" i="95"/>
  <c r="M678" i="95"/>
  <c r="O678" i="95"/>
  <c r="Q678" i="95"/>
  <c r="G679" i="95"/>
  <c r="I679" i="95"/>
  <c r="K679" i="95"/>
  <c r="M679" i="95"/>
  <c r="O679" i="95"/>
  <c r="Q679" i="95"/>
  <c r="G680" i="95"/>
  <c r="I680" i="95"/>
  <c r="K680" i="95"/>
  <c r="M680" i="95"/>
  <c r="O680" i="95"/>
  <c r="Q680" i="95"/>
  <c r="G681" i="95"/>
  <c r="I681" i="95"/>
  <c r="K681" i="95"/>
  <c r="M681" i="95"/>
  <c r="O681" i="95"/>
  <c r="Q681" i="95"/>
  <c r="G682" i="95"/>
  <c r="I682" i="95"/>
  <c r="K682" i="95"/>
  <c r="M682" i="95"/>
  <c r="O682" i="95"/>
  <c r="Q682" i="95"/>
  <c r="G683" i="95"/>
  <c r="I683" i="95"/>
  <c r="K683" i="95"/>
  <c r="M683" i="95"/>
  <c r="O683" i="95"/>
  <c r="Q683" i="95"/>
  <c r="G684" i="95"/>
  <c r="I684" i="95"/>
  <c r="K684" i="95"/>
  <c r="M684" i="95"/>
  <c r="O684" i="95"/>
  <c r="Q684" i="95"/>
  <c r="G685" i="95"/>
  <c r="I685" i="95"/>
  <c r="K685" i="95"/>
  <c r="M685" i="95"/>
  <c r="O685" i="95"/>
  <c r="Q685" i="95"/>
  <c r="G686" i="95"/>
  <c r="I686" i="95"/>
  <c r="K686" i="95"/>
  <c r="M686" i="95"/>
  <c r="O686" i="95"/>
  <c r="Q686" i="95"/>
  <c r="G687" i="95"/>
  <c r="I687" i="95"/>
  <c r="K687" i="95"/>
  <c r="M687" i="95"/>
  <c r="O687" i="95"/>
  <c r="Q687" i="95"/>
  <c r="G688" i="95"/>
  <c r="I688" i="95"/>
  <c r="K688" i="95"/>
  <c r="M688" i="95"/>
  <c r="O688" i="95"/>
  <c r="Q688" i="95"/>
  <c r="G689" i="95"/>
  <c r="I689" i="95"/>
  <c r="K689" i="95"/>
  <c r="M689" i="95"/>
  <c r="O689" i="95"/>
  <c r="Q689" i="95"/>
  <c r="G690" i="95"/>
  <c r="I690" i="95"/>
  <c r="K690" i="95"/>
  <c r="M690" i="95"/>
  <c r="O690" i="95"/>
  <c r="Q690" i="95"/>
  <c r="G691" i="95"/>
  <c r="I691" i="95"/>
  <c r="K691" i="95"/>
  <c r="M691" i="95"/>
  <c r="O691" i="95"/>
  <c r="Q691" i="95"/>
  <c r="G692" i="95"/>
  <c r="I692" i="95"/>
  <c r="K692" i="95"/>
  <c r="M692" i="95"/>
  <c r="O692" i="95"/>
  <c r="Q692" i="95"/>
  <c r="G693" i="95"/>
  <c r="I693" i="95"/>
  <c r="K693" i="95"/>
  <c r="M693" i="95"/>
  <c r="O693" i="95"/>
  <c r="Q693" i="95"/>
  <c r="G694" i="95"/>
  <c r="I694" i="95"/>
  <c r="K694" i="95"/>
  <c r="M694" i="95"/>
  <c r="O694" i="95"/>
  <c r="Q694" i="95"/>
  <c r="G695" i="95"/>
  <c r="I695" i="95"/>
  <c r="K695" i="95"/>
  <c r="M695" i="95"/>
  <c r="O695" i="95"/>
  <c r="Q695" i="95"/>
  <c r="G696" i="95"/>
  <c r="I696" i="95"/>
  <c r="K696" i="95"/>
  <c r="M696" i="95"/>
  <c r="O696" i="95"/>
  <c r="Q696" i="95"/>
  <c r="G697" i="95"/>
  <c r="I697" i="95"/>
  <c r="K697" i="95"/>
  <c r="M697" i="95"/>
  <c r="O697" i="95"/>
  <c r="Q697" i="95"/>
  <c r="G698" i="95"/>
  <c r="I698" i="95"/>
  <c r="K698" i="95"/>
  <c r="M698" i="95"/>
  <c r="O698" i="95"/>
  <c r="Q698" i="95"/>
  <c r="G699" i="95"/>
  <c r="I699" i="95"/>
  <c r="K699" i="95"/>
  <c r="M699" i="95"/>
  <c r="O699" i="95"/>
  <c r="Q699" i="95"/>
  <c r="G700" i="95"/>
  <c r="I700" i="95"/>
  <c r="K700" i="95"/>
  <c r="M700" i="95"/>
  <c r="O700" i="95"/>
  <c r="Q700" i="95"/>
  <c r="G701" i="95"/>
  <c r="I701" i="95"/>
  <c r="K701" i="95"/>
  <c r="M701" i="95"/>
  <c r="O701" i="95"/>
  <c r="Q701" i="95"/>
  <c r="G702" i="95"/>
  <c r="I702" i="95"/>
  <c r="K702" i="95"/>
  <c r="M702" i="95"/>
  <c r="O702" i="95"/>
  <c r="Q702" i="95"/>
  <c r="G703" i="95"/>
  <c r="I703" i="95"/>
  <c r="K703" i="95"/>
  <c r="M703" i="95"/>
  <c r="O703" i="95"/>
  <c r="Q703" i="95"/>
  <c r="G704" i="95"/>
  <c r="I704" i="95"/>
  <c r="K704" i="95"/>
  <c r="M704" i="95"/>
  <c r="O704" i="95"/>
  <c r="Q704" i="95"/>
  <c r="G705" i="95"/>
  <c r="I705" i="95"/>
  <c r="K705" i="95"/>
  <c r="M705" i="95"/>
  <c r="O705" i="95"/>
  <c r="Q705" i="95"/>
  <c r="G706" i="95"/>
  <c r="I706" i="95"/>
  <c r="K706" i="95"/>
  <c r="M706" i="95"/>
  <c r="O706" i="95"/>
  <c r="Q706" i="95"/>
  <c r="G707" i="95"/>
  <c r="I707" i="95"/>
  <c r="K707" i="95"/>
  <c r="M707" i="95"/>
  <c r="O707" i="95"/>
  <c r="Q707" i="95"/>
  <c r="G708" i="95"/>
  <c r="I708" i="95"/>
  <c r="K708" i="95"/>
  <c r="M708" i="95"/>
  <c r="O708" i="95"/>
  <c r="Q708" i="95"/>
  <c r="G709" i="95"/>
  <c r="I709" i="95"/>
  <c r="K709" i="95"/>
  <c r="M709" i="95"/>
  <c r="O709" i="95"/>
  <c r="Q709" i="95"/>
  <c r="G710" i="95"/>
  <c r="I710" i="95"/>
  <c r="K710" i="95"/>
  <c r="M710" i="95"/>
  <c r="O710" i="95"/>
  <c r="Q710" i="95"/>
  <c r="G711" i="95"/>
  <c r="I711" i="95"/>
  <c r="K711" i="95"/>
  <c r="M711" i="95"/>
  <c r="O711" i="95"/>
  <c r="Q711" i="95"/>
  <c r="G712" i="95"/>
  <c r="I712" i="95"/>
  <c r="K712" i="95"/>
  <c r="M712" i="95"/>
  <c r="O712" i="95"/>
  <c r="Q712" i="95"/>
  <c r="G713" i="95"/>
  <c r="I713" i="95"/>
  <c r="K713" i="95"/>
  <c r="M713" i="95"/>
  <c r="O713" i="95"/>
  <c r="Q713" i="95"/>
  <c r="G714" i="95"/>
  <c r="I714" i="95"/>
  <c r="K714" i="95"/>
  <c r="M714" i="95"/>
  <c r="O714" i="95"/>
  <c r="Q714" i="95"/>
  <c r="G715" i="95"/>
  <c r="I715" i="95"/>
  <c r="K715" i="95"/>
  <c r="M715" i="95"/>
  <c r="O715" i="95"/>
  <c r="Q715" i="95"/>
  <c r="G716" i="95"/>
  <c r="I716" i="95"/>
  <c r="K716" i="95"/>
  <c r="M716" i="95"/>
  <c r="O716" i="95"/>
  <c r="Q716" i="95"/>
  <c r="G717" i="95"/>
  <c r="I717" i="95"/>
  <c r="K717" i="95"/>
  <c r="M717" i="95"/>
  <c r="O717" i="95"/>
  <c r="Q717" i="95"/>
  <c r="G718" i="95"/>
  <c r="I718" i="95"/>
  <c r="K718" i="95"/>
  <c r="M718" i="95"/>
  <c r="O718" i="95"/>
  <c r="Q718" i="95"/>
  <c r="G719" i="95"/>
  <c r="I719" i="95"/>
  <c r="K719" i="95"/>
  <c r="M719" i="95"/>
  <c r="O719" i="95"/>
  <c r="Q719" i="95"/>
  <c r="G720" i="95"/>
  <c r="I720" i="95"/>
  <c r="K720" i="95"/>
  <c r="M720" i="95"/>
  <c r="O720" i="95"/>
  <c r="Q720" i="95"/>
  <c r="G721" i="95"/>
  <c r="I721" i="95"/>
  <c r="K721" i="95"/>
  <c r="M721" i="95"/>
  <c r="O721" i="95"/>
  <c r="Q721" i="95"/>
  <c r="G722" i="95"/>
  <c r="I722" i="95"/>
  <c r="K722" i="95"/>
  <c r="M722" i="95"/>
  <c r="O722" i="95"/>
  <c r="Q722" i="95"/>
  <c r="G723" i="95"/>
  <c r="I723" i="95"/>
  <c r="K723" i="95"/>
  <c r="M723" i="95"/>
  <c r="O723" i="95"/>
  <c r="Q723" i="95"/>
  <c r="G724" i="95"/>
  <c r="I724" i="95"/>
  <c r="K724" i="95"/>
  <c r="M724" i="95"/>
  <c r="O724" i="95"/>
  <c r="Q724" i="95"/>
  <c r="G725" i="95"/>
  <c r="I725" i="95"/>
  <c r="K725" i="95"/>
  <c r="M725" i="95"/>
  <c r="O725" i="95"/>
  <c r="Q725" i="95"/>
  <c r="G726" i="95"/>
  <c r="I726" i="95"/>
  <c r="K726" i="95"/>
  <c r="M726" i="95"/>
  <c r="O726" i="95"/>
  <c r="Q726" i="95"/>
  <c r="G727" i="95"/>
  <c r="I727" i="95"/>
  <c r="K727" i="95"/>
  <c r="M727" i="95"/>
  <c r="O727" i="95"/>
  <c r="Q727" i="95"/>
  <c r="G728" i="95"/>
  <c r="I728" i="95"/>
  <c r="K728" i="95"/>
  <c r="M728" i="95"/>
  <c r="O728" i="95"/>
  <c r="Q728" i="95"/>
  <c r="G729" i="95"/>
  <c r="I729" i="95"/>
  <c r="K729" i="95"/>
  <c r="M729" i="95"/>
  <c r="O729" i="95"/>
  <c r="Q729" i="95"/>
  <c r="G730" i="95"/>
  <c r="I730" i="95"/>
  <c r="K730" i="95"/>
  <c r="M730" i="95"/>
  <c r="O730" i="95"/>
  <c r="Q730" i="95"/>
  <c r="G731" i="95"/>
  <c r="I731" i="95"/>
  <c r="K731" i="95"/>
  <c r="M731" i="95"/>
  <c r="O731" i="95"/>
  <c r="Q731" i="95"/>
  <c r="G732" i="95"/>
  <c r="I732" i="95"/>
  <c r="K732" i="95"/>
  <c r="M732" i="95"/>
  <c r="O732" i="95"/>
  <c r="Q732" i="95"/>
  <c r="G733" i="95"/>
  <c r="I733" i="95"/>
  <c r="K733" i="95"/>
  <c r="M733" i="95"/>
  <c r="O733" i="95"/>
  <c r="Q733" i="95"/>
  <c r="G734" i="95"/>
  <c r="I734" i="95"/>
  <c r="K734" i="95"/>
  <c r="M734" i="95"/>
  <c r="O734" i="95"/>
  <c r="Q734" i="95"/>
  <c r="G735" i="95"/>
  <c r="I735" i="95"/>
  <c r="K735" i="95"/>
  <c r="M735" i="95"/>
  <c r="O735" i="95"/>
  <c r="Q735" i="95"/>
  <c r="G736" i="95"/>
  <c r="I736" i="95"/>
  <c r="K736" i="95"/>
  <c r="M736" i="95"/>
  <c r="O736" i="95"/>
  <c r="Q736" i="95"/>
  <c r="G737" i="95"/>
  <c r="I737" i="95"/>
  <c r="K737" i="95"/>
  <c r="M737" i="95"/>
  <c r="O737" i="95"/>
  <c r="Q737" i="95"/>
  <c r="G738" i="95"/>
  <c r="I738" i="95"/>
  <c r="K738" i="95"/>
  <c r="M738" i="95"/>
  <c r="O738" i="95"/>
  <c r="Q738" i="95"/>
  <c r="G739" i="95"/>
  <c r="I739" i="95"/>
  <c r="K739" i="95"/>
  <c r="M739" i="95"/>
  <c r="O739" i="95"/>
  <c r="Q739" i="95"/>
  <c r="G740" i="95"/>
  <c r="I740" i="95"/>
  <c r="K740" i="95"/>
  <c r="M740" i="95"/>
  <c r="O740" i="95"/>
  <c r="Q740" i="95"/>
  <c r="G741" i="95"/>
  <c r="I741" i="95"/>
  <c r="K741" i="95"/>
  <c r="M741" i="95"/>
  <c r="O741" i="95"/>
  <c r="Q741" i="95"/>
  <c r="G742" i="95"/>
  <c r="I742" i="95"/>
  <c r="K742" i="95"/>
  <c r="M742" i="95"/>
  <c r="O742" i="95"/>
  <c r="Q742" i="95"/>
  <c r="G743" i="95"/>
  <c r="I743" i="95"/>
  <c r="K743" i="95"/>
  <c r="M743" i="95"/>
  <c r="O743" i="95"/>
  <c r="Q743" i="95"/>
  <c r="G744" i="95"/>
  <c r="I744" i="95"/>
  <c r="K744" i="95"/>
  <c r="M744" i="95"/>
  <c r="O744" i="95"/>
  <c r="Q744" i="95"/>
  <c r="G745" i="95"/>
  <c r="I745" i="95"/>
  <c r="K745" i="95"/>
  <c r="M745" i="95"/>
  <c r="O745" i="95"/>
  <c r="Q745" i="95"/>
  <c r="G746" i="95"/>
  <c r="I746" i="95"/>
  <c r="K746" i="95"/>
  <c r="M746" i="95"/>
  <c r="O746" i="95"/>
  <c r="Q746" i="95"/>
  <c r="G747" i="95"/>
  <c r="I747" i="95"/>
  <c r="K747" i="95"/>
  <c r="M747" i="95"/>
  <c r="O747" i="95"/>
  <c r="Q747" i="95"/>
  <c r="G748" i="95"/>
  <c r="I748" i="95"/>
  <c r="K748" i="95"/>
  <c r="M748" i="95"/>
  <c r="O748" i="95"/>
  <c r="Q748" i="95"/>
  <c r="G749" i="95"/>
  <c r="I749" i="95"/>
  <c r="K749" i="95"/>
  <c r="M749" i="95"/>
  <c r="O749" i="95"/>
  <c r="Q749" i="95"/>
  <c r="G750" i="95"/>
  <c r="I750" i="95"/>
  <c r="K750" i="95"/>
  <c r="M750" i="95"/>
  <c r="O750" i="95"/>
  <c r="Q750" i="95"/>
  <c r="G751" i="95"/>
  <c r="I751" i="95"/>
  <c r="K751" i="95"/>
  <c r="M751" i="95"/>
  <c r="O751" i="95"/>
  <c r="Q751" i="95"/>
  <c r="G752" i="95"/>
  <c r="I752" i="95"/>
  <c r="K752" i="95"/>
  <c r="M752" i="95"/>
  <c r="O752" i="95"/>
  <c r="Q752" i="95"/>
  <c r="G753" i="95"/>
  <c r="I753" i="95"/>
  <c r="K753" i="95"/>
  <c r="M753" i="95"/>
  <c r="O753" i="95"/>
  <c r="Q753" i="95"/>
  <c r="G754" i="95"/>
  <c r="I754" i="95"/>
  <c r="K754" i="95"/>
  <c r="M754" i="95"/>
  <c r="O754" i="95"/>
  <c r="Q754" i="95"/>
  <c r="G755" i="95"/>
  <c r="I755" i="95"/>
  <c r="K755" i="95"/>
  <c r="M755" i="95"/>
  <c r="O755" i="95"/>
  <c r="Q755" i="95"/>
  <c r="G756" i="95"/>
  <c r="I756" i="95"/>
  <c r="K756" i="95"/>
  <c r="M756" i="95"/>
  <c r="O756" i="95"/>
  <c r="Q756" i="95"/>
  <c r="G757" i="95"/>
  <c r="I757" i="95"/>
  <c r="K757" i="95"/>
  <c r="M757" i="95"/>
  <c r="O757" i="95"/>
  <c r="Q757" i="95"/>
  <c r="G758" i="95"/>
  <c r="I758" i="95"/>
  <c r="K758" i="95"/>
  <c r="M758" i="95"/>
  <c r="O758" i="95"/>
  <c r="Q758" i="95"/>
  <c r="G759" i="95"/>
  <c r="I759" i="95"/>
  <c r="K759" i="95"/>
  <c r="M759" i="95"/>
  <c r="O759" i="95"/>
  <c r="Q759" i="95"/>
  <c r="G760" i="95"/>
  <c r="I760" i="95"/>
  <c r="K760" i="95"/>
  <c r="M760" i="95"/>
  <c r="O760" i="95"/>
  <c r="Q760" i="95"/>
  <c r="G761" i="95"/>
  <c r="I761" i="95"/>
  <c r="K761" i="95"/>
  <c r="M761" i="95"/>
  <c r="O761" i="95"/>
  <c r="Q761" i="95"/>
  <c r="G762" i="95"/>
  <c r="I762" i="95"/>
  <c r="K762" i="95"/>
  <c r="M762" i="95"/>
  <c r="O762" i="95"/>
  <c r="Q762" i="95"/>
  <c r="G763" i="95"/>
  <c r="I763" i="95"/>
  <c r="K763" i="95"/>
  <c r="M763" i="95"/>
  <c r="O763" i="95"/>
  <c r="Q763" i="95"/>
  <c r="G764" i="95"/>
  <c r="I764" i="95"/>
  <c r="K764" i="95"/>
  <c r="M764" i="95"/>
  <c r="O764" i="95"/>
  <c r="Q764" i="95"/>
  <c r="G765" i="95"/>
  <c r="I765" i="95"/>
  <c r="K765" i="95"/>
  <c r="M765" i="95"/>
  <c r="O765" i="95"/>
  <c r="Q765" i="95"/>
  <c r="G766" i="95"/>
  <c r="I766" i="95"/>
  <c r="K766" i="95"/>
  <c r="M766" i="95"/>
  <c r="O766" i="95"/>
  <c r="Q766" i="95"/>
  <c r="G767" i="95"/>
  <c r="I767" i="95"/>
  <c r="K767" i="95"/>
  <c r="M767" i="95"/>
  <c r="O767" i="95"/>
  <c r="Q767" i="95"/>
  <c r="G768" i="95"/>
  <c r="I768" i="95"/>
  <c r="K768" i="95"/>
  <c r="M768" i="95"/>
  <c r="O768" i="95"/>
  <c r="Q768" i="95"/>
  <c r="G769" i="95"/>
  <c r="I769" i="95"/>
  <c r="K769" i="95"/>
  <c r="M769" i="95"/>
  <c r="O769" i="95"/>
  <c r="Q769" i="95"/>
  <c r="G770" i="95"/>
  <c r="I770" i="95"/>
  <c r="K770" i="95"/>
  <c r="M770" i="95"/>
  <c r="O770" i="95"/>
  <c r="Q770" i="95"/>
  <c r="G771" i="95"/>
  <c r="I771" i="95"/>
  <c r="K771" i="95"/>
  <c r="M771" i="95"/>
  <c r="O771" i="95"/>
  <c r="Q771" i="95"/>
  <c r="G772" i="95"/>
  <c r="I772" i="95"/>
  <c r="K772" i="95"/>
  <c r="M772" i="95"/>
  <c r="O772" i="95"/>
  <c r="Q772" i="95"/>
  <c r="G773" i="95"/>
  <c r="I773" i="95"/>
  <c r="K773" i="95"/>
  <c r="M773" i="95"/>
  <c r="O773" i="95"/>
  <c r="Q773" i="95"/>
  <c r="G774" i="95"/>
  <c r="I774" i="95"/>
  <c r="K774" i="95"/>
  <c r="M774" i="95"/>
  <c r="O774" i="95"/>
  <c r="Q774" i="95"/>
  <c r="G775" i="95"/>
  <c r="I775" i="95"/>
  <c r="K775" i="95"/>
  <c r="M775" i="95"/>
  <c r="O775" i="95"/>
  <c r="Q775" i="95"/>
  <c r="G776" i="95"/>
  <c r="I776" i="95"/>
  <c r="K776" i="95"/>
  <c r="M776" i="95"/>
  <c r="O776" i="95"/>
  <c r="Q776" i="95"/>
  <c r="G777" i="95"/>
  <c r="I777" i="95"/>
  <c r="K777" i="95"/>
  <c r="M777" i="95"/>
  <c r="O777" i="95"/>
  <c r="Q777" i="95"/>
  <c r="G778" i="95"/>
  <c r="I778" i="95"/>
  <c r="K778" i="95"/>
  <c r="M778" i="95"/>
  <c r="O778" i="95"/>
  <c r="Q778" i="95"/>
  <c r="G779" i="95"/>
  <c r="I779" i="95"/>
  <c r="K779" i="95"/>
  <c r="M779" i="95"/>
  <c r="O779" i="95"/>
  <c r="Q779" i="95"/>
  <c r="G780" i="95"/>
  <c r="I780" i="95"/>
  <c r="K780" i="95"/>
  <c r="M780" i="95"/>
  <c r="O780" i="95"/>
  <c r="Q780" i="95"/>
  <c r="G781" i="95"/>
  <c r="I781" i="95"/>
  <c r="K781" i="95"/>
  <c r="M781" i="95"/>
  <c r="O781" i="95"/>
  <c r="Q781" i="95"/>
  <c r="G782" i="95"/>
  <c r="I782" i="95"/>
  <c r="K782" i="95"/>
  <c r="M782" i="95"/>
  <c r="O782" i="95"/>
  <c r="Q782" i="95"/>
  <c r="G783" i="95"/>
  <c r="I783" i="95"/>
  <c r="K783" i="95"/>
  <c r="M783" i="95"/>
  <c r="O783" i="95"/>
  <c r="Q783" i="95"/>
  <c r="G784" i="95"/>
  <c r="I784" i="95"/>
  <c r="K784" i="95"/>
  <c r="M784" i="95"/>
  <c r="O784" i="95"/>
  <c r="Q784" i="95"/>
  <c r="G785" i="95"/>
  <c r="I785" i="95"/>
  <c r="K785" i="95"/>
  <c r="M785" i="95"/>
  <c r="O785" i="95"/>
  <c r="Q785" i="95"/>
  <c r="G786" i="95"/>
  <c r="I786" i="95"/>
  <c r="K786" i="95"/>
  <c r="M786" i="95"/>
  <c r="O786" i="95"/>
  <c r="Q786" i="95"/>
  <c r="G787" i="95"/>
  <c r="I787" i="95"/>
  <c r="K787" i="95"/>
  <c r="M787" i="95"/>
  <c r="O787" i="95"/>
  <c r="Q787" i="95"/>
  <c r="G788" i="95"/>
  <c r="I788" i="95"/>
  <c r="K788" i="95"/>
  <c r="M788" i="95"/>
  <c r="O788" i="95"/>
  <c r="Q788" i="95"/>
  <c r="G789" i="95"/>
  <c r="I789" i="95"/>
  <c r="K789" i="95"/>
  <c r="M789" i="95"/>
  <c r="O789" i="95"/>
  <c r="Q789" i="95"/>
  <c r="G790" i="95"/>
  <c r="I790" i="95"/>
  <c r="K790" i="95"/>
  <c r="M790" i="95"/>
  <c r="O790" i="95"/>
  <c r="Q790" i="95"/>
  <c r="G791" i="95"/>
  <c r="I791" i="95"/>
  <c r="K791" i="95"/>
  <c r="M791" i="95"/>
  <c r="O791" i="95"/>
  <c r="Q791" i="95"/>
  <c r="G792" i="95"/>
  <c r="I792" i="95"/>
  <c r="K792" i="95"/>
  <c r="M792" i="95"/>
  <c r="O792" i="95"/>
  <c r="Q792" i="95"/>
  <c r="G793" i="95"/>
  <c r="I793" i="95"/>
  <c r="K793" i="95"/>
  <c r="M793" i="95"/>
  <c r="O793" i="95"/>
  <c r="Q793" i="95"/>
  <c r="G794" i="95"/>
  <c r="I794" i="95"/>
  <c r="K794" i="95"/>
  <c r="M794" i="95"/>
  <c r="O794" i="95"/>
  <c r="Q794" i="95"/>
  <c r="G795" i="95"/>
  <c r="I795" i="95"/>
  <c r="K795" i="95"/>
  <c r="M795" i="95"/>
  <c r="O795" i="95"/>
  <c r="Q795" i="95"/>
  <c r="G796" i="95"/>
  <c r="I796" i="95"/>
  <c r="K796" i="95"/>
  <c r="M796" i="95"/>
  <c r="O796" i="95"/>
  <c r="Q796" i="95"/>
  <c r="G797" i="95"/>
  <c r="I797" i="95"/>
  <c r="K797" i="95"/>
  <c r="M797" i="95"/>
  <c r="O797" i="95"/>
  <c r="Q797" i="95"/>
  <c r="G798" i="95"/>
  <c r="I798" i="95"/>
  <c r="K798" i="95"/>
  <c r="M798" i="95"/>
  <c r="O798" i="95"/>
  <c r="Q798" i="95"/>
  <c r="G799" i="95"/>
  <c r="I799" i="95"/>
  <c r="K799" i="95"/>
  <c r="M799" i="95"/>
  <c r="O799" i="95"/>
  <c r="Q799" i="95"/>
  <c r="G800" i="95"/>
  <c r="I800" i="95"/>
  <c r="K800" i="95"/>
  <c r="M800" i="95"/>
  <c r="O800" i="95"/>
  <c r="Q800" i="95"/>
  <c r="G801" i="95"/>
  <c r="I801" i="95"/>
  <c r="K801" i="95"/>
  <c r="M801" i="95"/>
  <c r="O801" i="95"/>
  <c r="Q801" i="95"/>
  <c r="G802" i="95"/>
  <c r="I802" i="95"/>
  <c r="K802" i="95"/>
  <c r="M802" i="95"/>
  <c r="O802" i="95"/>
  <c r="Q802" i="95"/>
  <c r="G803" i="95"/>
  <c r="I803" i="95"/>
  <c r="K803" i="95"/>
  <c r="M803" i="95"/>
  <c r="O803" i="95"/>
  <c r="Q803" i="95"/>
  <c r="G804" i="95"/>
  <c r="I804" i="95"/>
  <c r="K804" i="95"/>
  <c r="M804" i="95"/>
  <c r="O804" i="95"/>
  <c r="Q804" i="95"/>
  <c r="G805" i="95"/>
  <c r="I805" i="95"/>
  <c r="K805" i="95"/>
  <c r="M805" i="95"/>
  <c r="O805" i="95"/>
  <c r="Q805" i="95"/>
  <c r="G806" i="95"/>
  <c r="I806" i="95"/>
  <c r="K806" i="95"/>
  <c r="M806" i="95"/>
  <c r="O806" i="95"/>
  <c r="Q806" i="95"/>
  <c r="G807" i="95"/>
  <c r="I807" i="95"/>
  <c r="K807" i="95"/>
  <c r="M807" i="95"/>
  <c r="O807" i="95"/>
  <c r="Q807" i="95"/>
  <c r="G808" i="95"/>
  <c r="I808" i="95"/>
  <c r="K808" i="95"/>
  <c r="M808" i="95"/>
  <c r="O808" i="95"/>
  <c r="Q808" i="95"/>
  <c r="G809" i="95"/>
  <c r="I809" i="95"/>
  <c r="K809" i="95"/>
  <c r="M809" i="95"/>
  <c r="O809" i="95"/>
  <c r="Q809" i="95"/>
  <c r="G810" i="95"/>
  <c r="I810" i="95"/>
  <c r="K810" i="95"/>
  <c r="M810" i="95"/>
  <c r="O810" i="95"/>
  <c r="Q810" i="95"/>
  <c r="G811" i="95"/>
  <c r="I811" i="95"/>
  <c r="K811" i="95"/>
  <c r="M811" i="95"/>
  <c r="O811" i="95"/>
  <c r="Q811" i="95"/>
  <c r="G812" i="95"/>
  <c r="I812" i="95"/>
  <c r="K812" i="95"/>
  <c r="M812" i="95"/>
  <c r="O812" i="95"/>
  <c r="Q812" i="95"/>
  <c r="G813" i="95"/>
  <c r="I813" i="95"/>
  <c r="K813" i="95"/>
  <c r="M813" i="95"/>
  <c r="O813" i="95"/>
  <c r="Q813" i="95"/>
  <c r="G814" i="95"/>
  <c r="I814" i="95"/>
  <c r="K814" i="95"/>
  <c r="M814" i="95"/>
  <c r="O814" i="95"/>
  <c r="Q814" i="95"/>
  <c r="G815" i="95"/>
  <c r="I815" i="95"/>
  <c r="K815" i="95"/>
  <c r="M815" i="95"/>
  <c r="O815" i="95"/>
  <c r="Q815" i="95"/>
  <c r="G816" i="95"/>
  <c r="I816" i="95"/>
  <c r="K816" i="95"/>
  <c r="M816" i="95"/>
  <c r="O816" i="95"/>
  <c r="Q816" i="95"/>
  <c r="G817" i="95"/>
  <c r="I817" i="95"/>
  <c r="K817" i="95"/>
  <c r="M817" i="95"/>
  <c r="O817" i="95"/>
  <c r="Q817" i="95"/>
  <c r="G818" i="95"/>
  <c r="I818" i="95"/>
  <c r="K818" i="95"/>
  <c r="M818" i="95"/>
  <c r="O818" i="95"/>
  <c r="Q818" i="95"/>
  <c r="G819" i="95"/>
  <c r="I819" i="95"/>
  <c r="K819" i="95"/>
  <c r="M819" i="95"/>
  <c r="O819" i="95"/>
  <c r="Q819" i="95"/>
  <c r="G820" i="95"/>
  <c r="I820" i="95"/>
  <c r="K820" i="95"/>
  <c r="M820" i="95"/>
  <c r="O820" i="95"/>
  <c r="Q820" i="95"/>
  <c r="G821" i="95"/>
  <c r="I821" i="95"/>
  <c r="K821" i="95"/>
  <c r="M821" i="95"/>
  <c r="O821" i="95"/>
  <c r="Q821" i="95"/>
  <c r="G822" i="95"/>
  <c r="I822" i="95"/>
  <c r="K822" i="95"/>
  <c r="M822" i="95"/>
  <c r="O822" i="95"/>
  <c r="Q822" i="95"/>
  <c r="G823" i="95"/>
  <c r="I823" i="95"/>
  <c r="K823" i="95"/>
  <c r="M823" i="95"/>
  <c r="O823" i="95"/>
  <c r="Q823" i="95"/>
  <c r="G824" i="95"/>
  <c r="I824" i="95"/>
  <c r="K824" i="95"/>
  <c r="M824" i="95"/>
  <c r="O824" i="95"/>
  <c r="Q824" i="95"/>
  <c r="G825" i="95"/>
  <c r="I825" i="95"/>
  <c r="K825" i="95"/>
  <c r="M825" i="95"/>
  <c r="O825" i="95"/>
  <c r="Q825" i="95"/>
  <c r="G826" i="95"/>
  <c r="I826" i="95"/>
  <c r="K826" i="95"/>
  <c r="M826" i="95"/>
  <c r="O826" i="95"/>
  <c r="Q826" i="95"/>
  <c r="G827" i="95"/>
  <c r="I827" i="95"/>
  <c r="K827" i="95"/>
  <c r="M827" i="95"/>
  <c r="O827" i="95"/>
  <c r="Q827" i="95"/>
  <c r="G828" i="95"/>
  <c r="I828" i="95"/>
  <c r="K828" i="95"/>
  <c r="M828" i="95"/>
  <c r="O828" i="95"/>
  <c r="Q828" i="95"/>
  <c r="G829" i="95"/>
  <c r="I829" i="95"/>
  <c r="K829" i="95"/>
  <c r="M829" i="95"/>
  <c r="O829" i="95"/>
  <c r="Q829" i="95"/>
  <c r="G830" i="95"/>
  <c r="I830" i="95"/>
  <c r="K830" i="95"/>
  <c r="M830" i="95"/>
  <c r="O830" i="95"/>
  <c r="Q830" i="95"/>
  <c r="G831" i="95"/>
  <c r="I831" i="95"/>
  <c r="K831" i="95"/>
  <c r="M831" i="95"/>
  <c r="O831" i="95"/>
  <c r="Q831" i="95"/>
  <c r="G832" i="95"/>
  <c r="I832" i="95"/>
  <c r="K832" i="95"/>
  <c r="M832" i="95"/>
  <c r="O832" i="95"/>
  <c r="Q832" i="95"/>
  <c r="G833" i="95"/>
  <c r="I833" i="95"/>
  <c r="K833" i="95"/>
  <c r="M833" i="95"/>
  <c r="O833" i="95"/>
  <c r="Q833" i="95"/>
  <c r="G834" i="95"/>
  <c r="I834" i="95"/>
  <c r="K834" i="95"/>
  <c r="M834" i="95"/>
  <c r="O834" i="95"/>
  <c r="Q834" i="95"/>
  <c r="G835" i="95"/>
  <c r="I835" i="95"/>
  <c r="K835" i="95"/>
  <c r="M835" i="95"/>
  <c r="O835" i="95"/>
  <c r="Q835" i="95"/>
  <c r="G836" i="95"/>
  <c r="I836" i="95"/>
  <c r="K836" i="95"/>
  <c r="M836" i="95"/>
  <c r="O836" i="95"/>
  <c r="Q836" i="95"/>
  <c r="G837" i="95"/>
  <c r="I837" i="95"/>
  <c r="K837" i="95"/>
  <c r="M837" i="95"/>
  <c r="O837" i="95"/>
  <c r="Q837" i="95"/>
  <c r="G838" i="95"/>
  <c r="I838" i="95"/>
  <c r="K838" i="95"/>
  <c r="M838" i="95"/>
  <c r="O838" i="95"/>
  <c r="Q838" i="95"/>
  <c r="G839" i="95"/>
  <c r="I839" i="95"/>
  <c r="K839" i="95"/>
  <c r="M839" i="95"/>
  <c r="O839" i="95"/>
  <c r="Q839" i="95"/>
  <c r="G840" i="95"/>
  <c r="I840" i="95"/>
  <c r="K840" i="95"/>
  <c r="M840" i="95"/>
  <c r="O840" i="95"/>
  <c r="Q840" i="95"/>
  <c r="G841" i="95"/>
  <c r="I841" i="95"/>
  <c r="K841" i="95"/>
  <c r="M841" i="95"/>
  <c r="O841" i="95"/>
  <c r="Q841" i="95"/>
  <c r="G842" i="95"/>
  <c r="I842" i="95"/>
  <c r="K842" i="95"/>
  <c r="M842" i="95"/>
  <c r="O842" i="95"/>
  <c r="Q842" i="95"/>
  <c r="G843" i="95"/>
  <c r="I843" i="95"/>
  <c r="K843" i="95"/>
  <c r="M843" i="95"/>
  <c r="O843" i="95"/>
  <c r="Q843" i="95"/>
  <c r="G844" i="95"/>
  <c r="I844" i="95"/>
  <c r="K844" i="95"/>
  <c r="M844" i="95"/>
  <c r="O844" i="95"/>
  <c r="Q844" i="95"/>
  <c r="G845" i="95"/>
  <c r="I845" i="95"/>
  <c r="K845" i="95"/>
  <c r="M845" i="95"/>
  <c r="O845" i="95"/>
  <c r="Q845" i="95"/>
  <c r="G846" i="95"/>
  <c r="I846" i="95"/>
  <c r="K846" i="95"/>
  <c r="M846" i="95"/>
  <c r="O846" i="95"/>
  <c r="Q846" i="95"/>
  <c r="G847" i="95"/>
  <c r="I847" i="95"/>
  <c r="K847" i="95"/>
  <c r="M847" i="95"/>
  <c r="O847" i="95"/>
  <c r="Q847" i="95"/>
  <c r="G848" i="95"/>
  <c r="I848" i="95"/>
  <c r="K848" i="95"/>
  <c r="M848" i="95"/>
  <c r="O848" i="95"/>
  <c r="Q848" i="95"/>
  <c r="G849" i="95"/>
  <c r="I849" i="95"/>
  <c r="K849" i="95"/>
  <c r="M849" i="95"/>
  <c r="O849" i="95"/>
  <c r="Q849" i="95"/>
  <c r="G850" i="95"/>
  <c r="I850" i="95"/>
  <c r="K850" i="95"/>
  <c r="M850" i="95"/>
  <c r="O850" i="95"/>
  <c r="Q850" i="95"/>
  <c r="G851" i="95"/>
  <c r="I851" i="95"/>
  <c r="K851" i="95"/>
  <c r="M851" i="95"/>
  <c r="O851" i="95"/>
  <c r="Q851" i="95"/>
  <c r="G852" i="95"/>
  <c r="I852" i="95"/>
  <c r="K852" i="95"/>
  <c r="M852" i="95"/>
  <c r="O852" i="95"/>
  <c r="Q852" i="95"/>
  <c r="G853" i="95"/>
  <c r="I853" i="95"/>
  <c r="K853" i="95"/>
  <c r="M853" i="95"/>
  <c r="O853" i="95"/>
  <c r="Q853" i="95"/>
  <c r="G854" i="95"/>
  <c r="I854" i="95"/>
  <c r="K854" i="95"/>
  <c r="M854" i="95"/>
  <c r="O854" i="95"/>
  <c r="Q854" i="95"/>
  <c r="G855" i="95"/>
  <c r="I855" i="95"/>
  <c r="K855" i="95"/>
  <c r="M855" i="95"/>
  <c r="O855" i="95"/>
  <c r="Q855" i="95"/>
  <c r="G856" i="95"/>
  <c r="I856" i="95"/>
  <c r="K856" i="95"/>
  <c r="M856" i="95"/>
  <c r="O856" i="95"/>
  <c r="Q856" i="95"/>
  <c r="G857" i="95"/>
  <c r="I857" i="95"/>
  <c r="K857" i="95"/>
  <c r="M857" i="95"/>
  <c r="O857" i="95"/>
  <c r="Q857" i="95"/>
  <c r="G858" i="95"/>
  <c r="I858" i="95"/>
  <c r="K858" i="95"/>
  <c r="M858" i="95"/>
  <c r="O858" i="95"/>
  <c r="Q858" i="95"/>
  <c r="G859" i="95"/>
  <c r="I859" i="95"/>
  <c r="K859" i="95"/>
  <c r="M859" i="95"/>
  <c r="O859" i="95"/>
  <c r="Q859" i="95"/>
  <c r="G860" i="95"/>
  <c r="I860" i="95"/>
  <c r="K860" i="95"/>
  <c r="M860" i="95"/>
  <c r="O860" i="95"/>
  <c r="Q860" i="95"/>
  <c r="G861" i="95"/>
  <c r="I861" i="95"/>
  <c r="K861" i="95"/>
  <c r="M861" i="95"/>
  <c r="O861" i="95"/>
  <c r="Q861" i="95"/>
  <c r="G862" i="95"/>
  <c r="I862" i="95"/>
  <c r="K862" i="95"/>
  <c r="M862" i="95"/>
  <c r="O862" i="95"/>
  <c r="Q862" i="95"/>
  <c r="G863" i="95"/>
  <c r="I863" i="95"/>
  <c r="K863" i="95"/>
  <c r="M863" i="95"/>
  <c r="O863" i="95"/>
  <c r="Q863" i="95"/>
  <c r="G864" i="95"/>
  <c r="I864" i="95"/>
  <c r="K864" i="95"/>
  <c r="M864" i="95"/>
  <c r="O864" i="95"/>
  <c r="Q864" i="95"/>
  <c r="G865" i="95"/>
  <c r="I865" i="95"/>
  <c r="K865" i="95"/>
  <c r="M865" i="95"/>
  <c r="O865" i="95"/>
  <c r="Q865" i="95"/>
  <c r="G866" i="95"/>
  <c r="I866" i="95"/>
  <c r="K866" i="95"/>
  <c r="M866" i="95"/>
  <c r="O866" i="95"/>
  <c r="Q866" i="95"/>
  <c r="G867" i="95"/>
  <c r="I867" i="95"/>
  <c r="K867" i="95"/>
  <c r="M867" i="95"/>
  <c r="O867" i="95"/>
  <c r="Q867" i="95"/>
  <c r="G868" i="95"/>
  <c r="I868" i="95"/>
  <c r="K868" i="95"/>
  <c r="M868" i="95"/>
  <c r="O868" i="95"/>
  <c r="Q868" i="95"/>
  <c r="G869" i="95"/>
  <c r="I869" i="95"/>
  <c r="K869" i="95"/>
  <c r="M869" i="95"/>
  <c r="O869" i="95"/>
  <c r="Q869" i="95"/>
  <c r="G870" i="95"/>
  <c r="I870" i="95"/>
  <c r="K870" i="95"/>
  <c r="M870" i="95"/>
  <c r="O870" i="95"/>
  <c r="Q870" i="95"/>
  <c r="G871" i="95"/>
  <c r="I871" i="95"/>
  <c r="K871" i="95"/>
  <c r="M871" i="95"/>
  <c r="O871" i="95"/>
  <c r="Q871" i="95"/>
  <c r="G872" i="95"/>
  <c r="I872" i="95"/>
  <c r="K872" i="95"/>
  <c r="M872" i="95"/>
  <c r="O872" i="95"/>
  <c r="Q872" i="95"/>
  <c r="G873" i="95"/>
  <c r="I873" i="95"/>
  <c r="K873" i="95"/>
  <c r="M873" i="95"/>
  <c r="O873" i="95"/>
  <c r="Q873" i="95"/>
  <c r="G874" i="95"/>
  <c r="I874" i="95"/>
  <c r="K874" i="95"/>
  <c r="M874" i="95"/>
  <c r="O874" i="95"/>
  <c r="Q874" i="95"/>
  <c r="G875" i="95"/>
  <c r="I875" i="95"/>
  <c r="K875" i="95"/>
  <c r="M875" i="95"/>
  <c r="O875" i="95"/>
  <c r="Q875" i="95"/>
  <c r="G876" i="95"/>
  <c r="I876" i="95"/>
  <c r="K876" i="95"/>
  <c r="M876" i="95"/>
  <c r="O876" i="95"/>
  <c r="Q876" i="95"/>
  <c r="G877" i="95"/>
  <c r="I877" i="95"/>
  <c r="K877" i="95"/>
  <c r="M877" i="95"/>
  <c r="O877" i="95"/>
  <c r="Q877" i="95"/>
  <c r="G878" i="95"/>
  <c r="I878" i="95"/>
  <c r="K878" i="95"/>
  <c r="M878" i="95"/>
  <c r="O878" i="95"/>
  <c r="Q878" i="95"/>
  <c r="G879" i="95"/>
  <c r="I879" i="95"/>
  <c r="K879" i="95"/>
  <c r="M879" i="95"/>
  <c r="O879" i="95"/>
  <c r="Q879" i="95"/>
  <c r="G880" i="95"/>
  <c r="I880" i="95"/>
  <c r="K880" i="95"/>
  <c r="M880" i="95"/>
  <c r="O880" i="95"/>
  <c r="Q880" i="95"/>
  <c r="G881" i="95"/>
  <c r="I881" i="95"/>
  <c r="K881" i="95"/>
  <c r="M881" i="95"/>
  <c r="O881" i="95"/>
  <c r="Q881" i="95"/>
  <c r="G882" i="95"/>
  <c r="I882" i="95"/>
  <c r="K882" i="95"/>
  <c r="M882" i="95"/>
  <c r="O882" i="95"/>
  <c r="Q882" i="95"/>
  <c r="G883" i="95"/>
  <c r="I883" i="95"/>
  <c r="K883" i="95"/>
  <c r="M883" i="95"/>
  <c r="O883" i="95"/>
  <c r="Q883" i="95"/>
  <c r="G884" i="95"/>
  <c r="I884" i="95"/>
  <c r="K884" i="95"/>
  <c r="M884" i="95"/>
  <c r="O884" i="95"/>
  <c r="Q884" i="95"/>
  <c r="G885" i="95"/>
  <c r="I885" i="95"/>
  <c r="K885" i="95"/>
  <c r="M885" i="95"/>
  <c r="O885" i="95"/>
  <c r="Q885" i="95"/>
  <c r="G886" i="95"/>
  <c r="I886" i="95"/>
  <c r="K886" i="95"/>
  <c r="M886" i="95"/>
  <c r="O886" i="95"/>
  <c r="Q886" i="95"/>
  <c r="G887" i="95"/>
  <c r="I887" i="95"/>
  <c r="K887" i="95"/>
  <c r="M887" i="95"/>
  <c r="O887" i="95"/>
  <c r="Q887" i="95"/>
  <c r="G888" i="95"/>
  <c r="I888" i="95"/>
  <c r="K888" i="95"/>
  <c r="M888" i="95"/>
  <c r="O888" i="95"/>
  <c r="Q888" i="95"/>
  <c r="G889" i="95"/>
  <c r="I889" i="95"/>
  <c r="K889" i="95"/>
  <c r="M889" i="95"/>
  <c r="O889" i="95"/>
  <c r="Q889" i="95"/>
  <c r="G890" i="95"/>
  <c r="I890" i="95"/>
  <c r="K890" i="95"/>
  <c r="M890" i="95"/>
  <c r="O890" i="95"/>
  <c r="Q890" i="95"/>
  <c r="G891" i="95"/>
  <c r="I891" i="95"/>
  <c r="K891" i="95"/>
  <c r="M891" i="95"/>
  <c r="O891" i="95"/>
  <c r="Q891" i="95"/>
  <c r="G892" i="95"/>
  <c r="I892" i="95"/>
  <c r="K892" i="95"/>
  <c r="M892" i="95"/>
  <c r="O892" i="95"/>
  <c r="Q892" i="95"/>
  <c r="G893" i="95"/>
  <c r="I893" i="95"/>
  <c r="K893" i="95"/>
  <c r="M893" i="95"/>
  <c r="O893" i="95"/>
  <c r="Q893" i="95"/>
  <c r="G894" i="95"/>
  <c r="I894" i="95"/>
  <c r="K894" i="95"/>
  <c r="M894" i="95"/>
  <c r="O894" i="95"/>
  <c r="Q894" i="95"/>
  <c r="G895" i="95"/>
  <c r="I895" i="95"/>
  <c r="K895" i="95"/>
  <c r="M895" i="95"/>
  <c r="O895" i="95"/>
  <c r="Q895" i="95"/>
  <c r="G896" i="95"/>
  <c r="I896" i="95"/>
  <c r="K896" i="95"/>
  <c r="M896" i="95"/>
  <c r="O896" i="95"/>
  <c r="Q896" i="95"/>
  <c r="G897" i="95"/>
  <c r="I897" i="95"/>
  <c r="K897" i="95"/>
  <c r="M897" i="95"/>
  <c r="O897" i="95"/>
  <c r="Q897" i="95"/>
  <c r="G898" i="95"/>
  <c r="I898" i="95"/>
  <c r="K898" i="95"/>
  <c r="M898" i="95"/>
  <c r="O898" i="95"/>
  <c r="Q898" i="95"/>
  <c r="G899" i="95"/>
  <c r="I899" i="95"/>
  <c r="K899" i="95"/>
  <c r="M899" i="95"/>
  <c r="O899" i="95"/>
  <c r="Q899" i="95"/>
  <c r="G900" i="95"/>
  <c r="I900" i="95"/>
  <c r="K900" i="95"/>
  <c r="M900" i="95"/>
  <c r="O900" i="95"/>
  <c r="Q900" i="95"/>
  <c r="G901" i="95"/>
  <c r="I901" i="95"/>
  <c r="K901" i="95"/>
  <c r="M901" i="95"/>
  <c r="O901" i="95"/>
  <c r="Q901" i="95"/>
  <c r="G902" i="95"/>
  <c r="I902" i="95"/>
  <c r="K902" i="95"/>
  <c r="M902" i="95"/>
  <c r="O902" i="95"/>
  <c r="Q902" i="95"/>
  <c r="G903" i="95"/>
  <c r="I903" i="95"/>
  <c r="K903" i="95"/>
  <c r="M903" i="95"/>
  <c r="O903" i="95"/>
  <c r="Q903" i="95"/>
  <c r="G904" i="95"/>
  <c r="I904" i="95"/>
  <c r="K904" i="95"/>
  <c r="M904" i="95"/>
  <c r="O904" i="95"/>
  <c r="Q904" i="95"/>
  <c r="G905" i="95"/>
  <c r="I905" i="95"/>
  <c r="K905" i="95"/>
  <c r="M905" i="95"/>
  <c r="O905" i="95"/>
  <c r="Q905" i="95"/>
  <c r="G906" i="95"/>
  <c r="I906" i="95"/>
  <c r="K906" i="95"/>
  <c r="M906" i="95"/>
  <c r="O906" i="95"/>
  <c r="Q906" i="95"/>
  <c r="G907" i="95"/>
  <c r="I907" i="95"/>
  <c r="K907" i="95"/>
  <c r="M907" i="95"/>
  <c r="O907" i="95"/>
  <c r="Q907" i="95"/>
  <c r="G908" i="95"/>
  <c r="I908" i="95"/>
  <c r="K908" i="95"/>
  <c r="M908" i="95"/>
  <c r="O908" i="95"/>
  <c r="Q908" i="95"/>
  <c r="G909" i="95"/>
  <c r="I909" i="95"/>
  <c r="K909" i="95"/>
  <c r="M909" i="95"/>
  <c r="O909" i="95"/>
  <c r="Q909" i="95"/>
  <c r="G910" i="95"/>
  <c r="I910" i="95"/>
  <c r="K910" i="95"/>
  <c r="M910" i="95"/>
  <c r="O910" i="95"/>
  <c r="Q910" i="95"/>
  <c r="G911" i="95"/>
  <c r="I911" i="95"/>
  <c r="K911" i="95"/>
  <c r="M911" i="95"/>
  <c r="O911" i="95"/>
  <c r="Q911" i="95"/>
  <c r="G912" i="95"/>
  <c r="I912" i="95"/>
  <c r="K912" i="95"/>
  <c r="M912" i="95"/>
  <c r="O912" i="95"/>
  <c r="Q912" i="95"/>
  <c r="G913" i="95"/>
  <c r="I913" i="95"/>
  <c r="K913" i="95"/>
  <c r="M913" i="95"/>
  <c r="O913" i="95"/>
  <c r="Q913" i="95"/>
  <c r="G914" i="95"/>
  <c r="I914" i="95"/>
  <c r="K914" i="95"/>
  <c r="M914" i="95"/>
  <c r="O914" i="95"/>
  <c r="Q914" i="95"/>
  <c r="G915" i="95"/>
  <c r="I915" i="95"/>
  <c r="K915" i="95"/>
  <c r="M915" i="95"/>
  <c r="O915" i="95"/>
  <c r="Q915" i="95"/>
  <c r="G916" i="95"/>
  <c r="I916" i="95"/>
  <c r="K916" i="95"/>
  <c r="M916" i="95"/>
  <c r="O916" i="95"/>
  <c r="Q916" i="95"/>
  <c r="G917" i="95"/>
  <c r="I917" i="95"/>
  <c r="K917" i="95"/>
  <c r="M917" i="95"/>
  <c r="O917" i="95"/>
  <c r="Q917" i="95"/>
  <c r="G918" i="95"/>
  <c r="I918" i="95"/>
  <c r="K918" i="95"/>
  <c r="M918" i="95"/>
  <c r="O918" i="95"/>
  <c r="Q918" i="95"/>
  <c r="G919" i="95"/>
  <c r="I919" i="95"/>
  <c r="K919" i="95"/>
  <c r="M919" i="95"/>
  <c r="O919" i="95"/>
  <c r="Q919" i="95"/>
  <c r="G920" i="95"/>
  <c r="I920" i="95"/>
  <c r="K920" i="95"/>
  <c r="M920" i="95"/>
  <c r="O920" i="95"/>
  <c r="Q920" i="95"/>
  <c r="G921" i="95"/>
  <c r="I921" i="95"/>
  <c r="K921" i="95"/>
  <c r="M921" i="95"/>
  <c r="O921" i="95"/>
  <c r="Q921" i="95"/>
  <c r="G922" i="95"/>
  <c r="I922" i="95"/>
  <c r="K922" i="95"/>
  <c r="M922" i="95"/>
  <c r="O922" i="95"/>
  <c r="Q922" i="95"/>
  <c r="G923" i="95"/>
  <c r="I923" i="95"/>
  <c r="K923" i="95"/>
  <c r="M923" i="95"/>
  <c r="O923" i="95"/>
  <c r="Q923" i="95"/>
  <c r="G924" i="95"/>
  <c r="I924" i="95"/>
  <c r="K924" i="95"/>
  <c r="M924" i="95"/>
  <c r="O924" i="95"/>
  <c r="Q924" i="95"/>
  <c r="G925" i="95"/>
  <c r="I925" i="95"/>
  <c r="K925" i="95"/>
  <c r="M925" i="95"/>
  <c r="O925" i="95"/>
  <c r="Q925" i="95"/>
  <c r="G926" i="95"/>
  <c r="I926" i="95"/>
  <c r="K926" i="95"/>
  <c r="M926" i="95"/>
  <c r="O926" i="95"/>
  <c r="Q926" i="95"/>
  <c r="G927" i="95"/>
  <c r="I927" i="95"/>
  <c r="K927" i="95"/>
  <c r="M927" i="95"/>
  <c r="O927" i="95"/>
  <c r="Q927" i="95"/>
  <c r="G928" i="95"/>
  <c r="I928" i="95"/>
  <c r="K928" i="95"/>
  <c r="M928" i="95"/>
  <c r="O928" i="95"/>
  <c r="Q928" i="95"/>
  <c r="G929" i="95"/>
  <c r="I929" i="95"/>
  <c r="K929" i="95"/>
  <c r="M929" i="95"/>
  <c r="O929" i="95"/>
  <c r="Q929" i="95"/>
  <c r="G930" i="95"/>
  <c r="I930" i="95"/>
  <c r="K930" i="95"/>
  <c r="M930" i="95"/>
  <c r="O930" i="95"/>
  <c r="Q930" i="95"/>
  <c r="G931" i="95"/>
  <c r="I931" i="95"/>
  <c r="K931" i="95"/>
  <c r="M931" i="95"/>
  <c r="O931" i="95"/>
  <c r="Q931" i="95"/>
  <c r="G932" i="95"/>
  <c r="I932" i="95"/>
  <c r="K932" i="95"/>
  <c r="M932" i="95"/>
  <c r="O932" i="95"/>
  <c r="Q932" i="95"/>
  <c r="G933" i="95"/>
  <c r="I933" i="95"/>
  <c r="K933" i="95"/>
  <c r="M933" i="95"/>
  <c r="O933" i="95"/>
  <c r="Q933" i="95"/>
  <c r="G934" i="95"/>
  <c r="I934" i="95"/>
  <c r="K934" i="95"/>
  <c r="M934" i="95"/>
  <c r="O934" i="95"/>
  <c r="Q934" i="95"/>
  <c r="G935" i="95"/>
  <c r="I935" i="95"/>
  <c r="K935" i="95"/>
  <c r="M935" i="95"/>
  <c r="O935" i="95"/>
  <c r="Q935" i="95"/>
  <c r="G936" i="95"/>
  <c r="I936" i="95"/>
  <c r="K936" i="95"/>
  <c r="M936" i="95"/>
  <c r="O936" i="95"/>
  <c r="Q936" i="95"/>
  <c r="G937" i="95"/>
  <c r="I937" i="95"/>
  <c r="K937" i="95"/>
  <c r="M937" i="95"/>
  <c r="O937" i="95"/>
  <c r="Q937" i="95"/>
  <c r="G938" i="95"/>
  <c r="I938" i="95"/>
  <c r="K938" i="95"/>
  <c r="M938" i="95"/>
  <c r="O938" i="95"/>
  <c r="Q938" i="95"/>
  <c r="G939" i="95"/>
  <c r="I939" i="95"/>
  <c r="K939" i="95"/>
  <c r="M939" i="95"/>
  <c r="O939" i="95"/>
  <c r="Q939" i="95"/>
  <c r="G940" i="95"/>
  <c r="I940" i="95"/>
  <c r="K940" i="95"/>
  <c r="M940" i="95"/>
  <c r="O940" i="95"/>
  <c r="Q940" i="95"/>
  <c r="G941" i="95"/>
  <c r="I941" i="95"/>
  <c r="K941" i="95"/>
  <c r="M941" i="95"/>
  <c r="O941" i="95"/>
  <c r="Q941" i="95"/>
  <c r="G942" i="95"/>
  <c r="I942" i="95"/>
  <c r="K942" i="95"/>
  <c r="M942" i="95"/>
  <c r="O942" i="95"/>
  <c r="Q942" i="95"/>
  <c r="G943" i="95"/>
  <c r="I943" i="95"/>
  <c r="K943" i="95"/>
  <c r="M943" i="95"/>
  <c r="O943" i="95"/>
  <c r="Q943" i="95"/>
  <c r="G944" i="95"/>
  <c r="I944" i="95"/>
  <c r="K944" i="95"/>
  <c r="M944" i="95"/>
  <c r="O944" i="95"/>
  <c r="Q944" i="95"/>
  <c r="G945" i="95"/>
  <c r="I945" i="95"/>
  <c r="K945" i="95"/>
  <c r="M945" i="95"/>
  <c r="O945" i="95"/>
  <c r="Q945" i="95"/>
  <c r="G946" i="95"/>
  <c r="I946" i="95"/>
  <c r="K946" i="95"/>
  <c r="M946" i="95"/>
  <c r="O946" i="95"/>
  <c r="Q946" i="95"/>
  <c r="G947" i="95"/>
  <c r="I947" i="95"/>
  <c r="K947" i="95"/>
  <c r="M947" i="95"/>
  <c r="O947" i="95"/>
  <c r="Q947" i="95"/>
  <c r="G948" i="95"/>
  <c r="I948" i="95"/>
  <c r="K948" i="95"/>
  <c r="M948" i="95"/>
  <c r="O948" i="95"/>
  <c r="Q948" i="95"/>
  <c r="G949" i="95"/>
  <c r="I949" i="95"/>
  <c r="K949" i="95"/>
  <c r="M949" i="95"/>
  <c r="O949" i="95"/>
  <c r="Q949" i="95"/>
  <c r="G950" i="95"/>
  <c r="I950" i="95"/>
  <c r="K950" i="95"/>
  <c r="M950" i="95"/>
  <c r="O950" i="95"/>
  <c r="Q950" i="95"/>
  <c r="G951" i="95"/>
  <c r="I951" i="95"/>
  <c r="K951" i="95"/>
  <c r="M951" i="95"/>
  <c r="O951" i="95"/>
  <c r="Q951" i="95"/>
  <c r="G952" i="95"/>
  <c r="I952" i="95"/>
  <c r="K952" i="95"/>
  <c r="M952" i="95"/>
  <c r="O952" i="95"/>
  <c r="Q952" i="95"/>
  <c r="G953" i="95"/>
  <c r="I953" i="95"/>
  <c r="K953" i="95"/>
  <c r="M953" i="95"/>
  <c r="O953" i="95"/>
  <c r="Q953" i="95"/>
  <c r="G954" i="95"/>
  <c r="I954" i="95"/>
  <c r="K954" i="95"/>
  <c r="M954" i="95"/>
  <c r="O954" i="95"/>
  <c r="Q954" i="95"/>
  <c r="G955" i="95"/>
  <c r="I955" i="95"/>
  <c r="K955" i="95"/>
  <c r="M955" i="95"/>
  <c r="O955" i="95"/>
  <c r="Q955" i="95"/>
  <c r="G956" i="95"/>
  <c r="I956" i="95"/>
  <c r="K956" i="95"/>
  <c r="M956" i="95"/>
  <c r="O956" i="95"/>
  <c r="Q956" i="95"/>
  <c r="G957" i="95"/>
  <c r="I957" i="95"/>
  <c r="K957" i="95"/>
  <c r="M957" i="95"/>
  <c r="O957" i="95"/>
  <c r="Q957" i="95"/>
  <c r="G958" i="95"/>
  <c r="I958" i="95"/>
  <c r="K958" i="95"/>
  <c r="M958" i="95"/>
  <c r="O958" i="95"/>
  <c r="Q958" i="95"/>
  <c r="G959" i="95"/>
  <c r="I959" i="95"/>
  <c r="K959" i="95"/>
  <c r="M959" i="95"/>
  <c r="O959" i="95"/>
  <c r="Q959" i="95"/>
  <c r="G960" i="95"/>
  <c r="I960" i="95"/>
  <c r="K960" i="95"/>
  <c r="M960" i="95"/>
  <c r="O960" i="95"/>
  <c r="Q960" i="95"/>
  <c r="G961" i="95"/>
  <c r="I961" i="95"/>
  <c r="K961" i="95"/>
  <c r="M961" i="95"/>
  <c r="O961" i="95"/>
  <c r="Q961" i="95"/>
  <c r="G962" i="95"/>
  <c r="I962" i="95"/>
  <c r="K962" i="95"/>
  <c r="M962" i="95"/>
  <c r="O962" i="95"/>
  <c r="Q962" i="95"/>
  <c r="G963" i="95"/>
  <c r="I963" i="95"/>
  <c r="K963" i="95"/>
  <c r="M963" i="95"/>
  <c r="O963" i="95"/>
  <c r="Q963" i="95"/>
  <c r="G964" i="95"/>
  <c r="I964" i="95"/>
  <c r="K964" i="95"/>
  <c r="M964" i="95"/>
  <c r="O964" i="95"/>
  <c r="Q964" i="95"/>
  <c r="G965" i="95"/>
  <c r="I965" i="95"/>
  <c r="K965" i="95"/>
  <c r="M965" i="95"/>
  <c r="O965" i="95"/>
  <c r="Q965" i="95"/>
  <c r="G966" i="95"/>
  <c r="I966" i="95"/>
  <c r="K966" i="95"/>
  <c r="M966" i="95"/>
  <c r="O966" i="95"/>
  <c r="Q966" i="95"/>
  <c r="G967" i="95"/>
  <c r="I967" i="95"/>
  <c r="K967" i="95"/>
  <c r="M967" i="95"/>
  <c r="O967" i="95"/>
  <c r="Q967" i="95"/>
  <c r="G968" i="95"/>
  <c r="I968" i="95"/>
  <c r="K968" i="95"/>
  <c r="M968" i="95"/>
  <c r="O968" i="95"/>
  <c r="Q968" i="95"/>
  <c r="G969" i="95"/>
  <c r="I969" i="95"/>
  <c r="K969" i="95"/>
  <c r="M969" i="95"/>
  <c r="O969" i="95"/>
  <c r="Q969" i="95"/>
  <c r="G970" i="95"/>
  <c r="I970" i="95"/>
  <c r="K970" i="95"/>
  <c r="M970" i="95"/>
  <c r="O970" i="95"/>
  <c r="Q970" i="95"/>
  <c r="G971" i="95"/>
  <c r="I971" i="95"/>
  <c r="K971" i="95"/>
  <c r="M971" i="95"/>
  <c r="O971" i="95"/>
  <c r="Q971" i="95"/>
  <c r="G972" i="95"/>
  <c r="I972" i="95"/>
  <c r="K972" i="95"/>
  <c r="M972" i="95"/>
  <c r="O972" i="95"/>
  <c r="Q972" i="95"/>
  <c r="G973" i="95"/>
  <c r="I973" i="95"/>
  <c r="K973" i="95"/>
  <c r="M973" i="95"/>
  <c r="O973" i="95"/>
  <c r="Q973" i="95"/>
  <c r="G974" i="95"/>
  <c r="I974" i="95"/>
  <c r="K974" i="95"/>
  <c r="M974" i="95"/>
  <c r="O974" i="95"/>
  <c r="Q974" i="95"/>
  <c r="G975" i="95"/>
  <c r="I975" i="95"/>
  <c r="K975" i="95"/>
  <c r="M975" i="95"/>
  <c r="O975" i="95"/>
  <c r="Q975" i="95"/>
  <c r="G976" i="95"/>
  <c r="I976" i="95"/>
  <c r="K976" i="95"/>
  <c r="M976" i="95"/>
  <c r="O976" i="95"/>
  <c r="Q976" i="95"/>
  <c r="G977" i="95"/>
  <c r="I977" i="95"/>
  <c r="K977" i="95"/>
  <c r="M977" i="95"/>
  <c r="O977" i="95"/>
  <c r="Q977" i="95"/>
  <c r="G978" i="95"/>
  <c r="I978" i="95"/>
  <c r="K978" i="95"/>
  <c r="M978" i="95"/>
  <c r="O978" i="95"/>
  <c r="Q978" i="95"/>
  <c r="G979" i="95"/>
  <c r="I979" i="95"/>
  <c r="K979" i="95"/>
  <c r="M979" i="95"/>
  <c r="O979" i="95"/>
  <c r="Q979" i="95"/>
  <c r="G980" i="95"/>
  <c r="I980" i="95"/>
  <c r="K980" i="95"/>
  <c r="M980" i="95"/>
  <c r="O980" i="95"/>
  <c r="Q980" i="95"/>
  <c r="G981" i="95"/>
  <c r="I981" i="95"/>
  <c r="K981" i="95"/>
  <c r="M981" i="95"/>
  <c r="O981" i="95"/>
  <c r="Q981" i="95"/>
  <c r="G982" i="95"/>
  <c r="I982" i="95"/>
  <c r="K982" i="95"/>
  <c r="M982" i="95"/>
  <c r="O982" i="95"/>
  <c r="Q982" i="95"/>
  <c r="G983" i="95"/>
  <c r="I983" i="95"/>
  <c r="K983" i="95"/>
  <c r="M983" i="95"/>
  <c r="O983" i="95"/>
  <c r="Q983" i="95"/>
  <c r="G984" i="95"/>
  <c r="I984" i="95"/>
  <c r="K984" i="95"/>
  <c r="M984" i="95"/>
  <c r="O984" i="95"/>
  <c r="Q984" i="95"/>
  <c r="G985" i="95"/>
  <c r="I985" i="95"/>
  <c r="K985" i="95"/>
  <c r="M985" i="95"/>
  <c r="O985" i="95"/>
  <c r="Q985" i="95"/>
  <c r="G986" i="95"/>
  <c r="I986" i="95"/>
  <c r="K986" i="95"/>
  <c r="M986" i="95"/>
  <c r="O986" i="95"/>
  <c r="Q986" i="95"/>
  <c r="G987" i="95"/>
  <c r="I987" i="95"/>
  <c r="K987" i="95"/>
  <c r="M987" i="95"/>
  <c r="O987" i="95"/>
  <c r="Q987" i="95"/>
  <c r="G988" i="95"/>
  <c r="I988" i="95"/>
  <c r="K988" i="95"/>
  <c r="M988" i="95"/>
  <c r="O988" i="95"/>
  <c r="Q988" i="95"/>
  <c r="G989" i="95"/>
  <c r="I989" i="95"/>
  <c r="K989" i="95"/>
  <c r="M989" i="95"/>
  <c r="O989" i="95"/>
  <c r="Q989" i="95"/>
  <c r="G990" i="95"/>
  <c r="I990" i="95"/>
  <c r="K990" i="95"/>
  <c r="M990" i="95"/>
  <c r="O990" i="95"/>
  <c r="Q990" i="95"/>
  <c r="G991" i="95"/>
  <c r="I991" i="95"/>
  <c r="K991" i="95"/>
  <c r="M991" i="95"/>
  <c r="O991" i="95"/>
  <c r="Q991" i="95"/>
  <c r="G992" i="95"/>
  <c r="I992" i="95"/>
  <c r="K992" i="95"/>
  <c r="M992" i="95"/>
  <c r="O992" i="95"/>
  <c r="Q992" i="95"/>
  <c r="G993" i="95"/>
  <c r="I993" i="95"/>
  <c r="K993" i="95"/>
  <c r="M993" i="95"/>
  <c r="O993" i="95"/>
  <c r="Q993" i="95"/>
  <c r="G994" i="95"/>
  <c r="I994" i="95"/>
  <c r="K994" i="95"/>
  <c r="M994" i="95"/>
  <c r="O994" i="95"/>
  <c r="Q994" i="95"/>
  <c r="G995" i="95"/>
  <c r="I995" i="95"/>
  <c r="K995" i="95"/>
  <c r="M995" i="95"/>
  <c r="O995" i="95"/>
  <c r="Q995" i="95"/>
  <c r="G996" i="95"/>
  <c r="I996" i="95"/>
  <c r="K996" i="95"/>
  <c r="M996" i="95"/>
  <c r="O996" i="95"/>
  <c r="Q996" i="95"/>
  <c r="G997" i="95"/>
  <c r="I997" i="95"/>
  <c r="K997" i="95"/>
  <c r="M997" i="95"/>
  <c r="O997" i="95"/>
  <c r="Q997" i="95"/>
  <c r="G998" i="95"/>
  <c r="I998" i="95"/>
  <c r="K998" i="95"/>
  <c r="M998" i="95"/>
  <c r="O998" i="95"/>
  <c r="Q998" i="95"/>
  <c r="G999" i="95"/>
  <c r="I999" i="95"/>
  <c r="K999" i="95"/>
  <c r="M999" i="95"/>
  <c r="O999" i="95"/>
  <c r="Q999" i="95"/>
  <c r="G1000" i="95"/>
  <c r="I1000" i="95"/>
  <c r="K1000" i="95"/>
  <c r="M1000" i="95"/>
  <c r="O1000" i="95"/>
  <c r="Q1000" i="95"/>
  <c r="G1001" i="95"/>
  <c r="I1001" i="95"/>
  <c r="K1001" i="95"/>
  <c r="M1001" i="95"/>
  <c r="O1001" i="95"/>
  <c r="Q1001" i="95"/>
  <c r="G1002" i="95"/>
  <c r="I1002" i="95"/>
  <c r="K1002" i="95"/>
  <c r="M1002" i="95"/>
  <c r="O1002" i="95"/>
  <c r="Q1002" i="95"/>
  <c r="G1003" i="95"/>
  <c r="I1003" i="95"/>
  <c r="K1003" i="95"/>
  <c r="M1003" i="95"/>
  <c r="O1003" i="95"/>
  <c r="Q1003" i="95"/>
  <c r="G1004" i="95"/>
  <c r="I1004" i="95"/>
  <c r="K1004" i="95"/>
  <c r="M1004" i="95"/>
  <c r="O1004" i="95"/>
  <c r="Q1004" i="95"/>
  <c r="G1005" i="95"/>
  <c r="I1005" i="95"/>
  <c r="K1005" i="95"/>
  <c r="M1005" i="95"/>
  <c r="O1005" i="95"/>
  <c r="Q1005" i="95"/>
  <c r="G1006" i="95"/>
  <c r="I1006" i="95"/>
  <c r="K1006" i="95"/>
  <c r="M1006" i="95"/>
  <c r="O1006" i="95"/>
  <c r="Q1006" i="95"/>
  <c r="G1007" i="95"/>
  <c r="I1007" i="95"/>
  <c r="K1007" i="95"/>
  <c r="M1007" i="95"/>
  <c r="O1007" i="95"/>
  <c r="Q1007" i="95"/>
  <c r="G1008" i="95"/>
  <c r="I1008" i="95"/>
  <c r="K1008" i="95"/>
  <c r="M1008" i="95"/>
  <c r="O1008" i="95"/>
  <c r="Q1008" i="95"/>
  <c r="G1009" i="95"/>
  <c r="I1009" i="95"/>
  <c r="K1009" i="95"/>
  <c r="M1009" i="95"/>
  <c r="O1009" i="95"/>
  <c r="Q1009" i="95"/>
  <c r="G1010" i="95"/>
  <c r="I1010" i="95"/>
  <c r="K1010" i="95"/>
  <c r="M1010" i="95"/>
  <c r="O1010" i="95"/>
  <c r="Q1010" i="95"/>
  <c r="G1011" i="95"/>
  <c r="I1011" i="95"/>
  <c r="K1011" i="95"/>
  <c r="M1011" i="95"/>
  <c r="O1011" i="95"/>
  <c r="Q1011" i="95"/>
  <c r="G1012" i="95"/>
  <c r="I1012" i="95"/>
  <c r="K1012" i="95"/>
  <c r="M1012" i="95"/>
  <c r="O1012" i="95"/>
  <c r="Q1012" i="95"/>
  <c r="G1013" i="95"/>
  <c r="I1013" i="95"/>
  <c r="K1013" i="95"/>
  <c r="M1013" i="95"/>
  <c r="O1013" i="95"/>
  <c r="Q1013" i="95"/>
  <c r="G1014" i="95"/>
  <c r="I1014" i="95"/>
  <c r="K1014" i="95"/>
  <c r="M1014" i="95"/>
  <c r="O1014" i="95"/>
  <c r="Q1014" i="95"/>
  <c r="G1015" i="95"/>
  <c r="I1015" i="95"/>
  <c r="K1015" i="95"/>
  <c r="M1015" i="95"/>
  <c r="O1015" i="95"/>
  <c r="Q1015" i="95"/>
  <c r="G1016" i="95"/>
  <c r="I1016" i="95"/>
  <c r="K1016" i="95"/>
  <c r="M1016" i="95"/>
  <c r="O1016" i="95"/>
  <c r="Q1016" i="95"/>
  <c r="G1017" i="95"/>
  <c r="I1017" i="95"/>
  <c r="K1017" i="95"/>
  <c r="M1017" i="95"/>
  <c r="O1017" i="95"/>
  <c r="Q1017" i="95"/>
  <c r="G1018" i="95"/>
  <c r="I1018" i="95"/>
  <c r="K1018" i="95"/>
  <c r="M1018" i="95"/>
  <c r="O1018" i="95"/>
  <c r="Q1018" i="95"/>
  <c r="G1019" i="95"/>
  <c r="I1019" i="95"/>
  <c r="K1019" i="95"/>
  <c r="M1019" i="95"/>
  <c r="O1019" i="95"/>
  <c r="Q1019" i="95"/>
  <c r="G1020" i="95"/>
  <c r="I1020" i="95"/>
  <c r="K1020" i="95"/>
  <c r="M1020" i="95"/>
  <c r="O1020" i="95"/>
  <c r="Q1020" i="95"/>
  <c r="G1021" i="95"/>
  <c r="I1021" i="95"/>
  <c r="K1021" i="95"/>
  <c r="M1021" i="95"/>
  <c r="O1021" i="95"/>
  <c r="Q1021" i="95"/>
  <c r="G1022" i="95"/>
  <c r="I1022" i="95"/>
  <c r="K1022" i="95"/>
  <c r="M1022" i="95"/>
  <c r="O1022" i="95"/>
  <c r="Q1022" i="95"/>
  <c r="G1023" i="95"/>
  <c r="I1023" i="95"/>
  <c r="K1023" i="95"/>
  <c r="M1023" i="95"/>
  <c r="O1023" i="95"/>
  <c r="Q1023" i="95"/>
  <c r="G1024" i="95"/>
  <c r="I1024" i="95"/>
  <c r="K1024" i="95"/>
  <c r="M1024" i="95"/>
  <c r="O1024" i="95"/>
  <c r="Q1024" i="95"/>
  <c r="G1025" i="95"/>
  <c r="I1025" i="95"/>
  <c r="K1025" i="95"/>
  <c r="M1025" i="95"/>
  <c r="O1025" i="95"/>
  <c r="Q1025" i="95"/>
  <c r="G1026" i="95"/>
  <c r="I1026" i="95"/>
  <c r="K1026" i="95"/>
  <c r="M1026" i="95"/>
  <c r="O1026" i="95"/>
  <c r="Q1026" i="95"/>
  <c r="G1027" i="95"/>
  <c r="I1027" i="95"/>
  <c r="K1027" i="95"/>
  <c r="M1027" i="95"/>
  <c r="O1027" i="95"/>
  <c r="Q1027" i="95"/>
  <c r="G1028" i="95"/>
  <c r="I1028" i="95"/>
  <c r="K1028" i="95"/>
  <c r="M1028" i="95"/>
  <c r="O1028" i="95"/>
  <c r="Q1028" i="95"/>
  <c r="G1029" i="95"/>
  <c r="I1029" i="95"/>
  <c r="K1029" i="95"/>
  <c r="M1029" i="95"/>
  <c r="O1029" i="95"/>
  <c r="Q1029" i="95"/>
  <c r="G1030" i="95"/>
  <c r="I1030" i="95"/>
  <c r="K1030" i="95"/>
  <c r="M1030" i="95"/>
  <c r="O1030" i="95"/>
  <c r="Q1030" i="95"/>
  <c r="G1031" i="95"/>
  <c r="I1031" i="95"/>
  <c r="K1031" i="95"/>
  <c r="M1031" i="95"/>
  <c r="O1031" i="95"/>
  <c r="Q1031" i="95"/>
  <c r="G1032" i="95"/>
  <c r="I1032" i="95"/>
  <c r="K1032" i="95"/>
  <c r="M1032" i="95"/>
  <c r="O1032" i="95"/>
  <c r="Q1032" i="95"/>
  <c r="G1033" i="95"/>
  <c r="I1033" i="95"/>
  <c r="K1033" i="95"/>
  <c r="M1033" i="95"/>
  <c r="O1033" i="95"/>
  <c r="Q1033" i="95"/>
  <c r="G1034" i="95"/>
  <c r="I1034" i="95"/>
  <c r="K1034" i="95"/>
  <c r="M1034" i="95"/>
  <c r="O1034" i="95"/>
  <c r="Q1034" i="95"/>
  <c r="G1035" i="95"/>
  <c r="I1035" i="95"/>
  <c r="K1035" i="95"/>
  <c r="M1035" i="95"/>
  <c r="O1035" i="95"/>
  <c r="Q1035" i="95"/>
  <c r="G1036" i="95"/>
  <c r="I1036" i="95"/>
  <c r="K1036" i="95"/>
  <c r="M1036" i="95"/>
  <c r="O1036" i="95"/>
  <c r="Q1036" i="95"/>
  <c r="G1037" i="95"/>
  <c r="I1037" i="95"/>
  <c r="K1037" i="95"/>
  <c r="M1037" i="95"/>
  <c r="O1037" i="95"/>
  <c r="Q1037" i="95"/>
  <c r="G1038" i="95"/>
  <c r="I1038" i="95"/>
  <c r="K1038" i="95"/>
  <c r="M1038" i="95"/>
  <c r="O1038" i="95"/>
  <c r="Q1038" i="95"/>
  <c r="G1039" i="95"/>
  <c r="I1039" i="95"/>
  <c r="K1039" i="95"/>
  <c r="M1039" i="95"/>
  <c r="O1039" i="95"/>
  <c r="Q1039" i="95"/>
  <c r="G1040" i="95"/>
  <c r="I1040" i="95"/>
  <c r="K1040" i="95"/>
  <c r="M1040" i="95"/>
  <c r="O1040" i="95"/>
  <c r="Q1040" i="95"/>
  <c r="G1041" i="95"/>
  <c r="I1041" i="95"/>
  <c r="K1041" i="95"/>
  <c r="M1041" i="95"/>
  <c r="O1041" i="95"/>
  <c r="Q1041" i="95"/>
  <c r="G1042" i="95"/>
  <c r="I1042" i="95"/>
  <c r="K1042" i="95"/>
  <c r="M1042" i="95"/>
  <c r="O1042" i="95"/>
  <c r="Q1042" i="95"/>
  <c r="G1043" i="95"/>
  <c r="I1043" i="95"/>
  <c r="K1043" i="95"/>
  <c r="M1043" i="95"/>
  <c r="O1043" i="95"/>
  <c r="Q1043" i="95"/>
  <c r="G1044" i="95"/>
  <c r="I1044" i="95"/>
  <c r="K1044" i="95"/>
  <c r="M1044" i="95"/>
  <c r="O1044" i="95"/>
  <c r="Q1044" i="95"/>
  <c r="G1045" i="95"/>
  <c r="I1045" i="95"/>
  <c r="K1045" i="95"/>
  <c r="M1045" i="95"/>
  <c r="O1045" i="95"/>
  <c r="Q1045" i="95"/>
  <c r="G1046" i="95"/>
  <c r="I1046" i="95"/>
  <c r="K1046" i="95"/>
  <c r="M1046" i="95"/>
  <c r="O1046" i="95"/>
  <c r="Q1046" i="95"/>
  <c r="G1047" i="95"/>
  <c r="I1047" i="95"/>
  <c r="K1047" i="95"/>
  <c r="M1047" i="95"/>
  <c r="O1047" i="95"/>
  <c r="Q1047" i="95"/>
  <c r="G1048" i="95"/>
  <c r="I1048" i="95"/>
  <c r="K1048" i="95"/>
  <c r="M1048" i="95"/>
  <c r="O1048" i="95"/>
  <c r="Q1048" i="95"/>
  <c r="G1049" i="95"/>
  <c r="I1049" i="95"/>
  <c r="K1049" i="95"/>
  <c r="M1049" i="95"/>
  <c r="O1049" i="95"/>
  <c r="Q1049" i="95"/>
  <c r="G1050" i="95"/>
  <c r="I1050" i="95"/>
  <c r="K1050" i="95"/>
  <c r="M1050" i="95"/>
  <c r="O1050" i="95"/>
  <c r="Q1050" i="95"/>
  <c r="G1051" i="95"/>
  <c r="I1051" i="95"/>
  <c r="K1051" i="95"/>
  <c r="M1051" i="95"/>
  <c r="O1051" i="95"/>
  <c r="Q1051" i="95"/>
  <c r="G1052" i="95"/>
  <c r="I1052" i="95"/>
  <c r="K1052" i="95"/>
  <c r="M1052" i="95"/>
  <c r="O1052" i="95"/>
  <c r="Q1052" i="95"/>
  <c r="G1053" i="95"/>
  <c r="I1053" i="95"/>
  <c r="K1053" i="95"/>
  <c r="M1053" i="95"/>
  <c r="O1053" i="95"/>
  <c r="Q1053" i="95"/>
  <c r="G1054" i="95"/>
  <c r="I1054" i="95"/>
  <c r="K1054" i="95"/>
  <c r="M1054" i="95"/>
  <c r="O1054" i="95"/>
  <c r="Q1054" i="95"/>
  <c r="G1055" i="95"/>
  <c r="I1055" i="95"/>
  <c r="K1055" i="95"/>
  <c r="M1055" i="95"/>
  <c r="O1055" i="95"/>
  <c r="Q1055" i="95"/>
  <c r="G1056" i="95"/>
  <c r="I1056" i="95"/>
  <c r="K1056" i="95"/>
  <c r="M1056" i="95"/>
  <c r="O1056" i="95"/>
  <c r="Q1056" i="95"/>
  <c r="G1057" i="95"/>
  <c r="I1057" i="95"/>
  <c r="K1057" i="95"/>
  <c r="M1057" i="95"/>
  <c r="O1057" i="95"/>
  <c r="Q1057" i="95"/>
  <c r="G1058" i="95"/>
  <c r="I1058" i="95"/>
  <c r="K1058" i="95"/>
  <c r="M1058" i="95"/>
  <c r="O1058" i="95"/>
  <c r="Q1058" i="95"/>
  <c r="G1059" i="95"/>
  <c r="I1059" i="95"/>
  <c r="K1059" i="95"/>
  <c r="M1059" i="95"/>
  <c r="O1059" i="95"/>
  <c r="Q1059" i="95"/>
  <c r="G1060" i="95"/>
  <c r="I1060" i="95"/>
  <c r="K1060" i="95"/>
  <c r="M1060" i="95"/>
  <c r="O1060" i="95"/>
  <c r="Q1060" i="95"/>
  <c r="G1061" i="95"/>
  <c r="I1061" i="95"/>
  <c r="K1061" i="95"/>
  <c r="M1061" i="95"/>
  <c r="O1061" i="95"/>
  <c r="Q1061" i="95"/>
  <c r="G1062" i="95"/>
  <c r="I1062" i="95"/>
  <c r="K1062" i="95"/>
  <c r="M1062" i="95"/>
  <c r="O1062" i="95"/>
  <c r="Q1062" i="95"/>
  <c r="G1063" i="95"/>
  <c r="I1063" i="95"/>
  <c r="K1063" i="95"/>
  <c r="M1063" i="95"/>
  <c r="O1063" i="95"/>
  <c r="Q1063" i="95"/>
  <c r="G1064" i="95"/>
  <c r="I1064" i="95"/>
  <c r="K1064" i="95"/>
  <c r="M1064" i="95"/>
  <c r="O1064" i="95"/>
  <c r="Q1064" i="95"/>
  <c r="G1065" i="95"/>
  <c r="I1065" i="95"/>
  <c r="K1065" i="95"/>
  <c r="M1065" i="95"/>
  <c r="O1065" i="95"/>
  <c r="Q1065" i="95"/>
  <c r="G1066" i="95"/>
  <c r="I1066" i="95"/>
  <c r="K1066" i="95"/>
  <c r="M1066" i="95"/>
  <c r="O1066" i="95"/>
  <c r="Q1066" i="95"/>
  <c r="G1067" i="95"/>
  <c r="I1067" i="95"/>
  <c r="K1067" i="95"/>
  <c r="M1067" i="95"/>
  <c r="O1067" i="95"/>
  <c r="Q1067" i="95"/>
  <c r="G1068" i="95"/>
  <c r="I1068" i="95"/>
  <c r="K1068" i="95"/>
  <c r="M1068" i="95"/>
  <c r="O1068" i="95"/>
  <c r="Q1068" i="95"/>
  <c r="G1069" i="95"/>
  <c r="I1069" i="95"/>
  <c r="K1069" i="95"/>
  <c r="M1069" i="95"/>
  <c r="O1069" i="95"/>
  <c r="Q1069" i="95"/>
  <c r="G1070" i="95"/>
  <c r="I1070" i="95"/>
  <c r="K1070" i="95"/>
  <c r="M1070" i="95"/>
  <c r="O1070" i="95"/>
  <c r="Q1070" i="95"/>
  <c r="G1071" i="95"/>
  <c r="I1071" i="95"/>
  <c r="K1071" i="95"/>
  <c r="M1071" i="95"/>
  <c r="O1071" i="95"/>
  <c r="Q1071" i="95"/>
  <c r="G1072" i="95"/>
  <c r="I1072" i="95"/>
  <c r="K1072" i="95"/>
  <c r="M1072" i="95"/>
  <c r="O1072" i="95"/>
  <c r="Q1072" i="95"/>
  <c r="G1073" i="95"/>
  <c r="I1073" i="95"/>
  <c r="K1073" i="95"/>
  <c r="M1073" i="95"/>
  <c r="O1073" i="95"/>
  <c r="Q1073" i="95"/>
  <c r="G1074" i="95"/>
  <c r="I1074" i="95"/>
  <c r="K1074" i="95"/>
  <c r="M1074" i="95"/>
  <c r="O1074" i="95"/>
  <c r="Q1074" i="95"/>
  <c r="G1075" i="95"/>
  <c r="I1075" i="95"/>
  <c r="K1075" i="95"/>
  <c r="M1075" i="95"/>
  <c r="O1075" i="95"/>
  <c r="Q1075" i="95"/>
  <c r="G1076" i="95"/>
  <c r="I1076" i="95"/>
  <c r="K1076" i="95"/>
  <c r="M1076" i="95"/>
  <c r="O1076" i="95"/>
  <c r="Q1076" i="95"/>
  <c r="G1077" i="95"/>
  <c r="I1077" i="95"/>
  <c r="K1077" i="95"/>
  <c r="M1077" i="95"/>
  <c r="O1077" i="95"/>
  <c r="Q1077" i="95"/>
  <c r="G1078" i="95"/>
  <c r="I1078" i="95"/>
  <c r="K1078" i="95"/>
  <c r="M1078" i="95"/>
  <c r="O1078" i="95"/>
  <c r="Q1078" i="95"/>
  <c r="G1079" i="95"/>
  <c r="I1079" i="95"/>
  <c r="K1079" i="95"/>
  <c r="M1079" i="95"/>
  <c r="O1079" i="95"/>
  <c r="Q1079" i="95"/>
  <c r="G1080" i="95"/>
  <c r="I1080" i="95"/>
  <c r="K1080" i="95"/>
  <c r="M1080" i="95"/>
  <c r="O1080" i="95"/>
  <c r="Q1080" i="95"/>
  <c r="G1081" i="95"/>
  <c r="I1081" i="95"/>
  <c r="K1081" i="95"/>
  <c r="M1081" i="95"/>
  <c r="O1081" i="95"/>
  <c r="Q1081" i="95"/>
  <c r="G1082" i="95"/>
  <c r="I1082" i="95"/>
  <c r="K1082" i="95"/>
  <c r="M1082" i="95"/>
  <c r="O1082" i="95"/>
  <c r="Q1082" i="95"/>
  <c r="G1083" i="95"/>
  <c r="I1083" i="95"/>
  <c r="K1083" i="95"/>
  <c r="M1083" i="95"/>
  <c r="O1083" i="95"/>
  <c r="Q1083" i="95"/>
  <c r="G1084" i="95"/>
  <c r="I1084" i="95"/>
  <c r="K1084" i="95"/>
  <c r="M1084" i="95"/>
  <c r="O1084" i="95"/>
  <c r="Q1084" i="95"/>
  <c r="G1085" i="95"/>
  <c r="I1085" i="95"/>
  <c r="K1085" i="95"/>
  <c r="M1085" i="95"/>
  <c r="O1085" i="95"/>
  <c r="Q1085" i="95"/>
  <c r="G1086" i="95"/>
  <c r="I1086" i="95"/>
  <c r="K1086" i="95"/>
  <c r="M1086" i="95"/>
  <c r="O1086" i="95"/>
  <c r="Q1086" i="95"/>
  <c r="G1087" i="95"/>
  <c r="I1087" i="95"/>
  <c r="K1087" i="95"/>
  <c r="M1087" i="95"/>
  <c r="O1087" i="95"/>
  <c r="Q1087" i="95"/>
  <c r="G1088" i="95"/>
  <c r="I1088" i="95"/>
  <c r="K1088" i="95"/>
  <c r="M1088" i="95"/>
  <c r="O1088" i="95"/>
  <c r="Q1088" i="95"/>
  <c r="G1089" i="95"/>
  <c r="I1089" i="95"/>
  <c r="K1089" i="95"/>
  <c r="M1089" i="95"/>
  <c r="O1089" i="95"/>
  <c r="Q1089" i="95"/>
  <c r="G1090" i="95"/>
  <c r="I1090" i="95"/>
  <c r="K1090" i="95"/>
  <c r="M1090" i="95"/>
  <c r="O1090" i="95"/>
  <c r="Q1090" i="95"/>
  <c r="G1091" i="95"/>
  <c r="I1091" i="95"/>
  <c r="K1091" i="95"/>
  <c r="M1091" i="95"/>
  <c r="O1091" i="95"/>
  <c r="Q1091" i="95"/>
  <c r="G1092" i="95"/>
  <c r="I1092" i="95"/>
  <c r="K1092" i="95"/>
  <c r="M1092" i="95"/>
  <c r="O1092" i="95"/>
  <c r="Q1092" i="95"/>
  <c r="G1093" i="95"/>
  <c r="I1093" i="95"/>
  <c r="K1093" i="95"/>
  <c r="M1093" i="95"/>
  <c r="O1093" i="95"/>
  <c r="Q1093" i="95"/>
  <c r="G1094" i="95"/>
  <c r="I1094" i="95"/>
  <c r="K1094" i="95"/>
  <c r="M1094" i="95"/>
  <c r="O1094" i="95"/>
  <c r="Q1094" i="95"/>
  <c r="G1095" i="95"/>
  <c r="I1095" i="95"/>
  <c r="K1095" i="95"/>
  <c r="M1095" i="95"/>
  <c r="O1095" i="95"/>
  <c r="Q1095" i="95"/>
  <c r="G1096" i="95"/>
  <c r="I1096" i="95"/>
  <c r="K1096" i="95"/>
  <c r="M1096" i="95"/>
  <c r="O1096" i="95"/>
  <c r="Q1096" i="95"/>
  <c r="G1097" i="95"/>
  <c r="I1097" i="95"/>
  <c r="K1097" i="95"/>
  <c r="M1097" i="95"/>
  <c r="O1097" i="95"/>
  <c r="Q1097" i="95"/>
  <c r="G1098" i="95"/>
  <c r="I1098" i="95"/>
  <c r="K1098" i="95"/>
  <c r="M1098" i="95"/>
  <c r="O1098" i="95"/>
  <c r="Q1098" i="95"/>
  <c r="G1099" i="95"/>
  <c r="I1099" i="95"/>
  <c r="K1099" i="95"/>
  <c r="M1099" i="95"/>
  <c r="O1099" i="95"/>
  <c r="Q1099" i="95"/>
  <c r="G1100" i="95"/>
  <c r="I1100" i="95"/>
  <c r="K1100" i="95"/>
  <c r="M1100" i="95"/>
  <c r="O1100" i="95"/>
  <c r="Q1100" i="95"/>
  <c r="G1101" i="95"/>
  <c r="I1101" i="95"/>
  <c r="K1101" i="95"/>
  <c r="M1101" i="95"/>
  <c r="O1101" i="95"/>
  <c r="Q1101" i="95"/>
  <c r="G1102" i="95"/>
  <c r="I1102" i="95"/>
  <c r="K1102" i="95"/>
  <c r="M1102" i="95"/>
  <c r="O1102" i="95"/>
  <c r="Q1102" i="95"/>
  <c r="G1103" i="95"/>
  <c r="I1103" i="95"/>
  <c r="K1103" i="95"/>
  <c r="M1103" i="95"/>
  <c r="O1103" i="95"/>
  <c r="Q1103" i="95"/>
  <c r="G1104" i="95"/>
  <c r="I1104" i="95"/>
  <c r="K1104" i="95"/>
  <c r="M1104" i="95"/>
  <c r="O1104" i="95"/>
  <c r="Q1104" i="95"/>
  <c r="G1105" i="95"/>
  <c r="I1105" i="95"/>
  <c r="K1105" i="95"/>
  <c r="M1105" i="95"/>
  <c r="O1105" i="95"/>
  <c r="Q1105" i="95"/>
  <c r="G1106" i="95"/>
  <c r="I1106" i="95"/>
  <c r="K1106" i="95"/>
  <c r="M1106" i="95"/>
  <c r="O1106" i="95"/>
  <c r="Q1106" i="95"/>
  <c r="G1107" i="95"/>
  <c r="I1107" i="95"/>
  <c r="K1107" i="95"/>
  <c r="M1107" i="95"/>
  <c r="O1107" i="95"/>
  <c r="Q1107" i="95"/>
  <c r="G1108" i="95"/>
  <c r="I1108" i="95"/>
  <c r="K1108" i="95"/>
  <c r="M1108" i="95"/>
  <c r="O1108" i="95"/>
  <c r="Q1108" i="95"/>
  <c r="G1109" i="95"/>
  <c r="I1109" i="95"/>
  <c r="K1109" i="95"/>
  <c r="M1109" i="95"/>
  <c r="O1109" i="95"/>
  <c r="Q1109" i="95"/>
  <c r="G1110" i="95"/>
  <c r="I1110" i="95"/>
  <c r="K1110" i="95"/>
  <c r="M1110" i="95"/>
  <c r="O1110" i="95"/>
  <c r="Q1110" i="95"/>
  <c r="G1111" i="95"/>
  <c r="I1111" i="95"/>
  <c r="K1111" i="95"/>
  <c r="M1111" i="95"/>
  <c r="O1111" i="95"/>
  <c r="Q1111" i="95"/>
  <c r="G1112" i="95"/>
  <c r="I1112" i="95"/>
  <c r="K1112" i="95"/>
  <c r="M1112" i="95"/>
  <c r="O1112" i="95"/>
  <c r="Q1112" i="95"/>
  <c r="G1113" i="95"/>
  <c r="I1113" i="95"/>
  <c r="K1113" i="95"/>
  <c r="M1113" i="95"/>
  <c r="O1113" i="95"/>
  <c r="Q1113" i="95"/>
  <c r="G1114" i="95"/>
  <c r="I1114" i="95"/>
  <c r="K1114" i="95"/>
  <c r="M1114" i="95"/>
  <c r="O1114" i="95"/>
  <c r="Q1114" i="95"/>
  <c r="G1115" i="95"/>
  <c r="I1115" i="95"/>
  <c r="K1115" i="95"/>
  <c r="M1115" i="95"/>
  <c r="O1115" i="95"/>
  <c r="Q1115" i="95"/>
  <c r="G1116" i="95"/>
  <c r="I1116" i="95"/>
  <c r="K1116" i="95"/>
  <c r="M1116" i="95"/>
  <c r="O1116" i="95"/>
  <c r="Q1116" i="95"/>
  <c r="G1117" i="95"/>
  <c r="I1117" i="95"/>
  <c r="K1117" i="95"/>
  <c r="M1117" i="95"/>
  <c r="O1117" i="95"/>
  <c r="Q1117" i="95"/>
  <c r="G1118" i="95"/>
  <c r="I1118" i="95"/>
  <c r="K1118" i="95"/>
  <c r="M1118" i="95"/>
  <c r="O1118" i="95"/>
  <c r="Q1118" i="95"/>
  <c r="G1119" i="95"/>
  <c r="I1119" i="95"/>
  <c r="K1119" i="95"/>
  <c r="M1119" i="95"/>
  <c r="O1119" i="95"/>
  <c r="Q1119" i="95"/>
  <c r="G1120" i="95"/>
  <c r="I1120" i="95"/>
  <c r="K1120" i="95"/>
  <c r="M1120" i="95"/>
  <c r="O1120" i="95"/>
  <c r="Q1120" i="95"/>
  <c r="G1121" i="95"/>
  <c r="I1121" i="95"/>
  <c r="K1121" i="95"/>
  <c r="M1121" i="95"/>
  <c r="O1121" i="95"/>
  <c r="Q1121" i="95"/>
  <c r="G1122" i="95"/>
  <c r="I1122" i="95"/>
  <c r="K1122" i="95"/>
  <c r="M1122" i="95"/>
  <c r="O1122" i="95"/>
  <c r="Q1122" i="95"/>
  <c r="G1123" i="95"/>
  <c r="I1123" i="95"/>
  <c r="K1123" i="95"/>
  <c r="M1123" i="95"/>
  <c r="O1123" i="95"/>
  <c r="Q1123" i="95"/>
  <c r="G1124" i="95"/>
  <c r="I1124" i="95"/>
  <c r="K1124" i="95"/>
  <c r="M1124" i="95"/>
  <c r="O1124" i="95"/>
  <c r="Q1124" i="95"/>
  <c r="G1125" i="95"/>
  <c r="I1125" i="95"/>
  <c r="K1125" i="95"/>
  <c r="M1125" i="95"/>
  <c r="O1125" i="95"/>
  <c r="Q1125" i="95"/>
  <c r="G1126" i="95"/>
  <c r="I1126" i="95"/>
  <c r="K1126" i="95"/>
  <c r="M1126" i="95"/>
  <c r="O1126" i="95"/>
  <c r="Q1126" i="95"/>
  <c r="G1127" i="95"/>
  <c r="I1127" i="95"/>
  <c r="K1127" i="95"/>
  <c r="M1127" i="95"/>
  <c r="O1127" i="95"/>
  <c r="Q1127" i="95"/>
  <c r="G1128" i="95"/>
  <c r="I1128" i="95"/>
  <c r="K1128" i="95"/>
  <c r="M1128" i="95"/>
  <c r="O1128" i="95"/>
  <c r="Q1128" i="95"/>
  <c r="G1129" i="95"/>
  <c r="I1129" i="95"/>
  <c r="K1129" i="95"/>
  <c r="M1129" i="95"/>
  <c r="O1129" i="95"/>
  <c r="Q1129" i="95"/>
  <c r="G1130" i="95"/>
  <c r="I1130" i="95"/>
  <c r="K1130" i="95"/>
  <c r="M1130" i="95"/>
  <c r="O1130" i="95"/>
  <c r="Q1130" i="95"/>
  <c r="G1131" i="95"/>
  <c r="I1131" i="95"/>
  <c r="K1131" i="95"/>
  <c r="M1131" i="95"/>
  <c r="O1131" i="95"/>
  <c r="Q1131" i="95"/>
  <c r="G1132" i="95"/>
  <c r="I1132" i="95"/>
  <c r="K1132" i="95"/>
  <c r="M1132" i="95"/>
  <c r="O1132" i="95"/>
  <c r="Q1132" i="95"/>
  <c r="G1133" i="95"/>
  <c r="I1133" i="95"/>
  <c r="K1133" i="95"/>
  <c r="M1133" i="95"/>
  <c r="O1133" i="95"/>
  <c r="Q1133" i="95"/>
  <c r="G1134" i="95"/>
  <c r="I1134" i="95"/>
  <c r="K1134" i="95"/>
  <c r="M1134" i="95"/>
  <c r="O1134" i="95"/>
  <c r="Q1134" i="95"/>
  <c r="G1135" i="95"/>
  <c r="I1135" i="95"/>
  <c r="K1135" i="95"/>
  <c r="M1135" i="95"/>
  <c r="O1135" i="95"/>
  <c r="Q1135" i="95"/>
  <c r="G1136" i="95"/>
  <c r="I1136" i="95"/>
  <c r="K1136" i="95"/>
  <c r="M1136" i="95"/>
  <c r="O1136" i="95"/>
  <c r="Q1136" i="95"/>
  <c r="G1137" i="95"/>
  <c r="I1137" i="95"/>
  <c r="K1137" i="95"/>
  <c r="M1137" i="95"/>
  <c r="O1137" i="95"/>
  <c r="Q1137" i="95"/>
  <c r="G1138" i="95"/>
  <c r="I1138" i="95"/>
  <c r="K1138" i="95"/>
  <c r="M1138" i="95"/>
  <c r="O1138" i="95"/>
  <c r="Q1138" i="95"/>
  <c r="G1139" i="95"/>
  <c r="I1139" i="95"/>
  <c r="K1139" i="95"/>
  <c r="M1139" i="95"/>
  <c r="O1139" i="95"/>
  <c r="Q1139" i="95"/>
  <c r="G1140" i="95"/>
  <c r="I1140" i="95"/>
  <c r="K1140" i="95"/>
  <c r="M1140" i="95"/>
  <c r="O1140" i="95"/>
  <c r="Q1140" i="95"/>
  <c r="G1141" i="95"/>
  <c r="I1141" i="95"/>
  <c r="K1141" i="95"/>
  <c r="M1141" i="95"/>
  <c r="O1141" i="95"/>
  <c r="Q1141" i="95"/>
  <c r="G1142" i="95"/>
  <c r="I1142" i="95"/>
  <c r="K1142" i="95"/>
  <c r="M1142" i="95"/>
  <c r="O1142" i="95"/>
  <c r="Q1142" i="95"/>
  <c r="G1143" i="95"/>
  <c r="I1143" i="95"/>
  <c r="K1143" i="95"/>
  <c r="M1143" i="95"/>
  <c r="O1143" i="95"/>
  <c r="Q1143" i="95"/>
  <c r="G1144" i="95"/>
  <c r="I1144" i="95"/>
  <c r="K1144" i="95"/>
  <c r="M1144" i="95"/>
  <c r="O1144" i="95"/>
  <c r="Q1144" i="95"/>
  <c r="G1145" i="95"/>
  <c r="I1145" i="95"/>
  <c r="K1145" i="95"/>
  <c r="M1145" i="95"/>
  <c r="O1145" i="95"/>
  <c r="Q1145" i="95"/>
  <c r="G1146" i="95"/>
  <c r="I1146" i="95"/>
  <c r="K1146" i="95"/>
  <c r="M1146" i="95"/>
  <c r="O1146" i="95"/>
  <c r="Q1146" i="95"/>
  <c r="G1147" i="95"/>
  <c r="I1147" i="95"/>
  <c r="K1147" i="95"/>
  <c r="M1147" i="95"/>
  <c r="O1147" i="95"/>
  <c r="Q1147" i="95"/>
  <c r="G1148" i="95"/>
  <c r="I1148" i="95"/>
  <c r="K1148" i="95"/>
  <c r="M1148" i="95"/>
  <c r="O1148" i="95"/>
  <c r="Q1148" i="95"/>
  <c r="G1149" i="95"/>
  <c r="I1149" i="95"/>
  <c r="K1149" i="95"/>
  <c r="M1149" i="95"/>
  <c r="O1149" i="95"/>
  <c r="Q1149" i="95"/>
  <c r="G1150" i="95"/>
  <c r="I1150" i="95"/>
  <c r="K1150" i="95"/>
  <c r="M1150" i="95"/>
  <c r="O1150" i="95"/>
  <c r="Q1150" i="95"/>
  <c r="G1151" i="95"/>
  <c r="I1151" i="95"/>
  <c r="K1151" i="95"/>
  <c r="M1151" i="95"/>
  <c r="O1151" i="95"/>
  <c r="Q1151" i="95"/>
  <c r="G1152" i="95"/>
  <c r="I1152" i="95"/>
  <c r="K1152" i="95"/>
  <c r="M1152" i="95"/>
  <c r="O1152" i="95"/>
  <c r="Q1152" i="95"/>
  <c r="G1153" i="95"/>
  <c r="I1153" i="95"/>
  <c r="K1153" i="95"/>
  <c r="M1153" i="95"/>
  <c r="O1153" i="95"/>
  <c r="Q1153" i="95"/>
  <c r="G1154" i="95"/>
  <c r="I1154" i="95"/>
  <c r="K1154" i="95"/>
  <c r="M1154" i="95"/>
  <c r="O1154" i="95"/>
  <c r="Q1154" i="95"/>
  <c r="G1155" i="95"/>
  <c r="I1155" i="95"/>
  <c r="K1155" i="95"/>
  <c r="M1155" i="95"/>
  <c r="O1155" i="95"/>
  <c r="Q1155" i="95"/>
  <c r="G1156" i="95"/>
  <c r="I1156" i="95"/>
  <c r="K1156" i="95"/>
  <c r="M1156" i="95"/>
  <c r="O1156" i="95"/>
  <c r="Q1156" i="95"/>
  <c r="G1157" i="95"/>
  <c r="I1157" i="95"/>
  <c r="K1157" i="95"/>
  <c r="M1157" i="95"/>
  <c r="O1157" i="95"/>
  <c r="Q1157" i="95"/>
  <c r="G1158" i="95"/>
  <c r="I1158" i="95"/>
  <c r="K1158" i="95"/>
  <c r="M1158" i="95"/>
  <c r="O1158" i="95"/>
  <c r="Q1158" i="95"/>
  <c r="G1159" i="95"/>
  <c r="I1159" i="95"/>
  <c r="K1159" i="95"/>
  <c r="M1159" i="95"/>
  <c r="O1159" i="95"/>
  <c r="Q1159" i="95"/>
  <c r="G1160" i="95"/>
  <c r="I1160" i="95"/>
  <c r="K1160" i="95"/>
  <c r="M1160" i="95"/>
  <c r="O1160" i="95"/>
  <c r="Q1160" i="95"/>
  <c r="G1161" i="95"/>
  <c r="I1161" i="95"/>
  <c r="K1161" i="95"/>
  <c r="M1161" i="95"/>
  <c r="O1161" i="95"/>
  <c r="Q1161" i="95"/>
  <c r="G1162" i="95"/>
  <c r="I1162" i="95"/>
  <c r="K1162" i="95"/>
  <c r="M1162" i="95"/>
  <c r="O1162" i="95"/>
  <c r="Q1162" i="95"/>
  <c r="G1163" i="95"/>
  <c r="I1163" i="95"/>
  <c r="K1163" i="95"/>
  <c r="M1163" i="95"/>
  <c r="O1163" i="95"/>
  <c r="Q1163" i="95"/>
  <c r="G1164" i="95"/>
  <c r="I1164" i="95"/>
  <c r="K1164" i="95"/>
  <c r="M1164" i="95"/>
  <c r="O1164" i="95"/>
  <c r="Q1164" i="95"/>
  <c r="G1165" i="95"/>
  <c r="I1165" i="95"/>
  <c r="K1165" i="95"/>
  <c r="M1165" i="95"/>
  <c r="O1165" i="95"/>
  <c r="Q1165" i="95"/>
  <c r="G1166" i="95"/>
  <c r="I1166" i="95"/>
  <c r="K1166" i="95"/>
  <c r="M1166" i="95"/>
  <c r="O1166" i="95"/>
  <c r="Q1166" i="95"/>
  <c r="G1167" i="95"/>
  <c r="I1167" i="95"/>
  <c r="K1167" i="95"/>
  <c r="M1167" i="95"/>
  <c r="O1167" i="95"/>
  <c r="Q1167" i="95"/>
  <c r="G1168" i="95"/>
  <c r="I1168" i="95"/>
  <c r="K1168" i="95"/>
  <c r="M1168" i="95"/>
  <c r="O1168" i="95"/>
  <c r="Q1168" i="95"/>
  <c r="G1169" i="95"/>
  <c r="I1169" i="95"/>
  <c r="K1169" i="95"/>
  <c r="M1169" i="95"/>
  <c r="O1169" i="95"/>
  <c r="Q1169" i="95"/>
  <c r="G1170" i="95"/>
  <c r="I1170" i="95"/>
  <c r="K1170" i="95"/>
  <c r="M1170" i="95"/>
  <c r="O1170" i="95"/>
  <c r="Q1170" i="95"/>
  <c r="C530" i="95"/>
  <c r="C531" i="95"/>
  <c r="C532" i="95"/>
  <c r="C533" i="95"/>
  <c r="C534" i="95"/>
  <c r="C535" i="95"/>
  <c r="C536" i="95"/>
  <c r="C537" i="95"/>
  <c r="C538" i="95"/>
  <c r="C539" i="95"/>
  <c r="C540" i="95"/>
  <c r="C541" i="95"/>
  <c r="C542" i="95"/>
  <c r="C543" i="95"/>
  <c r="C544" i="95"/>
  <c r="C545" i="95"/>
  <c r="C546" i="95"/>
  <c r="C547" i="95"/>
  <c r="C548" i="95"/>
  <c r="C549" i="95"/>
  <c r="C550" i="95"/>
  <c r="C551" i="95"/>
  <c r="C552" i="95"/>
  <c r="C553" i="95"/>
  <c r="C554" i="95"/>
  <c r="C555" i="95"/>
  <c r="C556" i="95"/>
  <c r="C557" i="95"/>
  <c r="C558" i="95"/>
  <c r="C559" i="95"/>
  <c r="C560" i="95"/>
  <c r="C561" i="95"/>
  <c r="C562" i="95"/>
  <c r="C563" i="95"/>
  <c r="C564" i="95"/>
  <c r="C565" i="95"/>
  <c r="C566" i="95"/>
  <c r="C567" i="95"/>
  <c r="C568" i="95"/>
  <c r="C569" i="95"/>
  <c r="C570" i="95"/>
  <c r="C571" i="95"/>
  <c r="C572" i="95"/>
  <c r="C573" i="95"/>
  <c r="C574" i="95"/>
  <c r="C575" i="95"/>
  <c r="C576" i="95"/>
  <c r="C577" i="95"/>
  <c r="C578" i="95"/>
  <c r="C579" i="95"/>
  <c r="C580" i="95"/>
  <c r="C581" i="95"/>
  <c r="C582" i="95"/>
  <c r="C583" i="95"/>
  <c r="C584" i="95"/>
  <c r="C585" i="95"/>
  <c r="C586" i="95"/>
  <c r="C587" i="95"/>
  <c r="C588" i="95"/>
  <c r="C589" i="95"/>
  <c r="C590" i="95"/>
  <c r="C591" i="95"/>
  <c r="C592" i="95"/>
  <c r="C593" i="95"/>
  <c r="C594" i="95"/>
  <c r="C595" i="95"/>
  <c r="C596" i="95"/>
  <c r="C597" i="95"/>
  <c r="C598" i="95"/>
  <c r="C599" i="95"/>
  <c r="C600" i="95"/>
  <c r="C601" i="95"/>
  <c r="C602" i="95"/>
  <c r="C603" i="95"/>
  <c r="C604" i="95"/>
  <c r="C605" i="95"/>
  <c r="C606" i="95"/>
  <c r="C607" i="95"/>
  <c r="C608" i="95"/>
  <c r="C609" i="95"/>
  <c r="C610" i="95"/>
  <c r="C611" i="95"/>
  <c r="C612" i="95"/>
  <c r="C613" i="95"/>
  <c r="C614" i="95"/>
  <c r="C615" i="95"/>
  <c r="C616" i="95"/>
  <c r="C617" i="95"/>
  <c r="C618" i="95"/>
  <c r="C619" i="95"/>
  <c r="C620" i="95"/>
  <c r="C621" i="95"/>
  <c r="C622" i="95"/>
  <c r="C623" i="95"/>
  <c r="C624" i="95"/>
  <c r="C625" i="95"/>
  <c r="C626" i="95"/>
  <c r="C627" i="95"/>
  <c r="C628" i="95"/>
  <c r="C629" i="95"/>
  <c r="C630" i="95"/>
  <c r="C631" i="95"/>
  <c r="C632" i="95"/>
  <c r="C633" i="95"/>
  <c r="C634" i="95"/>
  <c r="C635" i="95"/>
  <c r="C636" i="95"/>
  <c r="C637" i="95"/>
  <c r="C638" i="95"/>
  <c r="C639" i="95"/>
  <c r="C640" i="95"/>
  <c r="C641" i="95"/>
  <c r="C642" i="95"/>
  <c r="C643" i="95"/>
  <c r="C644" i="95"/>
  <c r="C645" i="95"/>
  <c r="C646" i="95"/>
  <c r="C647" i="95"/>
  <c r="C648" i="95"/>
  <c r="C649" i="95"/>
  <c r="C650" i="95"/>
  <c r="C651" i="95"/>
  <c r="C652" i="95"/>
  <c r="C653" i="95"/>
  <c r="C654" i="95"/>
  <c r="C655" i="95"/>
  <c r="C656" i="95"/>
  <c r="C657" i="95"/>
  <c r="C658" i="95"/>
  <c r="C659" i="95"/>
  <c r="C660" i="95"/>
  <c r="C661" i="95"/>
  <c r="C662" i="95"/>
  <c r="C663" i="95"/>
  <c r="C664" i="95"/>
  <c r="C665" i="95"/>
  <c r="C666" i="95"/>
  <c r="C667" i="95"/>
  <c r="C668" i="95"/>
  <c r="C669" i="95"/>
  <c r="C670" i="95"/>
  <c r="C671" i="95"/>
  <c r="C672" i="95"/>
  <c r="C673" i="95"/>
  <c r="C674" i="95"/>
  <c r="C675" i="95"/>
  <c r="C676" i="95"/>
  <c r="C677" i="95"/>
  <c r="C678" i="95"/>
  <c r="C679" i="95"/>
  <c r="C680" i="95"/>
  <c r="C681" i="95"/>
  <c r="C682" i="95"/>
  <c r="C683" i="95"/>
  <c r="C684" i="95"/>
  <c r="C685" i="95"/>
  <c r="C686" i="95"/>
  <c r="C687" i="95"/>
  <c r="C688" i="95"/>
  <c r="C689" i="95"/>
  <c r="C690" i="95"/>
  <c r="C691" i="95"/>
  <c r="C692" i="95"/>
  <c r="C693" i="95"/>
  <c r="C694" i="95"/>
  <c r="C695" i="95"/>
  <c r="C696" i="95"/>
  <c r="C697" i="95"/>
  <c r="C698" i="95"/>
  <c r="C699" i="95"/>
  <c r="C700" i="95"/>
  <c r="C701" i="95"/>
  <c r="C702" i="95"/>
  <c r="C703" i="95"/>
  <c r="C704" i="95"/>
  <c r="C705" i="95"/>
  <c r="C706" i="95"/>
  <c r="C707" i="95"/>
  <c r="C708" i="95"/>
  <c r="C709" i="95"/>
  <c r="C710" i="95"/>
  <c r="C711" i="95"/>
  <c r="C712" i="95"/>
  <c r="C713" i="95"/>
  <c r="C714" i="95"/>
  <c r="C715" i="95"/>
  <c r="C716" i="95"/>
  <c r="C717" i="95"/>
  <c r="C718" i="95"/>
  <c r="C719" i="95"/>
  <c r="C720" i="95"/>
  <c r="C721" i="95"/>
  <c r="C722" i="95"/>
  <c r="C723" i="95"/>
  <c r="C724" i="95"/>
  <c r="C725" i="95"/>
  <c r="C726" i="95"/>
  <c r="C727" i="95"/>
  <c r="C728" i="95"/>
  <c r="C729" i="95"/>
  <c r="C730" i="95"/>
  <c r="C731" i="95"/>
  <c r="C732" i="95"/>
  <c r="C733" i="95"/>
  <c r="C734" i="95"/>
  <c r="C735" i="95"/>
  <c r="C736" i="95"/>
  <c r="C737" i="95"/>
  <c r="C738" i="95"/>
  <c r="C739" i="95"/>
  <c r="C740" i="95"/>
  <c r="C741" i="95"/>
  <c r="C742" i="95"/>
  <c r="C743" i="95"/>
  <c r="C744" i="95"/>
  <c r="C745" i="95"/>
  <c r="C746" i="95"/>
  <c r="C747" i="95"/>
  <c r="C748" i="95"/>
  <c r="C749" i="95"/>
  <c r="C750" i="95"/>
  <c r="C751" i="95"/>
  <c r="C752" i="95"/>
  <c r="C753" i="95"/>
  <c r="C754" i="95"/>
  <c r="C755" i="95"/>
  <c r="C756" i="95"/>
  <c r="C757" i="95"/>
  <c r="C758" i="95"/>
  <c r="C759" i="95"/>
  <c r="C760" i="95"/>
  <c r="C761" i="95"/>
  <c r="C762" i="95"/>
  <c r="C763" i="95"/>
  <c r="C764" i="95"/>
  <c r="C765" i="95"/>
  <c r="C766" i="95"/>
  <c r="C767" i="95"/>
  <c r="C768" i="95"/>
  <c r="C769" i="95"/>
  <c r="C770" i="95"/>
  <c r="C771" i="95"/>
  <c r="C772" i="95"/>
  <c r="C773" i="95"/>
  <c r="C774" i="95"/>
  <c r="C775" i="95"/>
  <c r="C776" i="95"/>
  <c r="C777" i="95"/>
  <c r="C778" i="95"/>
  <c r="C779" i="95"/>
  <c r="C780" i="95"/>
  <c r="C781" i="95"/>
  <c r="C782" i="95"/>
  <c r="C783" i="95"/>
  <c r="C784" i="95"/>
  <c r="C785" i="95"/>
  <c r="C786" i="95"/>
  <c r="C787" i="95"/>
  <c r="C788" i="95"/>
  <c r="C789" i="95"/>
  <c r="C790" i="95"/>
  <c r="C791" i="95"/>
  <c r="C792" i="95"/>
  <c r="C793" i="95"/>
  <c r="C794" i="95"/>
  <c r="C795" i="95"/>
  <c r="C796" i="95"/>
  <c r="C797" i="95"/>
  <c r="C798" i="95"/>
  <c r="C799" i="95"/>
  <c r="C800" i="95"/>
  <c r="C801" i="95"/>
  <c r="C802" i="95"/>
  <c r="C803" i="95"/>
  <c r="C804" i="95"/>
  <c r="C805" i="95"/>
  <c r="C806" i="95"/>
  <c r="C807" i="95"/>
  <c r="C808" i="95"/>
  <c r="C809" i="95"/>
  <c r="C810" i="95"/>
  <c r="C811" i="95"/>
  <c r="C812" i="95"/>
  <c r="C813" i="95"/>
  <c r="C814" i="95"/>
  <c r="C815" i="95"/>
  <c r="C816" i="95"/>
  <c r="C817" i="95"/>
  <c r="C818" i="95"/>
  <c r="C819" i="95"/>
  <c r="C820" i="95"/>
  <c r="C821" i="95"/>
  <c r="C822" i="95"/>
  <c r="C823" i="95"/>
  <c r="C824" i="95"/>
  <c r="C825" i="95"/>
  <c r="C826" i="95"/>
  <c r="C827" i="95"/>
  <c r="C828" i="95"/>
  <c r="C829" i="95"/>
  <c r="C830" i="95"/>
  <c r="C831" i="95"/>
  <c r="C832" i="95"/>
  <c r="C833" i="95"/>
  <c r="C834" i="95"/>
  <c r="C835" i="95"/>
  <c r="C836" i="95"/>
  <c r="C837" i="95"/>
  <c r="C838" i="95"/>
  <c r="C839" i="95"/>
  <c r="C840" i="95"/>
  <c r="C841" i="95"/>
  <c r="C842" i="95"/>
  <c r="C843" i="95"/>
  <c r="C844" i="95"/>
  <c r="C845" i="95"/>
  <c r="C846" i="95"/>
  <c r="C847" i="95"/>
  <c r="C848" i="95"/>
  <c r="C849" i="95"/>
  <c r="C850" i="95"/>
  <c r="C851" i="95"/>
  <c r="C852" i="95"/>
  <c r="C853" i="95"/>
  <c r="C854" i="95"/>
  <c r="C855" i="95"/>
  <c r="C856" i="95"/>
  <c r="C857" i="95"/>
  <c r="C858" i="95"/>
  <c r="C859" i="95"/>
  <c r="C860" i="95"/>
  <c r="C861" i="95"/>
  <c r="C862" i="95"/>
  <c r="C863" i="95"/>
  <c r="C864" i="95"/>
  <c r="C865" i="95"/>
  <c r="C866" i="95"/>
  <c r="C867" i="95"/>
  <c r="C868" i="95"/>
  <c r="C869" i="95"/>
  <c r="C870" i="95"/>
  <c r="C871" i="95"/>
  <c r="C872" i="95"/>
  <c r="C873" i="95"/>
  <c r="C874" i="95"/>
  <c r="C875" i="95"/>
  <c r="C876" i="95"/>
  <c r="C877" i="95"/>
  <c r="C878" i="95"/>
  <c r="C879" i="95"/>
  <c r="C880" i="95"/>
  <c r="C881" i="95"/>
  <c r="C882" i="95"/>
  <c r="C883" i="95"/>
  <c r="C884" i="95"/>
  <c r="C885" i="95"/>
  <c r="C886" i="95"/>
  <c r="C887" i="95"/>
  <c r="C888" i="95"/>
  <c r="C889" i="95"/>
  <c r="C890" i="95"/>
  <c r="C891" i="95"/>
  <c r="C892" i="95"/>
  <c r="C893" i="95"/>
  <c r="C894" i="95"/>
  <c r="C895" i="95"/>
  <c r="C896" i="95"/>
  <c r="C897" i="95"/>
  <c r="C898" i="95"/>
  <c r="C899" i="95"/>
  <c r="C900" i="95"/>
  <c r="C901" i="95"/>
  <c r="C902" i="95"/>
  <c r="C903" i="95"/>
  <c r="C904" i="95"/>
  <c r="C905" i="95"/>
  <c r="C906" i="95"/>
  <c r="C907" i="95"/>
  <c r="C908" i="95"/>
  <c r="C909" i="95"/>
  <c r="C910" i="95"/>
  <c r="C911" i="95"/>
  <c r="C912" i="95"/>
  <c r="C913" i="95"/>
  <c r="C914" i="95"/>
  <c r="C915" i="95"/>
  <c r="C916" i="95"/>
  <c r="C917" i="95"/>
  <c r="C918" i="95"/>
  <c r="C919" i="95"/>
  <c r="C920" i="95"/>
  <c r="C921" i="95"/>
  <c r="C922" i="95"/>
  <c r="C923" i="95"/>
  <c r="C924" i="95"/>
  <c r="C925" i="95"/>
  <c r="C926" i="95"/>
  <c r="C927" i="95"/>
  <c r="C928" i="95"/>
  <c r="C929" i="95"/>
  <c r="C930" i="95"/>
  <c r="C931" i="95"/>
  <c r="C932" i="95"/>
  <c r="C933" i="95"/>
  <c r="C934" i="95"/>
  <c r="C935" i="95"/>
  <c r="C936" i="95"/>
  <c r="C937" i="95"/>
  <c r="C938" i="95"/>
  <c r="C939" i="95"/>
  <c r="C940" i="95"/>
  <c r="C941" i="95"/>
  <c r="C942" i="95"/>
  <c r="C943" i="95"/>
  <c r="C944" i="95"/>
  <c r="C945" i="95"/>
  <c r="C946" i="95"/>
  <c r="C947" i="95"/>
  <c r="C948" i="95"/>
  <c r="C949" i="95"/>
  <c r="C950" i="95"/>
  <c r="C951" i="95"/>
  <c r="C952" i="95"/>
  <c r="C953" i="95"/>
  <c r="C954" i="95"/>
  <c r="C955" i="95"/>
  <c r="C956" i="95"/>
  <c r="C957" i="95"/>
  <c r="C958" i="95"/>
  <c r="C959" i="95"/>
  <c r="C960" i="95"/>
  <c r="C961" i="95"/>
  <c r="C962" i="95"/>
  <c r="C963" i="95"/>
  <c r="C964" i="95"/>
  <c r="C965" i="95"/>
  <c r="C966" i="95"/>
  <c r="C967" i="95"/>
  <c r="C968" i="95"/>
  <c r="C969" i="95"/>
  <c r="C970" i="95"/>
  <c r="C971" i="95"/>
  <c r="C972" i="95"/>
  <c r="C973" i="95"/>
  <c r="C974" i="95"/>
  <c r="C975" i="95"/>
  <c r="C976" i="95"/>
  <c r="C977" i="95"/>
  <c r="C978" i="95"/>
  <c r="C979" i="95"/>
  <c r="C980" i="95"/>
  <c r="C981" i="95"/>
  <c r="C982" i="95"/>
  <c r="C983" i="95"/>
  <c r="C984" i="95"/>
  <c r="C985" i="95"/>
  <c r="C986" i="95"/>
  <c r="C987" i="95"/>
  <c r="C988" i="95"/>
  <c r="C989" i="95"/>
  <c r="C990" i="95"/>
  <c r="C991" i="95"/>
  <c r="C992" i="95"/>
  <c r="C993" i="95"/>
  <c r="C994" i="95"/>
  <c r="C995" i="95"/>
  <c r="C996" i="95"/>
  <c r="C997" i="95"/>
  <c r="C998" i="95"/>
  <c r="C999" i="95"/>
  <c r="C1000" i="95"/>
  <c r="C1001" i="95"/>
  <c r="C1002" i="95"/>
  <c r="C1003" i="95"/>
  <c r="C1004" i="95"/>
  <c r="C1005" i="95"/>
  <c r="C1006" i="95"/>
  <c r="C1007" i="95"/>
  <c r="C1008" i="95"/>
  <c r="C1009" i="95"/>
  <c r="C1010" i="95"/>
  <c r="C1011" i="95"/>
  <c r="C1012" i="95"/>
  <c r="C1013" i="95"/>
  <c r="C1014" i="95"/>
  <c r="C1015" i="95"/>
  <c r="C1016" i="95"/>
  <c r="C1017" i="95"/>
  <c r="C1018" i="95"/>
  <c r="C1019" i="95"/>
  <c r="C1020" i="95"/>
  <c r="C1021" i="95"/>
  <c r="C1022" i="95"/>
  <c r="C1023" i="95"/>
  <c r="C1024" i="95"/>
  <c r="C1025" i="95"/>
  <c r="C1026" i="95"/>
  <c r="C1027" i="95"/>
  <c r="C1028" i="95"/>
  <c r="C1029" i="95"/>
  <c r="C1030" i="95"/>
  <c r="C1031" i="95"/>
  <c r="C1032" i="95"/>
  <c r="C1033" i="95"/>
  <c r="C1034" i="95"/>
  <c r="C1035" i="95"/>
  <c r="C1036" i="95"/>
  <c r="C1037" i="95"/>
  <c r="C1038" i="95"/>
  <c r="C1039" i="95"/>
  <c r="C1040" i="95"/>
  <c r="C1041" i="95"/>
  <c r="C1042" i="95"/>
  <c r="C1043" i="95"/>
  <c r="C1044" i="95"/>
  <c r="C1045" i="95"/>
  <c r="C1046" i="95"/>
  <c r="C1047" i="95"/>
  <c r="C1048" i="95"/>
  <c r="C1049" i="95"/>
  <c r="C1050" i="95"/>
  <c r="C1051" i="95"/>
  <c r="C1052" i="95"/>
  <c r="C1053" i="95"/>
  <c r="C1054" i="95"/>
  <c r="C1055" i="95"/>
  <c r="C1056" i="95"/>
  <c r="C1057" i="95"/>
  <c r="C1058" i="95"/>
  <c r="C1059" i="95"/>
  <c r="C1060" i="95"/>
  <c r="C1061" i="95"/>
  <c r="C1062" i="95"/>
  <c r="C1063" i="95"/>
  <c r="C1064" i="95"/>
  <c r="C1065" i="95"/>
  <c r="C1066" i="95"/>
  <c r="C1067" i="95"/>
  <c r="C1068" i="95"/>
  <c r="C1069" i="95"/>
  <c r="C1070" i="95"/>
  <c r="C1071" i="95"/>
  <c r="C1072" i="95"/>
  <c r="C1073" i="95"/>
  <c r="C1074" i="95"/>
  <c r="C1075" i="95"/>
  <c r="C1076" i="95"/>
  <c r="C1077" i="95"/>
  <c r="C1078" i="95"/>
  <c r="C1079" i="95"/>
  <c r="C1080" i="95"/>
  <c r="C1081" i="95"/>
  <c r="C1082" i="95"/>
  <c r="C1083" i="95"/>
  <c r="C1084" i="95"/>
  <c r="C1085" i="95"/>
  <c r="C1086" i="95"/>
  <c r="C1087" i="95"/>
  <c r="C1088" i="95"/>
  <c r="C1089" i="95"/>
  <c r="C1090" i="95"/>
  <c r="C1091" i="95"/>
  <c r="C1092" i="95"/>
  <c r="C1093" i="95"/>
  <c r="C1094" i="95"/>
  <c r="C1095" i="95"/>
  <c r="C1096" i="95"/>
  <c r="C1097" i="95"/>
  <c r="C1098" i="95"/>
  <c r="C1099" i="95"/>
  <c r="C1100" i="95"/>
  <c r="C1101" i="95"/>
  <c r="C1102" i="95"/>
  <c r="C1103" i="95"/>
  <c r="C1104" i="95"/>
  <c r="C1105" i="95"/>
  <c r="C1106" i="95"/>
  <c r="C1107" i="95"/>
  <c r="C1108" i="95"/>
  <c r="C1109" i="95"/>
  <c r="C1110" i="95"/>
  <c r="C1111" i="95"/>
  <c r="C1112" i="95"/>
  <c r="C1113" i="95"/>
  <c r="C1114" i="95"/>
  <c r="C1115" i="95"/>
  <c r="C1116" i="95"/>
  <c r="C1117" i="95"/>
  <c r="C1118" i="95"/>
  <c r="C1119" i="95"/>
  <c r="C1120" i="95"/>
  <c r="C1121" i="95"/>
  <c r="C1122" i="95"/>
  <c r="C1123" i="95"/>
  <c r="C1124" i="95"/>
  <c r="C1125" i="95"/>
  <c r="C1126" i="95"/>
  <c r="C1127" i="95"/>
  <c r="C1128" i="95"/>
  <c r="C1129" i="95"/>
  <c r="C1130" i="95"/>
  <c r="C1131" i="95"/>
  <c r="C1132" i="95"/>
  <c r="C1133" i="95"/>
  <c r="C1134" i="95"/>
  <c r="C1135" i="95"/>
  <c r="C1136" i="95"/>
  <c r="C1137" i="95"/>
  <c r="C1138" i="95"/>
  <c r="C1139" i="95"/>
  <c r="C1140" i="95"/>
  <c r="C1141" i="95"/>
  <c r="C1142" i="95"/>
  <c r="C1143" i="95"/>
  <c r="C1144" i="95"/>
  <c r="C1145" i="95"/>
  <c r="C1146" i="95"/>
  <c r="C1147" i="95"/>
  <c r="C1148" i="95"/>
  <c r="C1149" i="95"/>
  <c r="C1150" i="95"/>
  <c r="C1151" i="95"/>
  <c r="C1152" i="95"/>
  <c r="C1153" i="95"/>
  <c r="C1154" i="95"/>
  <c r="C1155" i="95"/>
  <c r="C1156" i="95"/>
  <c r="C1157" i="95"/>
  <c r="C1158" i="95"/>
  <c r="C1159" i="95"/>
  <c r="C1160" i="95"/>
  <c r="C1161" i="95"/>
  <c r="C1162" i="95"/>
  <c r="C1163" i="95"/>
  <c r="C1164" i="95"/>
  <c r="C1165" i="95"/>
  <c r="C1166" i="95"/>
  <c r="C1167" i="95"/>
  <c r="C1168" i="95"/>
  <c r="C1169" i="95"/>
  <c r="C1170" i="95"/>
  <c r="C525" i="95"/>
  <c r="C526" i="95"/>
  <c r="C527" i="95"/>
  <c r="C528" i="95"/>
  <c r="C529" i="95"/>
  <c r="D3" i="95" l="1"/>
  <c r="E3" i="95"/>
  <c r="D4" i="95"/>
  <c r="C4" i="95"/>
  <c r="C3" i="95"/>
  <c r="C92" i="35"/>
  <c r="B24" i="95"/>
  <c r="Q524" i="95"/>
  <c r="O524" i="95"/>
  <c r="M524" i="95"/>
  <c r="K524" i="95"/>
  <c r="I524" i="95"/>
  <c r="G524" i="95"/>
  <c r="C524" i="95"/>
  <c r="Q523" i="95"/>
  <c r="O523" i="95"/>
  <c r="M523" i="95"/>
  <c r="K523" i="95"/>
  <c r="I523" i="95"/>
  <c r="G523" i="95"/>
  <c r="C523" i="95"/>
  <c r="Q522" i="95"/>
  <c r="O522" i="95"/>
  <c r="M522" i="95"/>
  <c r="K522" i="95"/>
  <c r="I522" i="95"/>
  <c r="G522" i="95"/>
  <c r="C522" i="95"/>
  <c r="Q521" i="95"/>
  <c r="O521" i="95"/>
  <c r="M521" i="95"/>
  <c r="K521" i="95"/>
  <c r="I521" i="95"/>
  <c r="G521" i="95"/>
  <c r="C521" i="95"/>
  <c r="Q520" i="95"/>
  <c r="O520" i="95"/>
  <c r="M520" i="95"/>
  <c r="K520" i="95"/>
  <c r="I520" i="95"/>
  <c r="G520" i="95"/>
  <c r="C520" i="95"/>
  <c r="Q519" i="95"/>
  <c r="O519" i="95"/>
  <c r="M519" i="95"/>
  <c r="K519" i="95"/>
  <c r="I519" i="95"/>
  <c r="G519" i="95"/>
  <c r="C519" i="95"/>
  <c r="Q518" i="95"/>
  <c r="O518" i="95"/>
  <c r="M518" i="95"/>
  <c r="K518" i="95"/>
  <c r="I518" i="95"/>
  <c r="G518" i="95"/>
  <c r="C518" i="95"/>
  <c r="Q517" i="95"/>
  <c r="O517" i="95"/>
  <c r="M517" i="95"/>
  <c r="K517" i="95"/>
  <c r="I517" i="95"/>
  <c r="G517" i="95"/>
  <c r="C517" i="95"/>
  <c r="Q516" i="95"/>
  <c r="O516" i="95"/>
  <c r="M516" i="95"/>
  <c r="K516" i="95"/>
  <c r="I516" i="95"/>
  <c r="G516" i="95"/>
  <c r="C516" i="95"/>
  <c r="Q515" i="95"/>
  <c r="O515" i="95"/>
  <c r="M515" i="95"/>
  <c r="K515" i="95"/>
  <c r="I515" i="95"/>
  <c r="G515" i="95"/>
  <c r="C515" i="95"/>
  <c r="Q514" i="95"/>
  <c r="O514" i="95"/>
  <c r="M514" i="95"/>
  <c r="K514" i="95"/>
  <c r="I514" i="95"/>
  <c r="G514" i="95"/>
  <c r="C514" i="95"/>
  <c r="Q513" i="95"/>
  <c r="O513" i="95"/>
  <c r="M513" i="95"/>
  <c r="K513" i="95"/>
  <c r="I513" i="95"/>
  <c r="G513" i="95"/>
  <c r="C513" i="95"/>
  <c r="Q512" i="95"/>
  <c r="O512" i="95"/>
  <c r="M512" i="95"/>
  <c r="K512" i="95"/>
  <c r="I512" i="95"/>
  <c r="G512" i="95"/>
  <c r="C512" i="95"/>
  <c r="Q511" i="95"/>
  <c r="O511" i="95"/>
  <c r="M511" i="95"/>
  <c r="K511" i="95"/>
  <c r="I511" i="95"/>
  <c r="G511" i="95"/>
  <c r="C511" i="95"/>
  <c r="Q510" i="95"/>
  <c r="O510" i="95"/>
  <c r="M510" i="95"/>
  <c r="K510" i="95"/>
  <c r="I510" i="95"/>
  <c r="G510" i="95"/>
  <c r="C510" i="95"/>
  <c r="Q509" i="95"/>
  <c r="O509" i="95"/>
  <c r="M509" i="95"/>
  <c r="K509" i="95"/>
  <c r="I509" i="95"/>
  <c r="G509" i="95"/>
  <c r="C509" i="95"/>
  <c r="Q508" i="95"/>
  <c r="O508" i="95"/>
  <c r="M508" i="95"/>
  <c r="K508" i="95"/>
  <c r="I508" i="95"/>
  <c r="G508" i="95"/>
  <c r="C508" i="95"/>
  <c r="Q507" i="95"/>
  <c r="O507" i="95"/>
  <c r="M507" i="95"/>
  <c r="K507" i="95"/>
  <c r="I507" i="95"/>
  <c r="G507" i="95"/>
  <c r="C507" i="95"/>
  <c r="Q506" i="95"/>
  <c r="O506" i="95"/>
  <c r="M506" i="95"/>
  <c r="K506" i="95"/>
  <c r="I506" i="95"/>
  <c r="G506" i="95"/>
  <c r="C506" i="95"/>
  <c r="Q505" i="95"/>
  <c r="O505" i="95"/>
  <c r="M505" i="95"/>
  <c r="K505" i="95"/>
  <c r="I505" i="95"/>
  <c r="G505" i="95"/>
  <c r="C505" i="95"/>
  <c r="Q504" i="95"/>
  <c r="O504" i="95"/>
  <c r="M504" i="95"/>
  <c r="K504" i="95"/>
  <c r="I504" i="95"/>
  <c r="G504" i="95"/>
  <c r="C504" i="95"/>
  <c r="Q503" i="95"/>
  <c r="O503" i="95"/>
  <c r="M503" i="95"/>
  <c r="K503" i="95"/>
  <c r="I503" i="95"/>
  <c r="G503" i="95"/>
  <c r="C503" i="95"/>
  <c r="Q502" i="95"/>
  <c r="O502" i="95"/>
  <c r="M502" i="95"/>
  <c r="K502" i="95"/>
  <c r="I502" i="95"/>
  <c r="G502" i="95"/>
  <c r="C502" i="95"/>
  <c r="Q501" i="95"/>
  <c r="O501" i="95"/>
  <c r="M501" i="95"/>
  <c r="K501" i="95"/>
  <c r="I501" i="95"/>
  <c r="G501" i="95"/>
  <c r="C501" i="95"/>
  <c r="Q500" i="95"/>
  <c r="O500" i="95"/>
  <c r="M500" i="95"/>
  <c r="K500" i="95"/>
  <c r="I500" i="95"/>
  <c r="G500" i="95"/>
  <c r="C500" i="95"/>
  <c r="Q499" i="95"/>
  <c r="O499" i="95"/>
  <c r="M499" i="95"/>
  <c r="K499" i="95"/>
  <c r="I499" i="95"/>
  <c r="G499" i="95"/>
  <c r="C499" i="95"/>
  <c r="Q498" i="95"/>
  <c r="O498" i="95"/>
  <c r="M498" i="95"/>
  <c r="K498" i="95"/>
  <c r="I498" i="95"/>
  <c r="G498" i="95"/>
  <c r="C498" i="95"/>
  <c r="Q497" i="95"/>
  <c r="O497" i="95"/>
  <c r="M497" i="95"/>
  <c r="K497" i="95"/>
  <c r="I497" i="95"/>
  <c r="G497" i="95"/>
  <c r="C497" i="95"/>
  <c r="Q496" i="95"/>
  <c r="O496" i="95"/>
  <c r="M496" i="95"/>
  <c r="K496" i="95"/>
  <c r="I496" i="95"/>
  <c r="G496" i="95"/>
  <c r="C496" i="95"/>
  <c r="Q495" i="95"/>
  <c r="O495" i="95"/>
  <c r="M495" i="95"/>
  <c r="K495" i="95"/>
  <c r="I495" i="95"/>
  <c r="G495" i="95"/>
  <c r="C495" i="95"/>
  <c r="Q494" i="95"/>
  <c r="O494" i="95"/>
  <c r="M494" i="95"/>
  <c r="K494" i="95"/>
  <c r="I494" i="95"/>
  <c r="G494" i="95"/>
  <c r="C494" i="95"/>
  <c r="Q493" i="95"/>
  <c r="O493" i="95"/>
  <c r="M493" i="95"/>
  <c r="K493" i="95"/>
  <c r="I493" i="95"/>
  <c r="G493" i="95"/>
  <c r="C493" i="95"/>
  <c r="Q492" i="95"/>
  <c r="O492" i="95"/>
  <c r="M492" i="95"/>
  <c r="K492" i="95"/>
  <c r="I492" i="95"/>
  <c r="G492" i="95"/>
  <c r="C492" i="95"/>
  <c r="Q491" i="95"/>
  <c r="O491" i="95"/>
  <c r="M491" i="95"/>
  <c r="K491" i="95"/>
  <c r="I491" i="95"/>
  <c r="G491" i="95"/>
  <c r="C491" i="95"/>
  <c r="Q490" i="95"/>
  <c r="O490" i="95"/>
  <c r="M490" i="95"/>
  <c r="K490" i="95"/>
  <c r="I490" i="95"/>
  <c r="G490" i="95"/>
  <c r="C490" i="95"/>
  <c r="Q489" i="95"/>
  <c r="O489" i="95"/>
  <c r="M489" i="95"/>
  <c r="K489" i="95"/>
  <c r="I489" i="95"/>
  <c r="G489" i="95"/>
  <c r="C489" i="95"/>
  <c r="Q488" i="95"/>
  <c r="O488" i="95"/>
  <c r="M488" i="95"/>
  <c r="K488" i="95"/>
  <c r="I488" i="95"/>
  <c r="G488" i="95"/>
  <c r="C488" i="95"/>
  <c r="Q487" i="95"/>
  <c r="O487" i="95"/>
  <c r="M487" i="95"/>
  <c r="K487" i="95"/>
  <c r="I487" i="95"/>
  <c r="G487" i="95"/>
  <c r="C487" i="95"/>
  <c r="Q486" i="95"/>
  <c r="O486" i="95"/>
  <c r="M486" i="95"/>
  <c r="K486" i="95"/>
  <c r="I486" i="95"/>
  <c r="G486" i="95"/>
  <c r="C486" i="95"/>
  <c r="Q485" i="95"/>
  <c r="O485" i="95"/>
  <c r="M485" i="95"/>
  <c r="K485" i="95"/>
  <c r="I485" i="95"/>
  <c r="G485" i="95"/>
  <c r="C485" i="95"/>
  <c r="Q484" i="95"/>
  <c r="O484" i="95"/>
  <c r="M484" i="95"/>
  <c r="K484" i="95"/>
  <c r="I484" i="95"/>
  <c r="G484" i="95"/>
  <c r="C484" i="95"/>
  <c r="Q483" i="95"/>
  <c r="O483" i="95"/>
  <c r="M483" i="95"/>
  <c r="K483" i="95"/>
  <c r="I483" i="95"/>
  <c r="G483" i="95"/>
  <c r="C483" i="95"/>
  <c r="Q482" i="95"/>
  <c r="O482" i="95"/>
  <c r="M482" i="95"/>
  <c r="K482" i="95"/>
  <c r="I482" i="95"/>
  <c r="G482" i="95"/>
  <c r="C482" i="95"/>
  <c r="Q481" i="95"/>
  <c r="O481" i="95"/>
  <c r="M481" i="95"/>
  <c r="K481" i="95"/>
  <c r="I481" i="95"/>
  <c r="G481" i="95"/>
  <c r="C481" i="95"/>
  <c r="Q480" i="95"/>
  <c r="O480" i="95"/>
  <c r="M480" i="95"/>
  <c r="K480" i="95"/>
  <c r="I480" i="95"/>
  <c r="G480" i="95"/>
  <c r="C480" i="95"/>
  <c r="Q479" i="95"/>
  <c r="O479" i="95"/>
  <c r="M479" i="95"/>
  <c r="K479" i="95"/>
  <c r="I479" i="95"/>
  <c r="G479" i="95"/>
  <c r="C479" i="95"/>
  <c r="Q478" i="95"/>
  <c r="O478" i="95"/>
  <c r="M478" i="95"/>
  <c r="K478" i="95"/>
  <c r="I478" i="95"/>
  <c r="G478" i="95"/>
  <c r="C478" i="95"/>
  <c r="Q477" i="95"/>
  <c r="O477" i="95"/>
  <c r="M477" i="95"/>
  <c r="K477" i="95"/>
  <c r="I477" i="95"/>
  <c r="G477" i="95"/>
  <c r="C477" i="95"/>
  <c r="Q476" i="95"/>
  <c r="O476" i="95"/>
  <c r="M476" i="95"/>
  <c r="K476" i="95"/>
  <c r="I476" i="95"/>
  <c r="G476" i="95"/>
  <c r="C476" i="95"/>
  <c r="Q475" i="95"/>
  <c r="O475" i="95"/>
  <c r="M475" i="95"/>
  <c r="K475" i="95"/>
  <c r="I475" i="95"/>
  <c r="G475" i="95"/>
  <c r="C475" i="95"/>
  <c r="Q474" i="95"/>
  <c r="O474" i="95"/>
  <c r="M474" i="95"/>
  <c r="K474" i="95"/>
  <c r="I474" i="95"/>
  <c r="G474" i="95"/>
  <c r="C474" i="95"/>
  <c r="Q473" i="95"/>
  <c r="O473" i="95"/>
  <c r="M473" i="95"/>
  <c r="K473" i="95"/>
  <c r="I473" i="95"/>
  <c r="G473" i="95"/>
  <c r="C473" i="95"/>
  <c r="Q472" i="95"/>
  <c r="O472" i="95"/>
  <c r="M472" i="95"/>
  <c r="K472" i="95"/>
  <c r="I472" i="95"/>
  <c r="G472" i="95"/>
  <c r="C472" i="95"/>
  <c r="Q471" i="95"/>
  <c r="O471" i="95"/>
  <c r="M471" i="95"/>
  <c r="K471" i="95"/>
  <c r="I471" i="95"/>
  <c r="G471" i="95"/>
  <c r="C471" i="95"/>
  <c r="Q470" i="95"/>
  <c r="O470" i="95"/>
  <c r="M470" i="95"/>
  <c r="K470" i="95"/>
  <c r="I470" i="95"/>
  <c r="G470" i="95"/>
  <c r="C470" i="95"/>
  <c r="Q469" i="95"/>
  <c r="O469" i="95"/>
  <c r="M469" i="95"/>
  <c r="K469" i="95"/>
  <c r="I469" i="95"/>
  <c r="G469" i="95"/>
  <c r="C469" i="95"/>
  <c r="Q468" i="95"/>
  <c r="O468" i="95"/>
  <c r="M468" i="95"/>
  <c r="K468" i="95"/>
  <c r="I468" i="95"/>
  <c r="G468" i="95"/>
  <c r="C468" i="95"/>
  <c r="Q467" i="95"/>
  <c r="O467" i="95"/>
  <c r="M467" i="95"/>
  <c r="K467" i="95"/>
  <c r="I467" i="95"/>
  <c r="G467" i="95"/>
  <c r="C467" i="95"/>
  <c r="Q466" i="95"/>
  <c r="O466" i="95"/>
  <c r="M466" i="95"/>
  <c r="K466" i="95"/>
  <c r="I466" i="95"/>
  <c r="G466" i="95"/>
  <c r="C466" i="95"/>
  <c r="Q465" i="95"/>
  <c r="O465" i="95"/>
  <c r="M465" i="95"/>
  <c r="K465" i="95"/>
  <c r="I465" i="95"/>
  <c r="G465" i="95"/>
  <c r="C465" i="95"/>
  <c r="Q464" i="95"/>
  <c r="O464" i="95"/>
  <c r="M464" i="95"/>
  <c r="K464" i="95"/>
  <c r="I464" i="95"/>
  <c r="G464" i="95"/>
  <c r="C464" i="95"/>
  <c r="Q463" i="95"/>
  <c r="O463" i="95"/>
  <c r="M463" i="95"/>
  <c r="K463" i="95"/>
  <c r="I463" i="95"/>
  <c r="G463" i="95"/>
  <c r="C463" i="95"/>
  <c r="Q462" i="95"/>
  <c r="O462" i="95"/>
  <c r="M462" i="95"/>
  <c r="K462" i="95"/>
  <c r="I462" i="95"/>
  <c r="G462" i="95"/>
  <c r="C462" i="95"/>
  <c r="Q461" i="95"/>
  <c r="O461" i="95"/>
  <c r="M461" i="95"/>
  <c r="K461" i="95"/>
  <c r="I461" i="95"/>
  <c r="G461" i="95"/>
  <c r="C461" i="95"/>
  <c r="Q460" i="95"/>
  <c r="O460" i="95"/>
  <c r="M460" i="95"/>
  <c r="K460" i="95"/>
  <c r="I460" i="95"/>
  <c r="G460" i="95"/>
  <c r="C460" i="95"/>
  <c r="Q459" i="95"/>
  <c r="O459" i="95"/>
  <c r="M459" i="95"/>
  <c r="K459" i="95"/>
  <c r="I459" i="95"/>
  <c r="G459" i="95"/>
  <c r="C459" i="95"/>
  <c r="Q458" i="95"/>
  <c r="O458" i="95"/>
  <c r="M458" i="95"/>
  <c r="K458" i="95"/>
  <c r="I458" i="95"/>
  <c r="G458" i="95"/>
  <c r="C458" i="95"/>
  <c r="Q457" i="95"/>
  <c r="O457" i="95"/>
  <c r="M457" i="95"/>
  <c r="K457" i="95"/>
  <c r="I457" i="95"/>
  <c r="G457" i="95"/>
  <c r="C457" i="95"/>
  <c r="Q456" i="95"/>
  <c r="O456" i="95"/>
  <c r="M456" i="95"/>
  <c r="K456" i="95"/>
  <c r="I456" i="95"/>
  <c r="G456" i="95"/>
  <c r="C456" i="95"/>
  <c r="Q455" i="95"/>
  <c r="O455" i="95"/>
  <c r="M455" i="95"/>
  <c r="K455" i="95"/>
  <c r="I455" i="95"/>
  <c r="G455" i="95"/>
  <c r="C455" i="95"/>
  <c r="Q454" i="95"/>
  <c r="O454" i="95"/>
  <c r="M454" i="95"/>
  <c r="K454" i="95"/>
  <c r="I454" i="95"/>
  <c r="G454" i="95"/>
  <c r="C454" i="95"/>
  <c r="Q453" i="95"/>
  <c r="O453" i="95"/>
  <c r="M453" i="95"/>
  <c r="K453" i="95"/>
  <c r="I453" i="95"/>
  <c r="G453" i="95"/>
  <c r="C453" i="95"/>
  <c r="Q452" i="95"/>
  <c r="O452" i="95"/>
  <c r="M452" i="95"/>
  <c r="K452" i="95"/>
  <c r="I452" i="95"/>
  <c r="G452" i="95"/>
  <c r="C452" i="95"/>
  <c r="Q451" i="95"/>
  <c r="O451" i="95"/>
  <c r="M451" i="95"/>
  <c r="K451" i="95"/>
  <c r="I451" i="95"/>
  <c r="G451" i="95"/>
  <c r="C451" i="95"/>
  <c r="Q450" i="95"/>
  <c r="O450" i="95"/>
  <c r="M450" i="95"/>
  <c r="K450" i="95"/>
  <c r="I450" i="95"/>
  <c r="G450" i="95"/>
  <c r="C450" i="95"/>
  <c r="Q449" i="95"/>
  <c r="O449" i="95"/>
  <c r="M449" i="95"/>
  <c r="K449" i="95"/>
  <c r="I449" i="95"/>
  <c r="G449" i="95"/>
  <c r="C449" i="95"/>
  <c r="Q448" i="95"/>
  <c r="O448" i="95"/>
  <c r="M448" i="95"/>
  <c r="K448" i="95"/>
  <c r="I448" i="95"/>
  <c r="G448" i="95"/>
  <c r="C448" i="95"/>
  <c r="Q447" i="95"/>
  <c r="O447" i="95"/>
  <c r="M447" i="95"/>
  <c r="K447" i="95"/>
  <c r="I447" i="95"/>
  <c r="G447" i="95"/>
  <c r="C447" i="95"/>
  <c r="Q446" i="95"/>
  <c r="O446" i="95"/>
  <c r="M446" i="95"/>
  <c r="K446" i="95"/>
  <c r="I446" i="95"/>
  <c r="G446" i="95"/>
  <c r="C446" i="95"/>
  <c r="Q445" i="95"/>
  <c r="O445" i="95"/>
  <c r="M445" i="95"/>
  <c r="K445" i="95"/>
  <c r="I445" i="95"/>
  <c r="G445" i="95"/>
  <c r="C445" i="95"/>
  <c r="Q444" i="95"/>
  <c r="O444" i="95"/>
  <c r="M444" i="95"/>
  <c r="K444" i="95"/>
  <c r="I444" i="95"/>
  <c r="G444" i="95"/>
  <c r="C444" i="95"/>
  <c r="Q443" i="95"/>
  <c r="O443" i="95"/>
  <c r="M443" i="95"/>
  <c r="K443" i="95"/>
  <c r="I443" i="95"/>
  <c r="G443" i="95"/>
  <c r="C443" i="95"/>
  <c r="Q442" i="95"/>
  <c r="O442" i="95"/>
  <c r="M442" i="95"/>
  <c r="K442" i="95"/>
  <c r="I442" i="95"/>
  <c r="G442" i="95"/>
  <c r="C442" i="95"/>
  <c r="Q441" i="95"/>
  <c r="O441" i="95"/>
  <c r="M441" i="95"/>
  <c r="K441" i="95"/>
  <c r="I441" i="95"/>
  <c r="G441" i="95"/>
  <c r="C441" i="95"/>
  <c r="Q440" i="95"/>
  <c r="O440" i="95"/>
  <c r="M440" i="95"/>
  <c r="K440" i="95"/>
  <c r="I440" i="95"/>
  <c r="G440" i="95"/>
  <c r="C440" i="95"/>
  <c r="Q439" i="95"/>
  <c r="O439" i="95"/>
  <c r="M439" i="95"/>
  <c r="K439" i="95"/>
  <c r="I439" i="95"/>
  <c r="G439" i="95"/>
  <c r="C439" i="95"/>
  <c r="Q438" i="95"/>
  <c r="O438" i="95"/>
  <c r="M438" i="95"/>
  <c r="K438" i="95"/>
  <c r="I438" i="95"/>
  <c r="G438" i="95"/>
  <c r="C438" i="95"/>
  <c r="Q437" i="95"/>
  <c r="O437" i="95"/>
  <c r="M437" i="95"/>
  <c r="K437" i="95"/>
  <c r="I437" i="95"/>
  <c r="G437" i="95"/>
  <c r="C437" i="95"/>
  <c r="Q436" i="95"/>
  <c r="O436" i="95"/>
  <c r="M436" i="95"/>
  <c r="K436" i="95"/>
  <c r="I436" i="95"/>
  <c r="G436" i="95"/>
  <c r="C436" i="95"/>
  <c r="Q435" i="95"/>
  <c r="O435" i="95"/>
  <c r="M435" i="95"/>
  <c r="K435" i="95"/>
  <c r="I435" i="95"/>
  <c r="G435" i="95"/>
  <c r="C435" i="95"/>
  <c r="Q434" i="95"/>
  <c r="O434" i="95"/>
  <c r="M434" i="95"/>
  <c r="K434" i="95"/>
  <c r="I434" i="95"/>
  <c r="G434" i="95"/>
  <c r="C434" i="95"/>
  <c r="Q433" i="95"/>
  <c r="O433" i="95"/>
  <c r="M433" i="95"/>
  <c r="K433" i="95"/>
  <c r="I433" i="95"/>
  <c r="G433" i="95"/>
  <c r="C433" i="95"/>
  <c r="Q432" i="95"/>
  <c r="O432" i="95"/>
  <c r="M432" i="95"/>
  <c r="K432" i="95"/>
  <c r="I432" i="95"/>
  <c r="G432" i="95"/>
  <c r="C432" i="95"/>
  <c r="Q431" i="95"/>
  <c r="O431" i="95"/>
  <c r="M431" i="95"/>
  <c r="K431" i="95"/>
  <c r="I431" i="95"/>
  <c r="G431" i="95"/>
  <c r="C431" i="95"/>
  <c r="Q430" i="95"/>
  <c r="O430" i="95"/>
  <c r="M430" i="95"/>
  <c r="K430" i="95"/>
  <c r="I430" i="95"/>
  <c r="G430" i="95"/>
  <c r="C430" i="95"/>
  <c r="Q429" i="95"/>
  <c r="O429" i="95"/>
  <c r="M429" i="95"/>
  <c r="K429" i="95"/>
  <c r="I429" i="95"/>
  <c r="G429" i="95"/>
  <c r="C429" i="95"/>
  <c r="Q428" i="95"/>
  <c r="O428" i="95"/>
  <c r="M428" i="95"/>
  <c r="K428" i="95"/>
  <c r="I428" i="95"/>
  <c r="G428" i="95"/>
  <c r="C428" i="95"/>
  <c r="Q427" i="95"/>
  <c r="O427" i="95"/>
  <c r="M427" i="95"/>
  <c r="K427" i="95"/>
  <c r="I427" i="95"/>
  <c r="G427" i="95"/>
  <c r="C427" i="95"/>
  <c r="Q426" i="95"/>
  <c r="O426" i="95"/>
  <c r="M426" i="95"/>
  <c r="K426" i="95"/>
  <c r="I426" i="95"/>
  <c r="G426" i="95"/>
  <c r="C426" i="95"/>
  <c r="Q425" i="95"/>
  <c r="O425" i="95"/>
  <c r="M425" i="95"/>
  <c r="K425" i="95"/>
  <c r="I425" i="95"/>
  <c r="G425" i="95"/>
  <c r="C425" i="95"/>
  <c r="Q424" i="95"/>
  <c r="O424" i="95"/>
  <c r="M424" i="95"/>
  <c r="K424" i="95"/>
  <c r="I424" i="95"/>
  <c r="G424" i="95"/>
  <c r="C424" i="95"/>
  <c r="Q423" i="95"/>
  <c r="O423" i="95"/>
  <c r="M423" i="95"/>
  <c r="K423" i="95"/>
  <c r="I423" i="95"/>
  <c r="G423" i="95"/>
  <c r="C423" i="95"/>
  <c r="Q422" i="95"/>
  <c r="O422" i="95"/>
  <c r="M422" i="95"/>
  <c r="K422" i="95"/>
  <c r="I422" i="95"/>
  <c r="G422" i="95"/>
  <c r="C422" i="95"/>
  <c r="Q421" i="95"/>
  <c r="O421" i="95"/>
  <c r="M421" i="95"/>
  <c r="K421" i="95"/>
  <c r="I421" i="95"/>
  <c r="G421" i="95"/>
  <c r="C421" i="95"/>
  <c r="Q420" i="95"/>
  <c r="O420" i="95"/>
  <c r="M420" i="95"/>
  <c r="K420" i="95"/>
  <c r="I420" i="95"/>
  <c r="G420" i="95"/>
  <c r="C420" i="95"/>
  <c r="Q419" i="95"/>
  <c r="O419" i="95"/>
  <c r="M419" i="95"/>
  <c r="K419" i="95"/>
  <c r="I419" i="95"/>
  <c r="G419" i="95"/>
  <c r="C419" i="95"/>
  <c r="Q418" i="95"/>
  <c r="O418" i="95"/>
  <c r="M418" i="95"/>
  <c r="K418" i="95"/>
  <c r="I418" i="95"/>
  <c r="G418" i="95"/>
  <c r="C418" i="95"/>
  <c r="Q417" i="95"/>
  <c r="O417" i="95"/>
  <c r="M417" i="95"/>
  <c r="K417" i="95"/>
  <c r="I417" i="95"/>
  <c r="G417" i="95"/>
  <c r="C417" i="95"/>
  <c r="Q416" i="95"/>
  <c r="O416" i="95"/>
  <c r="M416" i="95"/>
  <c r="K416" i="95"/>
  <c r="I416" i="95"/>
  <c r="G416" i="95"/>
  <c r="C416" i="95"/>
  <c r="Q415" i="95"/>
  <c r="O415" i="95"/>
  <c r="M415" i="95"/>
  <c r="K415" i="95"/>
  <c r="I415" i="95"/>
  <c r="G415" i="95"/>
  <c r="C415" i="95"/>
  <c r="Q414" i="95"/>
  <c r="O414" i="95"/>
  <c r="M414" i="95"/>
  <c r="K414" i="95"/>
  <c r="I414" i="95"/>
  <c r="G414" i="95"/>
  <c r="C414" i="95"/>
  <c r="Q413" i="95"/>
  <c r="O413" i="95"/>
  <c r="M413" i="95"/>
  <c r="K413" i="95"/>
  <c r="I413" i="95"/>
  <c r="G413" i="95"/>
  <c r="C413" i="95"/>
  <c r="Q412" i="95"/>
  <c r="O412" i="95"/>
  <c r="M412" i="95"/>
  <c r="K412" i="95"/>
  <c r="I412" i="95"/>
  <c r="G412" i="95"/>
  <c r="C412" i="95"/>
  <c r="Q411" i="95"/>
  <c r="O411" i="95"/>
  <c r="M411" i="95"/>
  <c r="K411" i="95"/>
  <c r="I411" i="95"/>
  <c r="G411" i="95"/>
  <c r="C411" i="95"/>
  <c r="Q410" i="95"/>
  <c r="O410" i="95"/>
  <c r="M410" i="95"/>
  <c r="K410" i="95"/>
  <c r="I410" i="95"/>
  <c r="G410" i="95"/>
  <c r="C410" i="95"/>
  <c r="Q409" i="95"/>
  <c r="O409" i="95"/>
  <c r="M409" i="95"/>
  <c r="K409" i="95"/>
  <c r="I409" i="95"/>
  <c r="G409" i="95"/>
  <c r="C409" i="95"/>
  <c r="Q408" i="95"/>
  <c r="O408" i="95"/>
  <c r="M408" i="95"/>
  <c r="K408" i="95"/>
  <c r="I408" i="95"/>
  <c r="G408" i="95"/>
  <c r="C408" i="95"/>
  <c r="Q407" i="95"/>
  <c r="O407" i="95"/>
  <c r="M407" i="95"/>
  <c r="K407" i="95"/>
  <c r="I407" i="95"/>
  <c r="G407" i="95"/>
  <c r="C407" i="95"/>
  <c r="Q406" i="95"/>
  <c r="O406" i="95"/>
  <c r="M406" i="95"/>
  <c r="K406" i="95"/>
  <c r="I406" i="95"/>
  <c r="G406" i="95"/>
  <c r="C406" i="95"/>
  <c r="Q405" i="95"/>
  <c r="O405" i="95"/>
  <c r="M405" i="95"/>
  <c r="K405" i="95"/>
  <c r="I405" i="95"/>
  <c r="G405" i="95"/>
  <c r="C405" i="95"/>
  <c r="Q404" i="95"/>
  <c r="O404" i="95"/>
  <c r="M404" i="95"/>
  <c r="K404" i="95"/>
  <c r="I404" i="95"/>
  <c r="G404" i="95"/>
  <c r="C404" i="95"/>
  <c r="Q403" i="95"/>
  <c r="O403" i="95"/>
  <c r="M403" i="95"/>
  <c r="K403" i="95"/>
  <c r="I403" i="95"/>
  <c r="G403" i="95"/>
  <c r="C403" i="95"/>
  <c r="Q402" i="95"/>
  <c r="O402" i="95"/>
  <c r="M402" i="95"/>
  <c r="K402" i="95"/>
  <c r="I402" i="95"/>
  <c r="G402" i="95"/>
  <c r="C402" i="95"/>
  <c r="Q401" i="95"/>
  <c r="O401" i="95"/>
  <c r="M401" i="95"/>
  <c r="K401" i="95"/>
  <c r="I401" i="95"/>
  <c r="G401" i="95"/>
  <c r="C401" i="95"/>
  <c r="Q400" i="95"/>
  <c r="O400" i="95"/>
  <c r="M400" i="95"/>
  <c r="K400" i="95"/>
  <c r="I400" i="95"/>
  <c r="G400" i="95"/>
  <c r="C400" i="95"/>
  <c r="Q399" i="95"/>
  <c r="O399" i="95"/>
  <c r="M399" i="95"/>
  <c r="K399" i="95"/>
  <c r="I399" i="95"/>
  <c r="G399" i="95"/>
  <c r="C399" i="95"/>
  <c r="Q398" i="95"/>
  <c r="O398" i="95"/>
  <c r="M398" i="95"/>
  <c r="K398" i="95"/>
  <c r="I398" i="95"/>
  <c r="G398" i="95"/>
  <c r="C398" i="95"/>
  <c r="Q397" i="95"/>
  <c r="O397" i="95"/>
  <c r="M397" i="95"/>
  <c r="K397" i="95"/>
  <c r="I397" i="95"/>
  <c r="G397" i="95"/>
  <c r="C397" i="95"/>
  <c r="Q396" i="95"/>
  <c r="O396" i="95"/>
  <c r="M396" i="95"/>
  <c r="K396" i="95"/>
  <c r="I396" i="95"/>
  <c r="G396" i="95"/>
  <c r="C396" i="95"/>
  <c r="Q395" i="95"/>
  <c r="O395" i="95"/>
  <c r="M395" i="95"/>
  <c r="K395" i="95"/>
  <c r="I395" i="95"/>
  <c r="G395" i="95"/>
  <c r="C395" i="95"/>
  <c r="Q394" i="95"/>
  <c r="O394" i="95"/>
  <c r="M394" i="95"/>
  <c r="K394" i="95"/>
  <c r="I394" i="95"/>
  <c r="G394" i="95"/>
  <c r="C394" i="95"/>
  <c r="Q393" i="95"/>
  <c r="O393" i="95"/>
  <c r="M393" i="95"/>
  <c r="K393" i="95"/>
  <c r="I393" i="95"/>
  <c r="G393" i="95"/>
  <c r="C393" i="95"/>
  <c r="Q392" i="95"/>
  <c r="O392" i="95"/>
  <c r="M392" i="95"/>
  <c r="K392" i="95"/>
  <c r="I392" i="95"/>
  <c r="G392" i="95"/>
  <c r="C392" i="95"/>
  <c r="Q391" i="95"/>
  <c r="O391" i="95"/>
  <c r="M391" i="95"/>
  <c r="K391" i="95"/>
  <c r="I391" i="95"/>
  <c r="G391" i="95"/>
  <c r="C391" i="95"/>
  <c r="Q390" i="95"/>
  <c r="O390" i="95"/>
  <c r="M390" i="95"/>
  <c r="K390" i="95"/>
  <c r="I390" i="95"/>
  <c r="G390" i="95"/>
  <c r="C390" i="95"/>
  <c r="Q389" i="95"/>
  <c r="O389" i="95"/>
  <c r="M389" i="95"/>
  <c r="K389" i="95"/>
  <c r="I389" i="95"/>
  <c r="G389" i="95"/>
  <c r="C389" i="95"/>
  <c r="Q388" i="95"/>
  <c r="O388" i="95"/>
  <c r="M388" i="95"/>
  <c r="K388" i="95"/>
  <c r="I388" i="95"/>
  <c r="G388" i="95"/>
  <c r="C388" i="95"/>
  <c r="Q387" i="95"/>
  <c r="O387" i="95"/>
  <c r="M387" i="95"/>
  <c r="K387" i="95"/>
  <c r="I387" i="95"/>
  <c r="G387" i="95"/>
  <c r="C387" i="95"/>
  <c r="Q386" i="95"/>
  <c r="O386" i="95"/>
  <c r="M386" i="95"/>
  <c r="K386" i="95"/>
  <c r="I386" i="95"/>
  <c r="G386" i="95"/>
  <c r="C386" i="95"/>
  <c r="Q385" i="95"/>
  <c r="O385" i="95"/>
  <c r="M385" i="95"/>
  <c r="K385" i="95"/>
  <c r="I385" i="95"/>
  <c r="G385" i="95"/>
  <c r="C385" i="95"/>
  <c r="Q384" i="95"/>
  <c r="O384" i="95"/>
  <c r="M384" i="95"/>
  <c r="K384" i="95"/>
  <c r="I384" i="95"/>
  <c r="G384" i="95"/>
  <c r="C384" i="95"/>
  <c r="Q383" i="95"/>
  <c r="O383" i="95"/>
  <c r="M383" i="95"/>
  <c r="K383" i="95"/>
  <c r="I383" i="95"/>
  <c r="G383" i="95"/>
  <c r="C383" i="95"/>
  <c r="Q382" i="95"/>
  <c r="O382" i="95"/>
  <c r="M382" i="95"/>
  <c r="K382" i="95"/>
  <c r="I382" i="95"/>
  <c r="G382" i="95"/>
  <c r="C382" i="95"/>
  <c r="Q381" i="95"/>
  <c r="O381" i="95"/>
  <c r="M381" i="95"/>
  <c r="K381" i="95"/>
  <c r="I381" i="95"/>
  <c r="G381" i="95"/>
  <c r="C381" i="95"/>
  <c r="Q380" i="95"/>
  <c r="O380" i="95"/>
  <c r="M380" i="95"/>
  <c r="K380" i="95"/>
  <c r="I380" i="95"/>
  <c r="G380" i="95"/>
  <c r="C380" i="95"/>
  <c r="Q379" i="95"/>
  <c r="O379" i="95"/>
  <c r="M379" i="95"/>
  <c r="K379" i="95"/>
  <c r="I379" i="95"/>
  <c r="G379" i="95"/>
  <c r="C379" i="95"/>
  <c r="Q378" i="95"/>
  <c r="O378" i="95"/>
  <c r="M378" i="95"/>
  <c r="K378" i="95"/>
  <c r="I378" i="95"/>
  <c r="G378" i="95"/>
  <c r="C378" i="95"/>
  <c r="Q377" i="95"/>
  <c r="O377" i="95"/>
  <c r="M377" i="95"/>
  <c r="K377" i="95"/>
  <c r="I377" i="95"/>
  <c r="G377" i="95"/>
  <c r="C377" i="95"/>
  <c r="Q376" i="95"/>
  <c r="O376" i="95"/>
  <c r="M376" i="95"/>
  <c r="K376" i="95"/>
  <c r="I376" i="95"/>
  <c r="G376" i="95"/>
  <c r="C376" i="95"/>
  <c r="Q375" i="95"/>
  <c r="O375" i="95"/>
  <c r="M375" i="95"/>
  <c r="K375" i="95"/>
  <c r="I375" i="95"/>
  <c r="G375" i="95"/>
  <c r="C375" i="95"/>
  <c r="Q374" i="95"/>
  <c r="O374" i="95"/>
  <c r="M374" i="95"/>
  <c r="K374" i="95"/>
  <c r="I374" i="95"/>
  <c r="G374" i="95"/>
  <c r="C374" i="95"/>
  <c r="Q373" i="95"/>
  <c r="O373" i="95"/>
  <c r="M373" i="95"/>
  <c r="K373" i="95"/>
  <c r="I373" i="95"/>
  <c r="G373" i="95"/>
  <c r="C373" i="95"/>
  <c r="Q372" i="95"/>
  <c r="O372" i="95"/>
  <c r="M372" i="95"/>
  <c r="K372" i="95"/>
  <c r="I372" i="95"/>
  <c r="G372" i="95"/>
  <c r="C372" i="95"/>
  <c r="Q371" i="95"/>
  <c r="O371" i="95"/>
  <c r="M371" i="95"/>
  <c r="K371" i="95"/>
  <c r="I371" i="95"/>
  <c r="G371" i="95"/>
  <c r="C371" i="95"/>
  <c r="Q370" i="95"/>
  <c r="O370" i="95"/>
  <c r="M370" i="95"/>
  <c r="K370" i="95"/>
  <c r="I370" i="95"/>
  <c r="G370" i="95"/>
  <c r="C370" i="95"/>
  <c r="Q369" i="95"/>
  <c r="O369" i="95"/>
  <c r="M369" i="95"/>
  <c r="K369" i="95"/>
  <c r="I369" i="95"/>
  <c r="G369" i="95"/>
  <c r="C369" i="95"/>
  <c r="Q368" i="95"/>
  <c r="O368" i="95"/>
  <c r="M368" i="95"/>
  <c r="K368" i="95"/>
  <c r="I368" i="95"/>
  <c r="G368" i="95"/>
  <c r="C368" i="95"/>
  <c r="Q367" i="95"/>
  <c r="O367" i="95"/>
  <c r="M367" i="95"/>
  <c r="K367" i="95"/>
  <c r="I367" i="95"/>
  <c r="G367" i="95"/>
  <c r="C367" i="95"/>
  <c r="Q366" i="95"/>
  <c r="O366" i="95"/>
  <c r="M366" i="95"/>
  <c r="K366" i="95"/>
  <c r="I366" i="95"/>
  <c r="G366" i="95"/>
  <c r="C366" i="95"/>
  <c r="Q365" i="95"/>
  <c r="O365" i="95"/>
  <c r="M365" i="95"/>
  <c r="K365" i="95"/>
  <c r="I365" i="95"/>
  <c r="G365" i="95"/>
  <c r="C365" i="95"/>
  <c r="Q364" i="95"/>
  <c r="O364" i="95"/>
  <c r="M364" i="95"/>
  <c r="K364" i="95"/>
  <c r="I364" i="95"/>
  <c r="G364" i="95"/>
  <c r="C364" i="95"/>
  <c r="Q363" i="95"/>
  <c r="O363" i="95"/>
  <c r="M363" i="95"/>
  <c r="K363" i="95"/>
  <c r="I363" i="95"/>
  <c r="G363" i="95"/>
  <c r="C363" i="95"/>
  <c r="Q362" i="95"/>
  <c r="O362" i="95"/>
  <c r="M362" i="95"/>
  <c r="K362" i="95"/>
  <c r="I362" i="95"/>
  <c r="G362" i="95"/>
  <c r="C362" i="95"/>
  <c r="Q361" i="95"/>
  <c r="O361" i="95"/>
  <c r="M361" i="95"/>
  <c r="K361" i="95"/>
  <c r="I361" i="95"/>
  <c r="G361" i="95"/>
  <c r="C361" i="95"/>
  <c r="Q360" i="95"/>
  <c r="O360" i="95"/>
  <c r="M360" i="95"/>
  <c r="K360" i="95"/>
  <c r="I360" i="95"/>
  <c r="G360" i="95"/>
  <c r="C360" i="95"/>
  <c r="Q359" i="95"/>
  <c r="O359" i="95"/>
  <c r="M359" i="95"/>
  <c r="K359" i="95"/>
  <c r="I359" i="95"/>
  <c r="G359" i="95"/>
  <c r="C359" i="95"/>
  <c r="Q358" i="95"/>
  <c r="O358" i="95"/>
  <c r="M358" i="95"/>
  <c r="K358" i="95"/>
  <c r="I358" i="95"/>
  <c r="G358" i="95"/>
  <c r="C358" i="95"/>
  <c r="Q357" i="95"/>
  <c r="O357" i="95"/>
  <c r="M357" i="95"/>
  <c r="K357" i="95"/>
  <c r="I357" i="95"/>
  <c r="G357" i="95"/>
  <c r="C357" i="95"/>
  <c r="Q356" i="95"/>
  <c r="O356" i="95"/>
  <c r="M356" i="95"/>
  <c r="K356" i="95"/>
  <c r="I356" i="95"/>
  <c r="G356" i="95"/>
  <c r="C356" i="95"/>
  <c r="Q355" i="95"/>
  <c r="O355" i="95"/>
  <c r="M355" i="95"/>
  <c r="K355" i="95"/>
  <c r="I355" i="95"/>
  <c r="G355" i="95"/>
  <c r="C355" i="95"/>
  <c r="Q354" i="95"/>
  <c r="O354" i="95"/>
  <c r="M354" i="95"/>
  <c r="K354" i="95"/>
  <c r="I354" i="95"/>
  <c r="G354" i="95"/>
  <c r="C354" i="95"/>
  <c r="Q353" i="95"/>
  <c r="O353" i="95"/>
  <c r="M353" i="95"/>
  <c r="K353" i="95"/>
  <c r="I353" i="95"/>
  <c r="G353" i="95"/>
  <c r="C353" i="95"/>
  <c r="Q352" i="95"/>
  <c r="O352" i="95"/>
  <c r="M352" i="95"/>
  <c r="K352" i="95"/>
  <c r="I352" i="95"/>
  <c r="G352" i="95"/>
  <c r="C352" i="95"/>
  <c r="Q351" i="95"/>
  <c r="O351" i="95"/>
  <c r="M351" i="95"/>
  <c r="K351" i="95"/>
  <c r="I351" i="95"/>
  <c r="G351" i="95"/>
  <c r="C351" i="95"/>
  <c r="Q350" i="95"/>
  <c r="O350" i="95"/>
  <c r="M350" i="95"/>
  <c r="K350" i="95"/>
  <c r="I350" i="95"/>
  <c r="G350" i="95"/>
  <c r="C350" i="95"/>
  <c r="Q349" i="95"/>
  <c r="O349" i="95"/>
  <c r="M349" i="95"/>
  <c r="K349" i="95"/>
  <c r="I349" i="95"/>
  <c r="G349" i="95"/>
  <c r="C349" i="95"/>
  <c r="Q348" i="95"/>
  <c r="O348" i="95"/>
  <c r="M348" i="95"/>
  <c r="K348" i="95"/>
  <c r="I348" i="95"/>
  <c r="G348" i="95"/>
  <c r="C348" i="95"/>
  <c r="Q347" i="95"/>
  <c r="O347" i="95"/>
  <c r="M347" i="95"/>
  <c r="K347" i="95"/>
  <c r="I347" i="95"/>
  <c r="G347" i="95"/>
  <c r="C347" i="95"/>
  <c r="Q346" i="95"/>
  <c r="O346" i="95"/>
  <c r="M346" i="95"/>
  <c r="K346" i="95"/>
  <c r="I346" i="95"/>
  <c r="G346" i="95"/>
  <c r="C346" i="95"/>
  <c r="Q345" i="95"/>
  <c r="O345" i="95"/>
  <c r="M345" i="95"/>
  <c r="K345" i="95"/>
  <c r="I345" i="95"/>
  <c r="G345" i="95"/>
  <c r="C345" i="95"/>
  <c r="Q344" i="95"/>
  <c r="O344" i="95"/>
  <c r="M344" i="95"/>
  <c r="K344" i="95"/>
  <c r="I344" i="95"/>
  <c r="G344" i="95"/>
  <c r="C344" i="95"/>
  <c r="Q343" i="95"/>
  <c r="O343" i="95"/>
  <c r="M343" i="95"/>
  <c r="K343" i="95"/>
  <c r="I343" i="95"/>
  <c r="G343" i="95"/>
  <c r="C343" i="95"/>
  <c r="Q342" i="95"/>
  <c r="O342" i="95"/>
  <c r="M342" i="95"/>
  <c r="K342" i="95"/>
  <c r="I342" i="95"/>
  <c r="G342" i="95"/>
  <c r="C342" i="95"/>
  <c r="Q341" i="95"/>
  <c r="O341" i="95"/>
  <c r="M341" i="95"/>
  <c r="K341" i="95"/>
  <c r="I341" i="95"/>
  <c r="G341" i="95"/>
  <c r="C341" i="95"/>
  <c r="Q340" i="95"/>
  <c r="O340" i="95"/>
  <c r="M340" i="95"/>
  <c r="K340" i="95"/>
  <c r="I340" i="95"/>
  <c r="G340" i="95"/>
  <c r="C340" i="95"/>
  <c r="Q339" i="95"/>
  <c r="O339" i="95"/>
  <c r="M339" i="95"/>
  <c r="K339" i="95"/>
  <c r="I339" i="95"/>
  <c r="G339" i="95"/>
  <c r="C339" i="95"/>
  <c r="Q338" i="95"/>
  <c r="O338" i="95"/>
  <c r="M338" i="95"/>
  <c r="K338" i="95"/>
  <c r="I338" i="95"/>
  <c r="G338" i="95"/>
  <c r="C338" i="95"/>
  <c r="Q337" i="95"/>
  <c r="O337" i="95"/>
  <c r="M337" i="95"/>
  <c r="K337" i="95"/>
  <c r="I337" i="95"/>
  <c r="G337" i="95"/>
  <c r="C337" i="95"/>
  <c r="Q336" i="95"/>
  <c r="O336" i="95"/>
  <c r="M336" i="95"/>
  <c r="K336" i="95"/>
  <c r="I336" i="95"/>
  <c r="G336" i="95"/>
  <c r="C336" i="95"/>
  <c r="Q335" i="95"/>
  <c r="O335" i="95"/>
  <c r="M335" i="95"/>
  <c r="K335" i="95"/>
  <c r="I335" i="95"/>
  <c r="G335" i="95"/>
  <c r="C335" i="95"/>
  <c r="Q334" i="95"/>
  <c r="O334" i="95"/>
  <c r="M334" i="95"/>
  <c r="K334" i="95"/>
  <c r="I334" i="95"/>
  <c r="G334" i="95"/>
  <c r="C334" i="95"/>
  <c r="Q333" i="95"/>
  <c r="O333" i="95"/>
  <c r="M333" i="95"/>
  <c r="K333" i="95"/>
  <c r="I333" i="95"/>
  <c r="G333" i="95"/>
  <c r="C333" i="95"/>
  <c r="Q332" i="95"/>
  <c r="O332" i="95"/>
  <c r="M332" i="95"/>
  <c r="K332" i="95"/>
  <c r="I332" i="95"/>
  <c r="G332" i="95"/>
  <c r="C332" i="95"/>
  <c r="Q331" i="95"/>
  <c r="O331" i="95"/>
  <c r="M331" i="95"/>
  <c r="K331" i="95"/>
  <c r="I331" i="95"/>
  <c r="G331" i="95"/>
  <c r="C331" i="95"/>
  <c r="Q330" i="95"/>
  <c r="O330" i="95"/>
  <c r="M330" i="95"/>
  <c r="K330" i="95"/>
  <c r="I330" i="95"/>
  <c r="G330" i="95"/>
  <c r="C330" i="95"/>
  <c r="Q329" i="95"/>
  <c r="O329" i="95"/>
  <c r="M329" i="95"/>
  <c r="K329" i="95"/>
  <c r="I329" i="95"/>
  <c r="G329" i="95"/>
  <c r="E329" i="95"/>
  <c r="C329" i="95"/>
  <c r="Q328" i="95"/>
  <c r="O328" i="95"/>
  <c r="M328" i="95"/>
  <c r="K328" i="95"/>
  <c r="I328" i="95"/>
  <c r="G328" i="95"/>
  <c r="E328" i="95"/>
  <c r="C328" i="95"/>
  <c r="Q327" i="95"/>
  <c r="O327" i="95"/>
  <c r="M327" i="95"/>
  <c r="K327" i="95"/>
  <c r="I327" i="95"/>
  <c r="G327" i="95"/>
  <c r="E327" i="95"/>
  <c r="C327" i="95"/>
  <c r="Q326" i="95"/>
  <c r="O326" i="95"/>
  <c r="M326" i="95"/>
  <c r="K326" i="95"/>
  <c r="I326" i="95"/>
  <c r="G326" i="95"/>
  <c r="E326" i="95"/>
  <c r="C326" i="95"/>
  <c r="Q325" i="95"/>
  <c r="O325" i="95"/>
  <c r="M325" i="95"/>
  <c r="K325" i="95"/>
  <c r="I325" i="95"/>
  <c r="G325" i="95"/>
  <c r="E325" i="95"/>
  <c r="C325" i="95"/>
  <c r="Q324" i="95"/>
  <c r="O324" i="95"/>
  <c r="M324" i="95"/>
  <c r="K324" i="95"/>
  <c r="I324" i="95"/>
  <c r="G324" i="95"/>
  <c r="E324" i="95"/>
  <c r="C324" i="95"/>
  <c r="Q323" i="95"/>
  <c r="O323" i="95"/>
  <c r="M323" i="95"/>
  <c r="K323" i="95"/>
  <c r="I323" i="95"/>
  <c r="G323" i="95"/>
  <c r="E323" i="95"/>
  <c r="C323" i="95"/>
  <c r="Q322" i="95"/>
  <c r="O322" i="95"/>
  <c r="M322" i="95"/>
  <c r="K322" i="95"/>
  <c r="I322" i="95"/>
  <c r="G322" i="95"/>
  <c r="E322" i="95"/>
  <c r="C322" i="95"/>
  <c r="Q321" i="95"/>
  <c r="O321" i="95"/>
  <c r="M321" i="95"/>
  <c r="K321" i="95"/>
  <c r="I321" i="95"/>
  <c r="G321" i="95"/>
  <c r="E321" i="95"/>
  <c r="C321" i="95"/>
  <c r="Q320" i="95"/>
  <c r="O320" i="95"/>
  <c r="M320" i="95"/>
  <c r="K320" i="95"/>
  <c r="I320" i="95"/>
  <c r="G320" i="95"/>
  <c r="E320" i="95"/>
  <c r="C320" i="95"/>
  <c r="Q319" i="95"/>
  <c r="O319" i="95"/>
  <c r="M319" i="95"/>
  <c r="K319" i="95"/>
  <c r="I319" i="95"/>
  <c r="G319" i="95"/>
  <c r="E319" i="95"/>
  <c r="C319" i="95"/>
  <c r="Q318" i="95"/>
  <c r="O318" i="95"/>
  <c r="M318" i="95"/>
  <c r="K318" i="95"/>
  <c r="I318" i="95"/>
  <c r="G318" i="95"/>
  <c r="E318" i="95"/>
  <c r="C318" i="95"/>
  <c r="Q317" i="95"/>
  <c r="O317" i="95"/>
  <c r="M317" i="95"/>
  <c r="K317" i="95"/>
  <c r="I317" i="95"/>
  <c r="G317" i="95"/>
  <c r="E317" i="95"/>
  <c r="C317" i="95"/>
  <c r="Q316" i="95"/>
  <c r="O316" i="95"/>
  <c r="M316" i="95"/>
  <c r="K316" i="95"/>
  <c r="I316" i="95"/>
  <c r="G316" i="95"/>
  <c r="E316" i="95"/>
  <c r="C316" i="95"/>
  <c r="Q315" i="95"/>
  <c r="O315" i="95"/>
  <c r="M315" i="95"/>
  <c r="K315" i="95"/>
  <c r="I315" i="95"/>
  <c r="G315" i="95"/>
  <c r="E315" i="95"/>
  <c r="C315" i="95"/>
  <c r="Q314" i="95"/>
  <c r="O314" i="95"/>
  <c r="M314" i="95"/>
  <c r="K314" i="95"/>
  <c r="I314" i="95"/>
  <c r="G314" i="95"/>
  <c r="E314" i="95"/>
  <c r="C314" i="95"/>
  <c r="Q313" i="95"/>
  <c r="O313" i="95"/>
  <c r="M313" i="95"/>
  <c r="K313" i="95"/>
  <c r="I313" i="95"/>
  <c r="G313" i="95"/>
  <c r="E313" i="95"/>
  <c r="C313" i="95"/>
  <c r="Q312" i="95"/>
  <c r="O312" i="95"/>
  <c r="M312" i="95"/>
  <c r="K312" i="95"/>
  <c r="I312" i="95"/>
  <c r="G312" i="95"/>
  <c r="E312" i="95"/>
  <c r="C312" i="95"/>
  <c r="Q311" i="95"/>
  <c r="O311" i="95"/>
  <c r="M311" i="95"/>
  <c r="K311" i="95"/>
  <c r="I311" i="95"/>
  <c r="G311" i="95"/>
  <c r="E311" i="95"/>
  <c r="C311" i="95"/>
  <c r="Q310" i="95"/>
  <c r="O310" i="95"/>
  <c r="M310" i="95"/>
  <c r="K310" i="95"/>
  <c r="I310" i="95"/>
  <c r="G310" i="95"/>
  <c r="E310" i="95"/>
  <c r="C310" i="95"/>
  <c r="Q309" i="95"/>
  <c r="O309" i="95"/>
  <c r="M309" i="95"/>
  <c r="K309" i="95"/>
  <c r="I309" i="95"/>
  <c r="G309" i="95"/>
  <c r="E309" i="95"/>
  <c r="C309" i="95"/>
  <c r="Q308" i="95"/>
  <c r="O308" i="95"/>
  <c r="M308" i="95"/>
  <c r="K308" i="95"/>
  <c r="I308" i="95"/>
  <c r="G308" i="95"/>
  <c r="E308" i="95"/>
  <c r="C308" i="95"/>
  <c r="Q307" i="95"/>
  <c r="O307" i="95"/>
  <c r="M307" i="95"/>
  <c r="K307" i="95"/>
  <c r="I307" i="95"/>
  <c r="G307" i="95"/>
  <c r="E307" i="95"/>
  <c r="C307" i="95"/>
  <c r="Q306" i="95"/>
  <c r="O306" i="95"/>
  <c r="M306" i="95"/>
  <c r="K306" i="95"/>
  <c r="I306" i="95"/>
  <c r="G306" i="95"/>
  <c r="E306" i="95"/>
  <c r="C306" i="95"/>
  <c r="Q305" i="95"/>
  <c r="O305" i="95"/>
  <c r="M305" i="95"/>
  <c r="K305" i="95"/>
  <c r="I305" i="95"/>
  <c r="G305" i="95"/>
  <c r="E305" i="95"/>
  <c r="C305" i="95"/>
  <c r="Q304" i="95"/>
  <c r="O304" i="95"/>
  <c r="M304" i="95"/>
  <c r="K304" i="95"/>
  <c r="I304" i="95"/>
  <c r="G304" i="95"/>
  <c r="E304" i="95"/>
  <c r="C304" i="95"/>
  <c r="Q303" i="95"/>
  <c r="O303" i="95"/>
  <c r="M303" i="95"/>
  <c r="K303" i="95"/>
  <c r="I303" i="95"/>
  <c r="G303" i="95"/>
  <c r="E303" i="95"/>
  <c r="C303" i="95"/>
  <c r="Q302" i="95"/>
  <c r="O302" i="95"/>
  <c r="M302" i="95"/>
  <c r="K302" i="95"/>
  <c r="I302" i="95"/>
  <c r="G302" i="95"/>
  <c r="E302" i="95"/>
  <c r="C302" i="95"/>
  <c r="Q301" i="95"/>
  <c r="O301" i="95"/>
  <c r="M301" i="95"/>
  <c r="K301" i="95"/>
  <c r="I301" i="95"/>
  <c r="G301" i="95"/>
  <c r="E301" i="95"/>
  <c r="C301" i="95"/>
  <c r="Q300" i="95"/>
  <c r="O300" i="95"/>
  <c r="M300" i="95"/>
  <c r="K300" i="95"/>
  <c r="I300" i="95"/>
  <c r="G300" i="95"/>
  <c r="E300" i="95"/>
  <c r="C300" i="95"/>
  <c r="Q299" i="95"/>
  <c r="O299" i="95"/>
  <c r="M299" i="95"/>
  <c r="K299" i="95"/>
  <c r="I299" i="95"/>
  <c r="G299" i="95"/>
  <c r="E299" i="95"/>
  <c r="C299" i="95"/>
  <c r="Q298" i="95"/>
  <c r="O298" i="95"/>
  <c r="M298" i="95"/>
  <c r="K298" i="95"/>
  <c r="I298" i="95"/>
  <c r="G298" i="95"/>
  <c r="E298" i="95"/>
  <c r="C298" i="95"/>
  <c r="Q297" i="95"/>
  <c r="O297" i="95"/>
  <c r="M297" i="95"/>
  <c r="K297" i="95"/>
  <c r="I297" i="95"/>
  <c r="G297" i="95"/>
  <c r="E297" i="95"/>
  <c r="C297" i="95"/>
  <c r="Q296" i="95"/>
  <c r="O296" i="95"/>
  <c r="M296" i="95"/>
  <c r="K296" i="95"/>
  <c r="I296" i="95"/>
  <c r="G296" i="95"/>
  <c r="E296" i="95"/>
  <c r="C296" i="95"/>
  <c r="Q295" i="95"/>
  <c r="O295" i="95"/>
  <c r="M295" i="95"/>
  <c r="K295" i="95"/>
  <c r="I295" i="95"/>
  <c r="G295" i="95"/>
  <c r="E295" i="95"/>
  <c r="C295" i="95"/>
  <c r="Q294" i="95"/>
  <c r="O294" i="95"/>
  <c r="M294" i="95"/>
  <c r="K294" i="95"/>
  <c r="I294" i="95"/>
  <c r="G294" i="95"/>
  <c r="E294" i="95"/>
  <c r="C294" i="95"/>
  <c r="Q293" i="95"/>
  <c r="O293" i="95"/>
  <c r="M293" i="95"/>
  <c r="K293" i="95"/>
  <c r="I293" i="95"/>
  <c r="G293" i="95"/>
  <c r="E293" i="95"/>
  <c r="C293" i="95"/>
  <c r="Q292" i="95"/>
  <c r="O292" i="95"/>
  <c r="M292" i="95"/>
  <c r="K292" i="95"/>
  <c r="I292" i="95"/>
  <c r="G292" i="95"/>
  <c r="E292" i="95"/>
  <c r="C292" i="95"/>
  <c r="Q291" i="95"/>
  <c r="O291" i="95"/>
  <c r="M291" i="95"/>
  <c r="K291" i="95"/>
  <c r="I291" i="95"/>
  <c r="G291" i="95"/>
  <c r="E291" i="95"/>
  <c r="C291" i="95"/>
  <c r="Q290" i="95"/>
  <c r="O290" i="95"/>
  <c r="M290" i="95"/>
  <c r="K290" i="95"/>
  <c r="I290" i="95"/>
  <c r="G290" i="95"/>
  <c r="E290" i="95"/>
  <c r="C290" i="95"/>
  <c r="Q289" i="95"/>
  <c r="O289" i="95"/>
  <c r="M289" i="95"/>
  <c r="K289" i="95"/>
  <c r="I289" i="95"/>
  <c r="G289" i="95"/>
  <c r="E289" i="95"/>
  <c r="C289" i="95"/>
  <c r="Q288" i="95"/>
  <c r="O288" i="95"/>
  <c r="M288" i="95"/>
  <c r="K288" i="95"/>
  <c r="I288" i="95"/>
  <c r="G288" i="95"/>
  <c r="E288" i="95"/>
  <c r="C288" i="95"/>
  <c r="Q287" i="95"/>
  <c r="O287" i="95"/>
  <c r="M287" i="95"/>
  <c r="K287" i="95"/>
  <c r="I287" i="95"/>
  <c r="G287" i="95"/>
  <c r="E287" i="95"/>
  <c r="C287" i="95"/>
  <c r="Q286" i="95"/>
  <c r="O286" i="95"/>
  <c r="M286" i="95"/>
  <c r="K286" i="95"/>
  <c r="I286" i="95"/>
  <c r="G286" i="95"/>
  <c r="E286" i="95"/>
  <c r="C286" i="95"/>
  <c r="Q285" i="95"/>
  <c r="O285" i="95"/>
  <c r="M285" i="95"/>
  <c r="K285" i="95"/>
  <c r="I285" i="95"/>
  <c r="G285" i="95"/>
  <c r="E285" i="95"/>
  <c r="C285" i="95"/>
  <c r="Q284" i="95"/>
  <c r="O284" i="95"/>
  <c r="M284" i="95"/>
  <c r="K284" i="95"/>
  <c r="I284" i="95"/>
  <c r="G284" i="95"/>
  <c r="E284" i="95"/>
  <c r="C284" i="95"/>
  <c r="Q283" i="95"/>
  <c r="O283" i="95"/>
  <c r="M283" i="95"/>
  <c r="K283" i="95"/>
  <c r="I283" i="95"/>
  <c r="G283" i="95"/>
  <c r="E283" i="95"/>
  <c r="C283" i="95"/>
  <c r="Q282" i="95"/>
  <c r="O282" i="95"/>
  <c r="M282" i="95"/>
  <c r="K282" i="95"/>
  <c r="I282" i="95"/>
  <c r="G282" i="95"/>
  <c r="E282" i="95"/>
  <c r="C282" i="95"/>
  <c r="Q281" i="95"/>
  <c r="O281" i="95"/>
  <c r="M281" i="95"/>
  <c r="K281" i="95"/>
  <c r="I281" i="95"/>
  <c r="G281" i="95"/>
  <c r="E281" i="95"/>
  <c r="C281" i="95"/>
  <c r="Q280" i="95"/>
  <c r="O280" i="95"/>
  <c r="M280" i="95"/>
  <c r="K280" i="95"/>
  <c r="I280" i="95"/>
  <c r="G280" i="95"/>
  <c r="E280" i="95"/>
  <c r="C280" i="95"/>
  <c r="Q279" i="95"/>
  <c r="O279" i="95"/>
  <c r="M279" i="95"/>
  <c r="K279" i="95"/>
  <c r="I279" i="95"/>
  <c r="G279" i="95"/>
  <c r="E279" i="95"/>
  <c r="C279" i="95"/>
  <c r="Q278" i="95"/>
  <c r="O278" i="95"/>
  <c r="M278" i="95"/>
  <c r="K278" i="95"/>
  <c r="I278" i="95"/>
  <c r="G278" i="95"/>
  <c r="E278" i="95"/>
  <c r="C278" i="95"/>
  <c r="Q277" i="95"/>
  <c r="O277" i="95"/>
  <c r="M277" i="95"/>
  <c r="K277" i="95"/>
  <c r="I277" i="95"/>
  <c r="G277" i="95"/>
  <c r="E277" i="95"/>
  <c r="C277" i="95"/>
  <c r="Q276" i="95"/>
  <c r="O276" i="95"/>
  <c r="M276" i="95"/>
  <c r="K276" i="95"/>
  <c r="I276" i="95"/>
  <c r="G276" i="95"/>
  <c r="E276" i="95"/>
  <c r="C276" i="95"/>
  <c r="Q275" i="95"/>
  <c r="O275" i="95"/>
  <c r="M275" i="95"/>
  <c r="K275" i="95"/>
  <c r="I275" i="95"/>
  <c r="G275" i="95"/>
  <c r="E275" i="95"/>
  <c r="C275" i="95"/>
  <c r="Q274" i="95"/>
  <c r="O274" i="95"/>
  <c r="M274" i="95"/>
  <c r="K274" i="95"/>
  <c r="I274" i="95"/>
  <c r="G274" i="95"/>
  <c r="E274" i="95"/>
  <c r="C274" i="95"/>
  <c r="Q273" i="95"/>
  <c r="O273" i="95"/>
  <c r="M273" i="95"/>
  <c r="K273" i="95"/>
  <c r="I273" i="95"/>
  <c r="G273" i="95"/>
  <c r="E273" i="95"/>
  <c r="C273" i="95"/>
  <c r="Q272" i="95"/>
  <c r="O272" i="95"/>
  <c r="M272" i="95"/>
  <c r="K272" i="95"/>
  <c r="I272" i="95"/>
  <c r="G272" i="95"/>
  <c r="E272" i="95"/>
  <c r="C272" i="95"/>
  <c r="Q271" i="95"/>
  <c r="O271" i="95"/>
  <c r="M271" i="95"/>
  <c r="K271" i="95"/>
  <c r="I271" i="95"/>
  <c r="G271" i="95"/>
  <c r="E271" i="95"/>
  <c r="C271" i="95"/>
  <c r="Q270" i="95"/>
  <c r="O270" i="95"/>
  <c r="M270" i="95"/>
  <c r="K270" i="95"/>
  <c r="I270" i="95"/>
  <c r="G270" i="95"/>
  <c r="E270" i="95"/>
  <c r="C270" i="95"/>
  <c r="Q269" i="95"/>
  <c r="O269" i="95"/>
  <c r="M269" i="95"/>
  <c r="K269" i="95"/>
  <c r="I269" i="95"/>
  <c r="G269" i="95"/>
  <c r="E269" i="95"/>
  <c r="C269" i="95"/>
  <c r="Q268" i="95"/>
  <c r="O268" i="95"/>
  <c r="M268" i="95"/>
  <c r="K268" i="95"/>
  <c r="I268" i="95"/>
  <c r="G268" i="95"/>
  <c r="E268" i="95"/>
  <c r="C268" i="95"/>
  <c r="Q267" i="95"/>
  <c r="O267" i="95"/>
  <c r="M267" i="95"/>
  <c r="K267" i="95"/>
  <c r="I267" i="95"/>
  <c r="G267" i="95"/>
  <c r="E267" i="95"/>
  <c r="C267" i="95"/>
  <c r="Q266" i="95"/>
  <c r="O266" i="95"/>
  <c r="M266" i="95"/>
  <c r="K266" i="95"/>
  <c r="I266" i="95"/>
  <c r="G266" i="95"/>
  <c r="E266" i="95"/>
  <c r="C266" i="95"/>
  <c r="Q265" i="95"/>
  <c r="O265" i="95"/>
  <c r="M265" i="95"/>
  <c r="K265" i="95"/>
  <c r="I265" i="95"/>
  <c r="G265" i="95"/>
  <c r="E265" i="95"/>
  <c r="C265" i="95"/>
  <c r="Q264" i="95"/>
  <c r="O264" i="95"/>
  <c r="M264" i="95"/>
  <c r="K264" i="95"/>
  <c r="I264" i="95"/>
  <c r="G264" i="95"/>
  <c r="E264" i="95"/>
  <c r="C264" i="95"/>
  <c r="Q263" i="95"/>
  <c r="O263" i="95"/>
  <c r="M263" i="95"/>
  <c r="K263" i="95"/>
  <c r="I263" i="95"/>
  <c r="G263" i="95"/>
  <c r="E263" i="95"/>
  <c r="C263" i="95"/>
  <c r="Q262" i="95"/>
  <c r="O262" i="95"/>
  <c r="M262" i="95"/>
  <c r="K262" i="95"/>
  <c r="I262" i="95"/>
  <c r="G262" i="95"/>
  <c r="E262" i="95"/>
  <c r="C262" i="95"/>
  <c r="Q261" i="95"/>
  <c r="O261" i="95"/>
  <c r="M261" i="95"/>
  <c r="K261" i="95"/>
  <c r="I261" i="95"/>
  <c r="G261" i="95"/>
  <c r="E261" i="95"/>
  <c r="C261" i="95"/>
  <c r="Q260" i="95"/>
  <c r="O260" i="95"/>
  <c r="M260" i="95"/>
  <c r="K260" i="95"/>
  <c r="I260" i="95"/>
  <c r="G260" i="95"/>
  <c r="E260" i="95"/>
  <c r="C260" i="95"/>
  <c r="Q259" i="95"/>
  <c r="O259" i="95"/>
  <c r="M259" i="95"/>
  <c r="K259" i="95"/>
  <c r="I259" i="95"/>
  <c r="G259" i="95"/>
  <c r="E259" i="95"/>
  <c r="C259" i="95"/>
  <c r="Q258" i="95"/>
  <c r="O258" i="95"/>
  <c r="M258" i="95"/>
  <c r="K258" i="95"/>
  <c r="I258" i="95"/>
  <c r="G258" i="95"/>
  <c r="E258" i="95"/>
  <c r="C258" i="95"/>
  <c r="Q257" i="95"/>
  <c r="O257" i="95"/>
  <c r="M257" i="95"/>
  <c r="K257" i="95"/>
  <c r="I257" i="95"/>
  <c r="G257" i="95"/>
  <c r="E257" i="95"/>
  <c r="C257" i="95"/>
  <c r="Q256" i="95"/>
  <c r="O256" i="95"/>
  <c r="M256" i="95"/>
  <c r="K256" i="95"/>
  <c r="I256" i="95"/>
  <c r="G256" i="95"/>
  <c r="E256" i="95"/>
  <c r="C256" i="95"/>
  <c r="Q255" i="95"/>
  <c r="O255" i="95"/>
  <c r="M255" i="95"/>
  <c r="K255" i="95"/>
  <c r="I255" i="95"/>
  <c r="G255" i="95"/>
  <c r="E255" i="95"/>
  <c r="C255" i="95"/>
  <c r="Q254" i="95"/>
  <c r="O254" i="95"/>
  <c r="M254" i="95"/>
  <c r="K254" i="95"/>
  <c r="I254" i="95"/>
  <c r="G254" i="95"/>
  <c r="E254" i="95"/>
  <c r="C254" i="95"/>
  <c r="Q253" i="95"/>
  <c r="O253" i="95"/>
  <c r="M253" i="95"/>
  <c r="K253" i="95"/>
  <c r="I253" i="95"/>
  <c r="G253" i="95"/>
  <c r="E253" i="95"/>
  <c r="C253" i="95"/>
  <c r="Q252" i="95"/>
  <c r="O252" i="95"/>
  <c r="M252" i="95"/>
  <c r="K252" i="95"/>
  <c r="I252" i="95"/>
  <c r="G252" i="95"/>
  <c r="E252" i="95"/>
  <c r="C252" i="95"/>
  <c r="Q251" i="95"/>
  <c r="O251" i="95"/>
  <c r="M251" i="95"/>
  <c r="K251" i="95"/>
  <c r="I251" i="95"/>
  <c r="G251" i="95"/>
  <c r="E251" i="95"/>
  <c r="C251" i="95"/>
  <c r="Q250" i="95"/>
  <c r="O250" i="95"/>
  <c r="M250" i="95"/>
  <c r="K250" i="95"/>
  <c r="I250" i="95"/>
  <c r="G250" i="95"/>
  <c r="E250" i="95"/>
  <c r="C250" i="95"/>
  <c r="Q249" i="95"/>
  <c r="O249" i="95"/>
  <c r="M249" i="95"/>
  <c r="K249" i="95"/>
  <c r="I249" i="95"/>
  <c r="G249" i="95"/>
  <c r="E249" i="95"/>
  <c r="C249" i="95"/>
  <c r="Q248" i="95"/>
  <c r="O248" i="95"/>
  <c r="M248" i="95"/>
  <c r="K248" i="95"/>
  <c r="I248" i="95"/>
  <c r="G248" i="95"/>
  <c r="E248" i="95"/>
  <c r="C248" i="95"/>
  <c r="Q247" i="95"/>
  <c r="O247" i="95"/>
  <c r="M247" i="95"/>
  <c r="K247" i="95"/>
  <c r="I247" i="95"/>
  <c r="G247" i="95"/>
  <c r="E247" i="95"/>
  <c r="C247" i="95"/>
  <c r="Q246" i="95"/>
  <c r="O246" i="95"/>
  <c r="M246" i="95"/>
  <c r="K246" i="95"/>
  <c r="I246" i="95"/>
  <c r="G246" i="95"/>
  <c r="E246" i="95"/>
  <c r="C246" i="95"/>
  <c r="Q245" i="95"/>
  <c r="O245" i="95"/>
  <c r="M245" i="95"/>
  <c r="K245" i="95"/>
  <c r="I245" i="95"/>
  <c r="G245" i="95"/>
  <c r="E245" i="95"/>
  <c r="C245" i="95"/>
  <c r="Q244" i="95"/>
  <c r="O244" i="95"/>
  <c r="M244" i="95"/>
  <c r="K244" i="95"/>
  <c r="I244" i="95"/>
  <c r="G244" i="95"/>
  <c r="E244" i="95"/>
  <c r="C244" i="95"/>
  <c r="Q243" i="95"/>
  <c r="O243" i="95"/>
  <c r="M243" i="95"/>
  <c r="K243" i="95"/>
  <c r="I243" i="95"/>
  <c r="G243" i="95"/>
  <c r="E243" i="95"/>
  <c r="C243" i="95"/>
  <c r="Q242" i="95"/>
  <c r="O242" i="95"/>
  <c r="M242" i="95"/>
  <c r="K242" i="95"/>
  <c r="I242" i="95"/>
  <c r="G242" i="95"/>
  <c r="E242" i="95"/>
  <c r="C242" i="95"/>
  <c r="Q241" i="95"/>
  <c r="O241" i="95"/>
  <c r="M241" i="95"/>
  <c r="K241" i="95"/>
  <c r="I241" i="95"/>
  <c r="G241" i="95"/>
  <c r="E241" i="95"/>
  <c r="C241" i="95"/>
  <c r="Q240" i="95"/>
  <c r="O240" i="95"/>
  <c r="M240" i="95"/>
  <c r="K240" i="95"/>
  <c r="I240" i="95"/>
  <c r="G240" i="95"/>
  <c r="E240" i="95"/>
  <c r="C240" i="95"/>
  <c r="Q239" i="95"/>
  <c r="O239" i="95"/>
  <c r="M239" i="95"/>
  <c r="K239" i="95"/>
  <c r="I239" i="95"/>
  <c r="G239" i="95"/>
  <c r="E239" i="95"/>
  <c r="C239" i="95"/>
  <c r="Q238" i="95"/>
  <c r="O238" i="95"/>
  <c r="M238" i="95"/>
  <c r="K238" i="95"/>
  <c r="I238" i="95"/>
  <c r="G238" i="95"/>
  <c r="E238" i="95"/>
  <c r="C238" i="95"/>
  <c r="Q237" i="95"/>
  <c r="O237" i="95"/>
  <c r="M237" i="95"/>
  <c r="K237" i="95"/>
  <c r="I237" i="95"/>
  <c r="G237" i="95"/>
  <c r="E237" i="95"/>
  <c r="C237" i="95"/>
  <c r="Q236" i="95"/>
  <c r="O236" i="95"/>
  <c r="M236" i="95"/>
  <c r="K236" i="95"/>
  <c r="I236" i="95"/>
  <c r="G236" i="95"/>
  <c r="E236" i="95"/>
  <c r="C236" i="95"/>
  <c r="Q235" i="95"/>
  <c r="O235" i="95"/>
  <c r="M235" i="95"/>
  <c r="K235" i="95"/>
  <c r="I235" i="95"/>
  <c r="G235" i="95"/>
  <c r="E235" i="95"/>
  <c r="C235" i="95"/>
  <c r="Q234" i="95"/>
  <c r="O234" i="95"/>
  <c r="M234" i="95"/>
  <c r="K234" i="95"/>
  <c r="I234" i="95"/>
  <c r="G234" i="95"/>
  <c r="E234" i="95"/>
  <c r="C234" i="95"/>
  <c r="Q233" i="95"/>
  <c r="O233" i="95"/>
  <c r="M233" i="95"/>
  <c r="K233" i="95"/>
  <c r="I233" i="95"/>
  <c r="G233" i="95"/>
  <c r="E233" i="95"/>
  <c r="C233" i="95"/>
  <c r="Q232" i="95"/>
  <c r="O232" i="95"/>
  <c r="M232" i="95"/>
  <c r="K232" i="95"/>
  <c r="I232" i="95"/>
  <c r="G232" i="95"/>
  <c r="E232" i="95"/>
  <c r="C232" i="95"/>
  <c r="Q231" i="95"/>
  <c r="O231" i="95"/>
  <c r="M231" i="95"/>
  <c r="K231" i="95"/>
  <c r="I231" i="95"/>
  <c r="G231" i="95"/>
  <c r="E231" i="95"/>
  <c r="C231" i="95"/>
  <c r="Q230" i="95"/>
  <c r="O230" i="95"/>
  <c r="M230" i="95"/>
  <c r="K230" i="95"/>
  <c r="I230" i="95"/>
  <c r="G230" i="95"/>
  <c r="E230" i="95"/>
  <c r="C230" i="95"/>
  <c r="Q229" i="95"/>
  <c r="O229" i="95"/>
  <c r="M229" i="95"/>
  <c r="K229" i="95"/>
  <c r="I229" i="95"/>
  <c r="G229" i="95"/>
  <c r="E229" i="95"/>
  <c r="C229" i="95"/>
  <c r="Q228" i="95"/>
  <c r="O228" i="95"/>
  <c r="M228" i="95"/>
  <c r="K228" i="95"/>
  <c r="I228" i="95"/>
  <c r="G228" i="95"/>
  <c r="E228" i="95"/>
  <c r="C228" i="95"/>
  <c r="Q227" i="95"/>
  <c r="O227" i="95"/>
  <c r="M227" i="95"/>
  <c r="K227" i="95"/>
  <c r="I227" i="95"/>
  <c r="G227" i="95"/>
  <c r="E227" i="95"/>
  <c r="C227" i="95"/>
  <c r="Q226" i="95"/>
  <c r="O226" i="95"/>
  <c r="M226" i="95"/>
  <c r="K226" i="95"/>
  <c r="I226" i="95"/>
  <c r="G226" i="95"/>
  <c r="E226" i="95"/>
  <c r="C226" i="95"/>
  <c r="Q225" i="95"/>
  <c r="O225" i="95"/>
  <c r="M225" i="95"/>
  <c r="K225" i="95"/>
  <c r="I225" i="95"/>
  <c r="G225" i="95"/>
  <c r="E225" i="95"/>
  <c r="C225" i="95"/>
  <c r="Q224" i="95"/>
  <c r="O224" i="95"/>
  <c r="M224" i="95"/>
  <c r="K224" i="95"/>
  <c r="I224" i="95"/>
  <c r="G224" i="95"/>
  <c r="E224" i="95"/>
  <c r="C224" i="95"/>
  <c r="Q223" i="95"/>
  <c r="O223" i="95"/>
  <c r="M223" i="95"/>
  <c r="K223" i="95"/>
  <c r="I223" i="95"/>
  <c r="G223" i="95"/>
  <c r="E223" i="95"/>
  <c r="C223" i="95"/>
  <c r="Q222" i="95"/>
  <c r="O222" i="95"/>
  <c r="M222" i="95"/>
  <c r="K222" i="95"/>
  <c r="I222" i="95"/>
  <c r="G222" i="95"/>
  <c r="E222" i="95"/>
  <c r="C222" i="95"/>
  <c r="Q221" i="95"/>
  <c r="O221" i="95"/>
  <c r="M221" i="95"/>
  <c r="K221" i="95"/>
  <c r="I221" i="95"/>
  <c r="G221" i="95"/>
  <c r="E221" i="95"/>
  <c r="C221" i="95"/>
  <c r="Q220" i="95"/>
  <c r="O220" i="95"/>
  <c r="M220" i="95"/>
  <c r="K220" i="95"/>
  <c r="I220" i="95"/>
  <c r="G220" i="95"/>
  <c r="E220" i="95"/>
  <c r="C220" i="95"/>
  <c r="Q219" i="95"/>
  <c r="O219" i="95"/>
  <c r="M219" i="95"/>
  <c r="K219" i="95"/>
  <c r="I219" i="95"/>
  <c r="G219" i="95"/>
  <c r="E219" i="95"/>
  <c r="C219" i="95"/>
  <c r="Q218" i="95"/>
  <c r="O218" i="95"/>
  <c r="M218" i="95"/>
  <c r="K218" i="95"/>
  <c r="I218" i="95"/>
  <c r="G218" i="95"/>
  <c r="E218" i="95"/>
  <c r="C218" i="95"/>
  <c r="Q217" i="95"/>
  <c r="O217" i="95"/>
  <c r="M217" i="95"/>
  <c r="K217" i="95"/>
  <c r="I217" i="95"/>
  <c r="G217" i="95"/>
  <c r="E217" i="95"/>
  <c r="C217" i="95"/>
  <c r="Q216" i="95"/>
  <c r="O216" i="95"/>
  <c r="M216" i="95"/>
  <c r="K216" i="95"/>
  <c r="I216" i="95"/>
  <c r="G216" i="95"/>
  <c r="E216" i="95"/>
  <c r="C216" i="95"/>
  <c r="Q215" i="95"/>
  <c r="O215" i="95"/>
  <c r="M215" i="95"/>
  <c r="K215" i="95"/>
  <c r="I215" i="95"/>
  <c r="G215" i="95"/>
  <c r="E215" i="95"/>
  <c r="C215" i="95"/>
  <c r="Q214" i="95"/>
  <c r="O214" i="95"/>
  <c r="M214" i="95"/>
  <c r="K214" i="95"/>
  <c r="I214" i="95"/>
  <c r="G214" i="95"/>
  <c r="E214" i="95"/>
  <c r="C214" i="95"/>
  <c r="Q213" i="95"/>
  <c r="O213" i="95"/>
  <c r="M213" i="95"/>
  <c r="K213" i="95"/>
  <c r="I213" i="95"/>
  <c r="G213" i="95"/>
  <c r="E213" i="95"/>
  <c r="C213" i="95"/>
  <c r="Q212" i="95"/>
  <c r="O212" i="95"/>
  <c r="M212" i="95"/>
  <c r="K212" i="95"/>
  <c r="I212" i="95"/>
  <c r="G212" i="95"/>
  <c r="E212" i="95"/>
  <c r="C212" i="95"/>
  <c r="Q211" i="95"/>
  <c r="O211" i="95"/>
  <c r="M211" i="95"/>
  <c r="K211" i="95"/>
  <c r="I211" i="95"/>
  <c r="G211" i="95"/>
  <c r="E211" i="95"/>
  <c r="C211" i="95"/>
  <c r="Q210" i="95"/>
  <c r="O210" i="95"/>
  <c r="M210" i="95"/>
  <c r="K210" i="95"/>
  <c r="I210" i="95"/>
  <c r="G210" i="95"/>
  <c r="E210" i="95"/>
  <c r="C210" i="95"/>
  <c r="Q209" i="95"/>
  <c r="O209" i="95"/>
  <c r="M209" i="95"/>
  <c r="K209" i="95"/>
  <c r="I209" i="95"/>
  <c r="G209" i="95"/>
  <c r="E209" i="95"/>
  <c r="C209" i="95"/>
  <c r="Q208" i="95"/>
  <c r="O208" i="95"/>
  <c r="M208" i="95"/>
  <c r="K208" i="95"/>
  <c r="I208" i="95"/>
  <c r="G208" i="95"/>
  <c r="E208" i="95"/>
  <c r="C208" i="95"/>
  <c r="Q207" i="95"/>
  <c r="O207" i="95"/>
  <c r="M207" i="95"/>
  <c r="K207" i="95"/>
  <c r="I207" i="95"/>
  <c r="G207" i="95"/>
  <c r="E207" i="95"/>
  <c r="C207" i="95"/>
  <c r="Q206" i="95"/>
  <c r="O206" i="95"/>
  <c r="M206" i="95"/>
  <c r="K206" i="95"/>
  <c r="I206" i="95"/>
  <c r="G206" i="95"/>
  <c r="E206" i="95"/>
  <c r="C206" i="95"/>
  <c r="Q205" i="95"/>
  <c r="O205" i="95"/>
  <c r="M205" i="95"/>
  <c r="K205" i="95"/>
  <c r="I205" i="95"/>
  <c r="G205" i="95"/>
  <c r="E205" i="95"/>
  <c r="C205" i="95"/>
  <c r="Q204" i="95"/>
  <c r="O204" i="95"/>
  <c r="M204" i="95"/>
  <c r="K204" i="95"/>
  <c r="I204" i="95"/>
  <c r="G204" i="95"/>
  <c r="E204" i="95"/>
  <c r="C204" i="95"/>
  <c r="Q203" i="95"/>
  <c r="O203" i="95"/>
  <c r="M203" i="95"/>
  <c r="K203" i="95"/>
  <c r="I203" i="95"/>
  <c r="G203" i="95"/>
  <c r="E203" i="95"/>
  <c r="C203" i="95"/>
  <c r="Q202" i="95"/>
  <c r="O202" i="95"/>
  <c r="M202" i="95"/>
  <c r="K202" i="95"/>
  <c r="I202" i="95"/>
  <c r="G202" i="95"/>
  <c r="E202" i="95"/>
  <c r="C202" i="95"/>
  <c r="Q201" i="95"/>
  <c r="O201" i="95"/>
  <c r="M201" i="95"/>
  <c r="K201" i="95"/>
  <c r="I201" i="95"/>
  <c r="G201" i="95"/>
  <c r="E201" i="95"/>
  <c r="C201" i="95"/>
  <c r="Q200" i="95"/>
  <c r="O200" i="95"/>
  <c r="M200" i="95"/>
  <c r="K200" i="95"/>
  <c r="I200" i="95"/>
  <c r="G200" i="95"/>
  <c r="E200" i="95"/>
  <c r="C200" i="95"/>
  <c r="Q199" i="95"/>
  <c r="O199" i="95"/>
  <c r="M199" i="95"/>
  <c r="K199" i="95"/>
  <c r="I199" i="95"/>
  <c r="G199" i="95"/>
  <c r="E199" i="95"/>
  <c r="C199" i="95"/>
  <c r="Q198" i="95"/>
  <c r="O198" i="95"/>
  <c r="M198" i="95"/>
  <c r="K198" i="95"/>
  <c r="I198" i="95"/>
  <c r="G198" i="95"/>
  <c r="E198" i="95"/>
  <c r="C198" i="95"/>
  <c r="Q197" i="95"/>
  <c r="O197" i="95"/>
  <c r="M197" i="95"/>
  <c r="K197" i="95"/>
  <c r="I197" i="95"/>
  <c r="G197" i="95"/>
  <c r="E197" i="95"/>
  <c r="C197" i="95"/>
  <c r="Q196" i="95"/>
  <c r="O196" i="95"/>
  <c r="M196" i="95"/>
  <c r="K196" i="95"/>
  <c r="I196" i="95"/>
  <c r="G196" i="95"/>
  <c r="E196" i="95"/>
  <c r="C196" i="95"/>
  <c r="Q195" i="95"/>
  <c r="O195" i="95"/>
  <c r="M195" i="95"/>
  <c r="K195" i="95"/>
  <c r="I195" i="95"/>
  <c r="G195" i="95"/>
  <c r="E195" i="95"/>
  <c r="C195" i="95"/>
  <c r="Q194" i="95"/>
  <c r="O194" i="95"/>
  <c r="M194" i="95"/>
  <c r="K194" i="95"/>
  <c r="I194" i="95"/>
  <c r="G194" i="95"/>
  <c r="E194" i="95"/>
  <c r="C194" i="95"/>
  <c r="Q193" i="95"/>
  <c r="O193" i="95"/>
  <c r="M193" i="95"/>
  <c r="K193" i="95"/>
  <c r="I193" i="95"/>
  <c r="G193" i="95"/>
  <c r="E193" i="95"/>
  <c r="C193" i="95"/>
  <c r="Q192" i="95"/>
  <c r="O192" i="95"/>
  <c r="M192" i="95"/>
  <c r="K192" i="95"/>
  <c r="I192" i="95"/>
  <c r="G192" i="95"/>
  <c r="E192" i="95"/>
  <c r="C192" i="95"/>
  <c r="Q191" i="95"/>
  <c r="O191" i="95"/>
  <c r="M191" i="95"/>
  <c r="K191" i="95"/>
  <c r="I191" i="95"/>
  <c r="G191" i="95"/>
  <c r="E191" i="95"/>
  <c r="C191" i="95"/>
  <c r="Q190" i="95"/>
  <c r="O190" i="95"/>
  <c r="M190" i="95"/>
  <c r="K190" i="95"/>
  <c r="I190" i="95"/>
  <c r="G190" i="95"/>
  <c r="E190" i="95"/>
  <c r="C190" i="95"/>
  <c r="Q189" i="95"/>
  <c r="O189" i="95"/>
  <c r="M189" i="95"/>
  <c r="K189" i="95"/>
  <c r="I189" i="95"/>
  <c r="G189" i="95"/>
  <c r="E189" i="95"/>
  <c r="C189" i="95"/>
  <c r="Q188" i="95"/>
  <c r="O188" i="95"/>
  <c r="M188" i="95"/>
  <c r="K188" i="95"/>
  <c r="I188" i="95"/>
  <c r="G188" i="95"/>
  <c r="E188" i="95"/>
  <c r="C188" i="95"/>
  <c r="Q187" i="95"/>
  <c r="O187" i="95"/>
  <c r="M187" i="95"/>
  <c r="K187" i="95"/>
  <c r="I187" i="95"/>
  <c r="G187" i="95"/>
  <c r="E187" i="95"/>
  <c r="C187" i="95"/>
  <c r="Q186" i="95"/>
  <c r="O186" i="95"/>
  <c r="M186" i="95"/>
  <c r="K186" i="95"/>
  <c r="I186" i="95"/>
  <c r="G186" i="95"/>
  <c r="E186" i="95"/>
  <c r="C186" i="95"/>
  <c r="Q185" i="95"/>
  <c r="O185" i="95"/>
  <c r="M185" i="95"/>
  <c r="K185" i="95"/>
  <c r="I185" i="95"/>
  <c r="G185" i="95"/>
  <c r="E185" i="95"/>
  <c r="C185" i="95"/>
  <c r="Q184" i="95"/>
  <c r="O184" i="95"/>
  <c r="M184" i="95"/>
  <c r="K184" i="95"/>
  <c r="I184" i="95"/>
  <c r="G184" i="95"/>
  <c r="E184" i="95"/>
  <c r="C184" i="95"/>
  <c r="Q183" i="95"/>
  <c r="O183" i="95"/>
  <c r="M183" i="95"/>
  <c r="K183" i="95"/>
  <c r="I183" i="95"/>
  <c r="G183" i="95"/>
  <c r="E183" i="95"/>
  <c r="C183" i="95"/>
  <c r="Q182" i="95"/>
  <c r="O182" i="95"/>
  <c r="M182" i="95"/>
  <c r="K182" i="95"/>
  <c r="I182" i="95"/>
  <c r="G182" i="95"/>
  <c r="E182" i="95"/>
  <c r="C182" i="95"/>
  <c r="Q181" i="95"/>
  <c r="O181" i="95"/>
  <c r="M181" i="95"/>
  <c r="K181" i="95"/>
  <c r="I181" i="95"/>
  <c r="G181" i="95"/>
  <c r="E181" i="95"/>
  <c r="C181" i="95"/>
  <c r="Q180" i="95"/>
  <c r="O180" i="95"/>
  <c r="M180" i="95"/>
  <c r="K180" i="95"/>
  <c r="I180" i="95"/>
  <c r="G180" i="95"/>
  <c r="E180" i="95"/>
  <c r="C180" i="95"/>
  <c r="Q179" i="95"/>
  <c r="O179" i="95"/>
  <c r="M179" i="95"/>
  <c r="K179" i="95"/>
  <c r="I179" i="95"/>
  <c r="G179" i="95"/>
  <c r="E179" i="95"/>
  <c r="C179" i="95"/>
  <c r="Q178" i="95"/>
  <c r="O178" i="95"/>
  <c r="M178" i="95"/>
  <c r="K178" i="95"/>
  <c r="I178" i="95"/>
  <c r="G178" i="95"/>
  <c r="E178" i="95"/>
  <c r="C178" i="95"/>
  <c r="Q177" i="95"/>
  <c r="O177" i="95"/>
  <c r="M177" i="95"/>
  <c r="K177" i="95"/>
  <c r="I177" i="95"/>
  <c r="G177" i="95"/>
  <c r="E177" i="95"/>
  <c r="C177" i="95"/>
  <c r="Q176" i="95"/>
  <c r="O176" i="95"/>
  <c r="M176" i="95"/>
  <c r="K176" i="95"/>
  <c r="I176" i="95"/>
  <c r="G176" i="95"/>
  <c r="E176" i="95"/>
  <c r="C176" i="95"/>
  <c r="Q175" i="95"/>
  <c r="O175" i="95"/>
  <c r="M175" i="95"/>
  <c r="K175" i="95"/>
  <c r="I175" i="95"/>
  <c r="G175" i="95"/>
  <c r="E175" i="95"/>
  <c r="C175" i="95"/>
  <c r="Q174" i="95"/>
  <c r="O174" i="95"/>
  <c r="M174" i="95"/>
  <c r="K174" i="95"/>
  <c r="I174" i="95"/>
  <c r="G174" i="95"/>
  <c r="E174" i="95"/>
  <c r="C174" i="95"/>
  <c r="Q173" i="95"/>
  <c r="O173" i="95"/>
  <c r="M173" i="95"/>
  <c r="K173" i="95"/>
  <c r="I173" i="95"/>
  <c r="G173" i="95"/>
  <c r="E173" i="95"/>
  <c r="C173" i="95"/>
  <c r="Q172" i="95"/>
  <c r="O172" i="95"/>
  <c r="M172" i="95"/>
  <c r="K172" i="95"/>
  <c r="I172" i="95"/>
  <c r="G172" i="95"/>
  <c r="E172" i="95"/>
  <c r="C172" i="95"/>
  <c r="Q171" i="95"/>
  <c r="O171" i="95"/>
  <c r="M171" i="95"/>
  <c r="K171" i="95"/>
  <c r="I171" i="95"/>
  <c r="G171" i="95"/>
  <c r="E171" i="95"/>
  <c r="C171" i="95"/>
  <c r="Q170" i="95"/>
  <c r="O170" i="95"/>
  <c r="M170" i="95"/>
  <c r="K170" i="95"/>
  <c r="I170" i="95"/>
  <c r="G170" i="95"/>
  <c r="E170" i="95"/>
  <c r="C170" i="95"/>
  <c r="Q169" i="95"/>
  <c r="O169" i="95"/>
  <c r="M169" i="95"/>
  <c r="K169" i="95"/>
  <c r="I169" i="95"/>
  <c r="G169" i="95"/>
  <c r="E169" i="95"/>
  <c r="C169" i="95"/>
  <c r="Q168" i="95"/>
  <c r="O168" i="95"/>
  <c r="M168" i="95"/>
  <c r="K168" i="95"/>
  <c r="I168" i="95"/>
  <c r="G168" i="95"/>
  <c r="E168" i="95"/>
  <c r="C168" i="95"/>
  <c r="Q167" i="95"/>
  <c r="O167" i="95"/>
  <c r="M167" i="95"/>
  <c r="K167" i="95"/>
  <c r="I167" i="95"/>
  <c r="G167" i="95"/>
  <c r="E167" i="95"/>
  <c r="C167" i="95"/>
  <c r="Q166" i="95"/>
  <c r="O166" i="95"/>
  <c r="M166" i="95"/>
  <c r="K166" i="95"/>
  <c r="I166" i="95"/>
  <c r="G166" i="95"/>
  <c r="E166" i="95"/>
  <c r="C166" i="95"/>
  <c r="Q165" i="95"/>
  <c r="O165" i="95"/>
  <c r="M165" i="95"/>
  <c r="K165" i="95"/>
  <c r="I165" i="95"/>
  <c r="G165" i="95"/>
  <c r="E165" i="95"/>
  <c r="C165" i="95"/>
  <c r="Q164" i="95"/>
  <c r="O164" i="95"/>
  <c r="M164" i="95"/>
  <c r="K164" i="95"/>
  <c r="I164" i="95"/>
  <c r="G164" i="95"/>
  <c r="E164" i="95"/>
  <c r="C164" i="95"/>
  <c r="Q163" i="95"/>
  <c r="O163" i="95"/>
  <c r="M163" i="95"/>
  <c r="K163" i="95"/>
  <c r="I163" i="95"/>
  <c r="G163" i="95"/>
  <c r="E163" i="95"/>
  <c r="C163" i="95"/>
  <c r="Q162" i="95"/>
  <c r="O162" i="95"/>
  <c r="M162" i="95"/>
  <c r="K162" i="95"/>
  <c r="I162" i="95"/>
  <c r="G162" i="95"/>
  <c r="E162" i="95"/>
  <c r="C162" i="95"/>
  <c r="Q161" i="95"/>
  <c r="O161" i="95"/>
  <c r="M161" i="95"/>
  <c r="K161" i="95"/>
  <c r="I161" i="95"/>
  <c r="G161" i="95"/>
  <c r="E161" i="95"/>
  <c r="C161" i="95"/>
  <c r="Q160" i="95"/>
  <c r="O160" i="95"/>
  <c r="M160" i="95"/>
  <c r="K160" i="95"/>
  <c r="I160" i="95"/>
  <c r="G160" i="95"/>
  <c r="E160" i="95"/>
  <c r="C160" i="95"/>
  <c r="Q159" i="95"/>
  <c r="O159" i="95"/>
  <c r="M159" i="95"/>
  <c r="K159" i="95"/>
  <c r="I159" i="95"/>
  <c r="G159" i="95"/>
  <c r="E159" i="95"/>
  <c r="C159" i="95"/>
  <c r="Q158" i="95"/>
  <c r="O158" i="95"/>
  <c r="M158" i="95"/>
  <c r="K158" i="95"/>
  <c r="I158" i="95"/>
  <c r="G158" i="95"/>
  <c r="E158" i="95"/>
  <c r="C158" i="95"/>
  <c r="Q157" i="95"/>
  <c r="O157" i="95"/>
  <c r="M157" i="95"/>
  <c r="K157" i="95"/>
  <c r="I157" i="95"/>
  <c r="G157" i="95"/>
  <c r="E157" i="95"/>
  <c r="C157" i="95"/>
  <c r="Q156" i="95"/>
  <c r="O156" i="95"/>
  <c r="M156" i="95"/>
  <c r="K156" i="95"/>
  <c r="I156" i="95"/>
  <c r="G156" i="95"/>
  <c r="E156" i="95"/>
  <c r="C156" i="95"/>
  <c r="Q155" i="95"/>
  <c r="O155" i="95"/>
  <c r="M155" i="95"/>
  <c r="K155" i="95"/>
  <c r="I155" i="95"/>
  <c r="G155" i="95"/>
  <c r="E155" i="95"/>
  <c r="C155" i="95"/>
  <c r="Q154" i="95"/>
  <c r="O154" i="95"/>
  <c r="M154" i="95"/>
  <c r="K154" i="95"/>
  <c r="I154" i="95"/>
  <c r="G154" i="95"/>
  <c r="E154" i="95"/>
  <c r="C154" i="95"/>
  <c r="Q153" i="95"/>
  <c r="O153" i="95"/>
  <c r="M153" i="95"/>
  <c r="K153" i="95"/>
  <c r="I153" i="95"/>
  <c r="G153" i="95"/>
  <c r="E153" i="95"/>
  <c r="C153" i="95"/>
  <c r="Q152" i="95"/>
  <c r="O152" i="95"/>
  <c r="M152" i="95"/>
  <c r="K152" i="95"/>
  <c r="I152" i="95"/>
  <c r="G152" i="95"/>
  <c r="E152" i="95"/>
  <c r="C152" i="95"/>
  <c r="Q151" i="95"/>
  <c r="O151" i="95"/>
  <c r="M151" i="95"/>
  <c r="K151" i="95"/>
  <c r="I151" i="95"/>
  <c r="G151" i="95"/>
  <c r="E151" i="95"/>
  <c r="C151" i="95"/>
  <c r="Q150" i="95"/>
  <c r="O150" i="95"/>
  <c r="M150" i="95"/>
  <c r="K150" i="95"/>
  <c r="I150" i="95"/>
  <c r="G150" i="95"/>
  <c r="E150" i="95"/>
  <c r="C150" i="95"/>
  <c r="Q149" i="95"/>
  <c r="O149" i="95"/>
  <c r="M149" i="95"/>
  <c r="K149" i="95"/>
  <c r="I149" i="95"/>
  <c r="G149" i="95"/>
  <c r="E149" i="95"/>
  <c r="C149" i="95"/>
  <c r="Q148" i="95"/>
  <c r="O148" i="95"/>
  <c r="M148" i="95"/>
  <c r="K148" i="95"/>
  <c r="I148" i="95"/>
  <c r="G148" i="95"/>
  <c r="E148" i="95"/>
  <c r="C148" i="95"/>
  <c r="Q147" i="95"/>
  <c r="O147" i="95"/>
  <c r="M147" i="95"/>
  <c r="K147" i="95"/>
  <c r="I147" i="95"/>
  <c r="G147" i="95"/>
  <c r="E147" i="95"/>
  <c r="C147" i="95"/>
  <c r="Q146" i="95"/>
  <c r="O146" i="95"/>
  <c r="M146" i="95"/>
  <c r="K146" i="95"/>
  <c r="I146" i="95"/>
  <c r="G146" i="95"/>
  <c r="E146" i="95"/>
  <c r="C146" i="95"/>
  <c r="Q145" i="95"/>
  <c r="O145" i="95"/>
  <c r="M145" i="95"/>
  <c r="K145" i="95"/>
  <c r="I145" i="95"/>
  <c r="G145" i="95"/>
  <c r="E145" i="95"/>
  <c r="C145" i="95"/>
  <c r="Q144" i="95"/>
  <c r="O144" i="95"/>
  <c r="M144" i="95"/>
  <c r="K144" i="95"/>
  <c r="I144" i="95"/>
  <c r="G144" i="95"/>
  <c r="E144" i="95"/>
  <c r="C144" i="95"/>
  <c r="Q143" i="95"/>
  <c r="O143" i="95"/>
  <c r="M143" i="95"/>
  <c r="K143" i="95"/>
  <c r="I143" i="95"/>
  <c r="G143" i="95"/>
  <c r="E143" i="95"/>
  <c r="C143" i="95"/>
  <c r="Q142" i="95"/>
  <c r="O142" i="95"/>
  <c r="M142" i="95"/>
  <c r="K142" i="95"/>
  <c r="I142" i="95"/>
  <c r="G142" i="95"/>
  <c r="E142" i="95"/>
  <c r="C142" i="95"/>
  <c r="Q141" i="95"/>
  <c r="O141" i="95"/>
  <c r="M141" i="95"/>
  <c r="K141" i="95"/>
  <c r="I141" i="95"/>
  <c r="G141" i="95"/>
  <c r="E141" i="95"/>
  <c r="C141" i="95"/>
  <c r="Q140" i="95"/>
  <c r="O140" i="95"/>
  <c r="M140" i="95"/>
  <c r="K140" i="95"/>
  <c r="I140" i="95"/>
  <c r="G140" i="95"/>
  <c r="E140" i="95"/>
  <c r="C140" i="95"/>
  <c r="Q139" i="95"/>
  <c r="O139" i="95"/>
  <c r="M139" i="95"/>
  <c r="K139" i="95"/>
  <c r="I139" i="95"/>
  <c r="G139" i="95"/>
  <c r="E139" i="95"/>
  <c r="C139" i="95"/>
  <c r="Q138" i="95"/>
  <c r="O138" i="95"/>
  <c r="M138" i="95"/>
  <c r="K138" i="95"/>
  <c r="I138" i="95"/>
  <c r="G138" i="95"/>
  <c r="E138" i="95"/>
  <c r="C138" i="95"/>
  <c r="Q137" i="95"/>
  <c r="O137" i="95"/>
  <c r="M137" i="95"/>
  <c r="K137" i="95"/>
  <c r="I137" i="95"/>
  <c r="G137" i="95"/>
  <c r="E137" i="95"/>
  <c r="C137" i="95"/>
  <c r="Q136" i="95"/>
  <c r="O136" i="95"/>
  <c r="M136" i="95"/>
  <c r="K136" i="95"/>
  <c r="I136" i="95"/>
  <c r="G136" i="95"/>
  <c r="E136" i="95"/>
  <c r="C136" i="95"/>
  <c r="Q135" i="95"/>
  <c r="O135" i="95"/>
  <c r="M135" i="95"/>
  <c r="K135" i="95"/>
  <c r="I135" i="95"/>
  <c r="G135" i="95"/>
  <c r="E135" i="95"/>
  <c r="C135" i="95"/>
  <c r="Q134" i="95"/>
  <c r="O134" i="95"/>
  <c r="M134" i="95"/>
  <c r="K134" i="95"/>
  <c r="I134" i="95"/>
  <c r="G134" i="95"/>
  <c r="E134" i="95"/>
  <c r="C134" i="95"/>
  <c r="Q133" i="95"/>
  <c r="O133" i="95"/>
  <c r="M133" i="95"/>
  <c r="K133" i="95"/>
  <c r="I133" i="95"/>
  <c r="G133" i="95"/>
  <c r="E133" i="95"/>
  <c r="C133" i="95"/>
  <c r="Q132" i="95"/>
  <c r="O132" i="95"/>
  <c r="M132" i="95"/>
  <c r="K132" i="95"/>
  <c r="I132" i="95"/>
  <c r="G132" i="95"/>
  <c r="E132" i="95"/>
  <c r="C132" i="95"/>
  <c r="Q131" i="95"/>
  <c r="O131" i="95"/>
  <c r="M131" i="95"/>
  <c r="K131" i="95"/>
  <c r="I131" i="95"/>
  <c r="G131" i="95"/>
  <c r="E131" i="95"/>
  <c r="C131" i="95"/>
  <c r="Q130" i="95"/>
  <c r="O130" i="95"/>
  <c r="M130" i="95"/>
  <c r="K130" i="95"/>
  <c r="I130" i="95"/>
  <c r="G130" i="95"/>
  <c r="E130" i="95"/>
  <c r="C130" i="95"/>
  <c r="Q129" i="95"/>
  <c r="O129" i="95"/>
  <c r="M129" i="95"/>
  <c r="K129" i="95"/>
  <c r="I129" i="95"/>
  <c r="G129" i="95"/>
  <c r="E129" i="95"/>
  <c r="C129" i="95"/>
  <c r="Q128" i="95"/>
  <c r="O128" i="95"/>
  <c r="M128" i="95"/>
  <c r="K128" i="95"/>
  <c r="I128" i="95"/>
  <c r="G128" i="95"/>
  <c r="E128" i="95"/>
  <c r="C128" i="95"/>
  <c r="Q127" i="95"/>
  <c r="O127" i="95"/>
  <c r="M127" i="95"/>
  <c r="K127" i="95"/>
  <c r="I127" i="95"/>
  <c r="G127" i="95"/>
  <c r="E127" i="95"/>
  <c r="C127" i="95"/>
  <c r="Q126" i="95"/>
  <c r="O126" i="95"/>
  <c r="M126" i="95"/>
  <c r="K126" i="95"/>
  <c r="I126" i="95"/>
  <c r="G126" i="95"/>
  <c r="E126" i="95"/>
  <c r="C126" i="95"/>
  <c r="Q125" i="95"/>
  <c r="O125" i="95"/>
  <c r="M125" i="95"/>
  <c r="K125" i="95"/>
  <c r="I125" i="95"/>
  <c r="G125" i="95"/>
  <c r="E125" i="95"/>
  <c r="C125" i="95"/>
  <c r="Q124" i="95"/>
  <c r="O124" i="95"/>
  <c r="M124" i="95"/>
  <c r="K124" i="95"/>
  <c r="I124" i="95"/>
  <c r="G124" i="95"/>
  <c r="E124" i="95"/>
  <c r="C124" i="95"/>
  <c r="Q123" i="95"/>
  <c r="O123" i="95"/>
  <c r="M123" i="95"/>
  <c r="K123" i="95"/>
  <c r="I123" i="95"/>
  <c r="G123" i="95"/>
  <c r="E123" i="95"/>
  <c r="C123" i="95"/>
  <c r="Q122" i="95"/>
  <c r="O122" i="95"/>
  <c r="M122" i="95"/>
  <c r="K122" i="95"/>
  <c r="I122" i="95"/>
  <c r="G122" i="95"/>
  <c r="E122" i="95"/>
  <c r="C122" i="95"/>
  <c r="Q121" i="95"/>
  <c r="O121" i="95"/>
  <c r="M121" i="95"/>
  <c r="K121" i="95"/>
  <c r="I121" i="95"/>
  <c r="G121" i="95"/>
  <c r="E121" i="95"/>
  <c r="C121" i="95"/>
  <c r="Q120" i="95"/>
  <c r="O120" i="95"/>
  <c r="M120" i="95"/>
  <c r="K120" i="95"/>
  <c r="I120" i="95"/>
  <c r="G120" i="95"/>
  <c r="E120" i="95"/>
  <c r="C120" i="95"/>
  <c r="Q119" i="95"/>
  <c r="O119" i="95"/>
  <c r="M119" i="95"/>
  <c r="K119" i="95"/>
  <c r="I119" i="95"/>
  <c r="G119" i="95"/>
  <c r="E119" i="95"/>
  <c r="C119" i="95"/>
  <c r="Q118" i="95"/>
  <c r="O118" i="95"/>
  <c r="M118" i="95"/>
  <c r="K118" i="95"/>
  <c r="I118" i="95"/>
  <c r="G118" i="95"/>
  <c r="E118" i="95"/>
  <c r="C118" i="95"/>
  <c r="Q117" i="95"/>
  <c r="O117" i="95"/>
  <c r="M117" i="95"/>
  <c r="K117" i="95"/>
  <c r="I117" i="95"/>
  <c r="G117" i="95"/>
  <c r="E117" i="95"/>
  <c r="C117" i="95"/>
  <c r="Q116" i="95"/>
  <c r="O116" i="95"/>
  <c r="M116" i="95"/>
  <c r="K116" i="95"/>
  <c r="I116" i="95"/>
  <c r="G116" i="95"/>
  <c r="E116" i="95"/>
  <c r="C116" i="95"/>
  <c r="Q115" i="95"/>
  <c r="O115" i="95"/>
  <c r="M115" i="95"/>
  <c r="K115" i="95"/>
  <c r="I115" i="95"/>
  <c r="G115" i="95"/>
  <c r="E115" i="95"/>
  <c r="C115" i="95"/>
  <c r="Q114" i="95"/>
  <c r="O114" i="95"/>
  <c r="M114" i="95"/>
  <c r="K114" i="95"/>
  <c r="I114" i="95"/>
  <c r="G114" i="95"/>
  <c r="E114" i="95"/>
  <c r="C114" i="95"/>
  <c r="Q113" i="95"/>
  <c r="O113" i="95"/>
  <c r="M113" i="95"/>
  <c r="K113" i="95"/>
  <c r="I113" i="95"/>
  <c r="G113" i="95"/>
  <c r="E113" i="95"/>
  <c r="C113" i="95"/>
  <c r="Q112" i="95"/>
  <c r="O112" i="95"/>
  <c r="M112" i="95"/>
  <c r="K112" i="95"/>
  <c r="I112" i="95"/>
  <c r="G112" i="95"/>
  <c r="E112" i="95"/>
  <c r="C112" i="95"/>
  <c r="Q111" i="95"/>
  <c r="O111" i="95"/>
  <c r="M111" i="95"/>
  <c r="K111" i="95"/>
  <c r="I111" i="95"/>
  <c r="G111" i="95"/>
  <c r="E111" i="95"/>
  <c r="C111" i="95"/>
  <c r="Q110" i="95"/>
  <c r="O110" i="95"/>
  <c r="M110" i="95"/>
  <c r="K110" i="95"/>
  <c r="I110" i="95"/>
  <c r="G110" i="95"/>
  <c r="E110" i="95"/>
  <c r="C110" i="95"/>
  <c r="Q109" i="95"/>
  <c r="O109" i="95"/>
  <c r="M109" i="95"/>
  <c r="K109" i="95"/>
  <c r="I109" i="95"/>
  <c r="G109" i="95"/>
  <c r="E109" i="95"/>
  <c r="C109" i="95"/>
  <c r="Q108" i="95"/>
  <c r="O108" i="95"/>
  <c r="M108" i="95"/>
  <c r="K108" i="95"/>
  <c r="I108" i="95"/>
  <c r="G108" i="95"/>
  <c r="E108" i="95"/>
  <c r="C108" i="95"/>
  <c r="Q107" i="95"/>
  <c r="O107" i="95"/>
  <c r="M107" i="95"/>
  <c r="K107" i="95"/>
  <c r="I107" i="95"/>
  <c r="G107" i="95"/>
  <c r="E107" i="95"/>
  <c r="C107" i="95"/>
  <c r="Q106" i="95"/>
  <c r="O106" i="95"/>
  <c r="M106" i="95"/>
  <c r="K106" i="95"/>
  <c r="I106" i="95"/>
  <c r="G106" i="95"/>
  <c r="E106" i="95"/>
  <c r="C106" i="95"/>
  <c r="Q105" i="95"/>
  <c r="O105" i="95"/>
  <c r="M105" i="95"/>
  <c r="K105" i="95"/>
  <c r="I105" i="95"/>
  <c r="G105" i="95"/>
  <c r="E105" i="95"/>
  <c r="C105" i="95"/>
  <c r="Q104" i="95"/>
  <c r="O104" i="95"/>
  <c r="M104" i="95"/>
  <c r="K104" i="95"/>
  <c r="I104" i="95"/>
  <c r="G104" i="95"/>
  <c r="E104" i="95"/>
  <c r="C104" i="95"/>
  <c r="Q103" i="95"/>
  <c r="O103" i="95"/>
  <c r="M103" i="95"/>
  <c r="K103" i="95"/>
  <c r="I103" i="95"/>
  <c r="G103" i="95"/>
  <c r="E103" i="95"/>
  <c r="C103" i="95"/>
  <c r="Q102" i="95"/>
  <c r="O102" i="95"/>
  <c r="M102" i="95"/>
  <c r="K102" i="95"/>
  <c r="I102" i="95"/>
  <c r="G102" i="95"/>
  <c r="E102" i="95"/>
  <c r="Q101" i="95"/>
  <c r="O101" i="95"/>
  <c r="M101" i="95"/>
  <c r="K101" i="95"/>
  <c r="I101" i="95"/>
  <c r="G101" i="95"/>
  <c r="Q100" i="95"/>
  <c r="O100" i="95"/>
  <c r="M100" i="95"/>
  <c r="K100" i="95"/>
  <c r="I100" i="95"/>
  <c r="G100" i="95"/>
  <c r="Q99" i="95"/>
  <c r="O99" i="95"/>
  <c r="M99" i="95"/>
  <c r="K99" i="95"/>
  <c r="I99" i="95"/>
  <c r="G99" i="95"/>
  <c r="Q98" i="95"/>
  <c r="O98" i="95"/>
  <c r="M98" i="95"/>
  <c r="K98" i="95"/>
  <c r="I98" i="95"/>
  <c r="G98" i="95"/>
  <c r="Q97" i="95"/>
  <c r="O97" i="95"/>
  <c r="M97" i="95"/>
  <c r="K97" i="95"/>
  <c r="I97" i="95"/>
  <c r="G97" i="95"/>
  <c r="Q96" i="95"/>
  <c r="O96" i="95"/>
  <c r="M96" i="95"/>
  <c r="K96" i="95"/>
  <c r="I96" i="95"/>
  <c r="G96" i="95"/>
  <c r="Q95" i="95"/>
  <c r="O95" i="95"/>
  <c r="M95" i="95"/>
  <c r="K95" i="95"/>
  <c r="I95" i="95"/>
  <c r="G95" i="95"/>
  <c r="Q94" i="95"/>
  <c r="O94" i="95"/>
  <c r="M94" i="95"/>
  <c r="K94" i="95"/>
  <c r="I94" i="95"/>
  <c r="G94" i="95"/>
  <c r="Q93" i="95"/>
  <c r="O93" i="95"/>
  <c r="M93" i="95"/>
  <c r="K93" i="95"/>
  <c r="I93" i="95"/>
  <c r="G93" i="95"/>
  <c r="Q92" i="95"/>
  <c r="O92" i="95"/>
  <c r="M92" i="95"/>
  <c r="K92" i="95"/>
  <c r="I92" i="95"/>
  <c r="G92" i="95"/>
  <c r="Q91" i="95"/>
  <c r="O91" i="95"/>
  <c r="M91" i="95"/>
  <c r="K91" i="95"/>
  <c r="I91" i="95"/>
  <c r="G91" i="95"/>
  <c r="Q90" i="95"/>
  <c r="O90" i="95"/>
  <c r="M90" i="95"/>
  <c r="K90" i="95"/>
  <c r="I90" i="95"/>
  <c r="G90" i="95"/>
  <c r="Q89" i="95"/>
  <c r="O89" i="95"/>
  <c r="M89" i="95"/>
  <c r="K89" i="95"/>
  <c r="I89" i="95"/>
  <c r="G89" i="95"/>
  <c r="Q88" i="95"/>
  <c r="O88" i="95"/>
  <c r="M88" i="95"/>
  <c r="K88" i="95"/>
  <c r="I88" i="95"/>
  <c r="G88" i="95"/>
  <c r="Q87" i="95"/>
  <c r="O87" i="95"/>
  <c r="M87" i="95"/>
  <c r="K87" i="95"/>
  <c r="I87" i="95"/>
  <c r="G87" i="95"/>
  <c r="E87" i="95"/>
  <c r="Q86" i="95"/>
  <c r="O86" i="95"/>
  <c r="M86" i="95"/>
  <c r="K86" i="95"/>
  <c r="I86" i="95"/>
  <c r="G86" i="95"/>
  <c r="Q85" i="95"/>
  <c r="O85" i="95"/>
  <c r="M85" i="95"/>
  <c r="K85" i="95"/>
  <c r="I85" i="95"/>
  <c r="G85" i="95"/>
  <c r="Q84" i="95"/>
  <c r="O84" i="95"/>
  <c r="M84" i="95"/>
  <c r="K84" i="95"/>
  <c r="I84" i="95"/>
  <c r="G84" i="95"/>
  <c r="Q83" i="95"/>
  <c r="O83" i="95"/>
  <c r="M83" i="95"/>
  <c r="K83" i="95"/>
  <c r="I83" i="95"/>
  <c r="G83" i="95"/>
  <c r="Q82" i="95"/>
  <c r="O82" i="95"/>
  <c r="M82" i="95"/>
  <c r="K82" i="95"/>
  <c r="I82" i="95"/>
  <c r="G82" i="95"/>
  <c r="Q81" i="95"/>
  <c r="O81" i="95"/>
  <c r="M81" i="95"/>
  <c r="K81" i="95"/>
  <c r="I81" i="95"/>
  <c r="G81" i="95"/>
  <c r="Q80" i="95"/>
  <c r="O80" i="95"/>
  <c r="M80" i="95"/>
  <c r="K80" i="95"/>
  <c r="I80" i="95"/>
  <c r="G80" i="95"/>
  <c r="Q79" i="95"/>
  <c r="O79" i="95"/>
  <c r="M79" i="95"/>
  <c r="K79" i="95"/>
  <c r="I79" i="95"/>
  <c r="G79" i="95"/>
  <c r="Q78" i="95"/>
  <c r="O78" i="95"/>
  <c r="M78" i="95"/>
  <c r="K78" i="95"/>
  <c r="I78" i="95"/>
  <c r="G78" i="95"/>
  <c r="E78" i="95"/>
  <c r="Q77" i="95"/>
  <c r="O77" i="95"/>
  <c r="M77" i="95"/>
  <c r="K77" i="95"/>
  <c r="I77" i="95"/>
  <c r="G77" i="95"/>
  <c r="Q76" i="95"/>
  <c r="O76" i="95"/>
  <c r="M76" i="95"/>
  <c r="K76" i="95"/>
  <c r="I76" i="95"/>
  <c r="G76" i="95"/>
  <c r="Q75" i="95"/>
  <c r="O75" i="95"/>
  <c r="M75" i="95"/>
  <c r="K75" i="95"/>
  <c r="I75" i="95"/>
  <c r="G75" i="95"/>
  <c r="Q74" i="95"/>
  <c r="O74" i="95"/>
  <c r="M74" i="95"/>
  <c r="K74" i="95"/>
  <c r="I74" i="95"/>
  <c r="G74" i="95"/>
  <c r="Q73" i="95"/>
  <c r="O73" i="95"/>
  <c r="M73" i="95"/>
  <c r="K73" i="95"/>
  <c r="I73" i="95"/>
  <c r="G73" i="95"/>
  <c r="Q72" i="95"/>
  <c r="O72" i="95"/>
  <c r="M72" i="95"/>
  <c r="K72" i="95"/>
  <c r="I72" i="95"/>
  <c r="G72" i="95"/>
  <c r="C72" i="95"/>
  <c r="Q71" i="95"/>
  <c r="O71" i="95"/>
  <c r="M71" i="95"/>
  <c r="K71" i="95"/>
  <c r="I71" i="95"/>
  <c r="G71" i="95"/>
  <c r="Q70" i="95"/>
  <c r="O70" i="95"/>
  <c r="M70" i="95"/>
  <c r="K70" i="95"/>
  <c r="I70" i="95"/>
  <c r="G70" i="95"/>
  <c r="Q69" i="95"/>
  <c r="O69" i="95"/>
  <c r="M69" i="95"/>
  <c r="K69" i="95"/>
  <c r="I69" i="95"/>
  <c r="G69" i="95"/>
  <c r="Q68" i="95"/>
  <c r="O68" i="95"/>
  <c r="M68" i="95"/>
  <c r="K68" i="95"/>
  <c r="I68" i="95"/>
  <c r="G68" i="95"/>
  <c r="Q67" i="95"/>
  <c r="O67" i="95"/>
  <c r="M67" i="95"/>
  <c r="K67" i="95"/>
  <c r="I67" i="95"/>
  <c r="G67" i="95"/>
  <c r="Q66" i="95"/>
  <c r="O66" i="95"/>
  <c r="M66" i="95"/>
  <c r="K66" i="95"/>
  <c r="I66" i="95"/>
  <c r="G66" i="95"/>
  <c r="Q65" i="95"/>
  <c r="O65" i="95"/>
  <c r="M65" i="95"/>
  <c r="K65" i="95"/>
  <c r="I65" i="95"/>
  <c r="G65" i="95"/>
  <c r="Q64" i="95"/>
  <c r="O64" i="95"/>
  <c r="M64" i="95"/>
  <c r="K64" i="95"/>
  <c r="I64" i="95"/>
  <c r="G64" i="95"/>
  <c r="Q63" i="95"/>
  <c r="O63" i="95"/>
  <c r="M63" i="95"/>
  <c r="K63" i="95"/>
  <c r="I63" i="95"/>
  <c r="G63" i="95"/>
  <c r="Q62" i="95"/>
  <c r="O62" i="95"/>
  <c r="M62" i="95"/>
  <c r="K62" i="95"/>
  <c r="I62" i="95"/>
  <c r="G62" i="95"/>
  <c r="Q61" i="95"/>
  <c r="O61" i="95"/>
  <c r="M61" i="95"/>
  <c r="K61" i="95"/>
  <c r="I61" i="95"/>
  <c r="G61" i="95"/>
  <c r="Q60" i="95"/>
  <c r="O60" i="95"/>
  <c r="M60" i="95"/>
  <c r="K60" i="95"/>
  <c r="I60" i="95"/>
  <c r="G60" i="95"/>
  <c r="Q59" i="95"/>
  <c r="O59" i="95"/>
  <c r="M59" i="95"/>
  <c r="K59" i="95"/>
  <c r="I59" i="95"/>
  <c r="G59" i="95"/>
  <c r="Q58" i="95"/>
  <c r="O58" i="95"/>
  <c r="M58" i="95"/>
  <c r="K58" i="95"/>
  <c r="I58" i="95"/>
  <c r="G58" i="95"/>
  <c r="Q57" i="95"/>
  <c r="O57" i="95"/>
  <c r="M57" i="95"/>
  <c r="K57" i="95"/>
  <c r="I57" i="95"/>
  <c r="G57" i="95"/>
  <c r="Q56" i="95"/>
  <c r="O56" i="95"/>
  <c r="M56" i="95"/>
  <c r="K56" i="95"/>
  <c r="I56" i="95"/>
  <c r="G56" i="95"/>
  <c r="Q55" i="95"/>
  <c r="O55" i="95"/>
  <c r="M55" i="95"/>
  <c r="K55" i="95"/>
  <c r="I55" i="95"/>
  <c r="G55" i="95"/>
  <c r="Q54" i="95"/>
  <c r="O54" i="95"/>
  <c r="M54" i="95"/>
  <c r="K54" i="95"/>
  <c r="I54" i="95"/>
  <c r="G54" i="95"/>
  <c r="Q53" i="95"/>
  <c r="O53" i="95"/>
  <c r="M53" i="95"/>
  <c r="K53" i="95"/>
  <c r="I53" i="95"/>
  <c r="G53" i="95"/>
  <c r="C53" i="95"/>
  <c r="Q52" i="95"/>
  <c r="O52" i="95"/>
  <c r="M52" i="95"/>
  <c r="K52" i="95"/>
  <c r="I52" i="95"/>
  <c r="G52" i="95"/>
  <c r="Q51" i="95"/>
  <c r="O51" i="95"/>
  <c r="M51" i="95"/>
  <c r="K51" i="95"/>
  <c r="I51" i="95"/>
  <c r="G51" i="95"/>
  <c r="C51" i="95"/>
  <c r="Q50" i="95"/>
  <c r="O50" i="95"/>
  <c r="M50" i="95"/>
  <c r="K50" i="95"/>
  <c r="I50" i="95"/>
  <c r="G50" i="95"/>
  <c r="Q49" i="95"/>
  <c r="O49" i="95"/>
  <c r="M49" i="95"/>
  <c r="K49" i="95"/>
  <c r="I49" i="95"/>
  <c r="G49" i="95"/>
  <c r="C49" i="95"/>
  <c r="Q48" i="95"/>
  <c r="O48" i="95"/>
  <c r="M48" i="95"/>
  <c r="K48" i="95"/>
  <c r="I48" i="95"/>
  <c r="G48" i="95"/>
  <c r="Q47" i="95"/>
  <c r="O47" i="95"/>
  <c r="M47" i="95"/>
  <c r="K47" i="95"/>
  <c r="I47" i="95"/>
  <c r="G47" i="95"/>
  <c r="C47" i="95"/>
  <c r="Q46" i="95"/>
  <c r="O46" i="95"/>
  <c r="M46" i="95"/>
  <c r="K46" i="95"/>
  <c r="I46" i="95"/>
  <c r="G46" i="95"/>
  <c r="C46" i="95"/>
  <c r="Q45" i="95"/>
  <c r="O45" i="95"/>
  <c r="M45" i="95"/>
  <c r="K45" i="95"/>
  <c r="I45" i="95"/>
  <c r="G45" i="95"/>
  <c r="Q44" i="95"/>
  <c r="O44" i="95"/>
  <c r="M44" i="95"/>
  <c r="K44" i="95"/>
  <c r="I44" i="95"/>
  <c r="G44" i="95"/>
  <c r="Q43" i="95"/>
  <c r="O43" i="95"/>
  <c r="M43" i="95"/>
  <c r="K43" i="95"/>
  <c r="I43" i="95"/>
  <c r="G43" i="95"/>
  <c r="Q42" i="95"/>
  <c r="O42" i="95"/>
  <c r="M42" i="95"/>
  <c r="K42" i="95"/>
  <c r="I42" i="95"/>
  <c r="G42" i="95"/>
  <c r="Q41" i="95"/>
  <c r="O41" i="95"/>
  <c r="M41" i="95"/>
  <c r="K41" i="95"/>
  <c r="I41" i="95"/>
  <c r="G41" i="95"/>
  <c r="Q40" i="95"/>
  <c r="O40" i="95"/>
  <c r="M40" i="95"/>
  <c r="K40" i="95"/>
  <c r="I40" i="95"/>
  <c r="G40" i="95"/>
  <c r="Q39" i="95"/>
  <c r="O39" i="95"/>
  <c r="M39" i="95"/>
  <c r="K39" i="95"/>
  <c r="I39" i="95"/>
  <c r="G39" i="95"/>
  <c r="Q38" i="95"/>
  <c r="O38" i="95"/>
  <c r="M38" i="95"/>
  <c r="K38" i="95"/>
  <c r="I38" i="95"/>
  <c r="G38" i="95"/>
  <c r="Q37" i="95"/>
  <c r="O37" i="95"/>
  <c r="M37" i="95"/>
  <c r="K37" i="95"/>
  <c r="I37" i="95"/>
  <c r="G37" i="95"/>
  <c r="Q36" i="95"/>
  <c r="O36" i="95"/>
  <c r="M36" i="95"/>
  <c r="K36" i="95"/>
  <c r="I36" i="95"/>
  <c r="G36" i="95"/>
  <c r="Q35" i="95"/>
  <c r="O35" i="95"/>
  <c r="M35" i="95"/>
  <c r="K35" i="95"/>
  <c r="I35" i="95"/>
  <c r="G35" i="95"/>
  <c r="Q34" i="95"/>
  <c r="O34" i="95"/>
  <c r="M34" i="95"/>
  <c r="K34" i="95"/>
  <c r="I34" i="95"/>
  <c r="G34" i="95"/>
  <c r="Q33" i="95"/>
  <c r="O33" i="95"/>
  <c r="M33" i="95"/>
  <c r="K33" i="95"/>
  <c r="I33" i="95"/>
  <c r="G33" i="95"/>
  <c r="Q32" i="95"/>
  <c r="O32" i="95"/>
  <c r="M32" i="95"/>
  <c r="K32" i="95"/>
  <c r="I32" i="95"/>
  <c r="G32" i="95"/>
  <c r="Q31" i="95"/>
  <c r="O31" i="95"/>
  <c r="M31" i="95"/>
  <c r="K31" i="95"/>
  <c r="I31" i="95"/>
  <c r="G31" i="95"/>
  <c r="Q30" i="95"/>
  <c r="O30" i="95"/>
  <c r="M30" i="95"/>
  <c r="K30" i="95"/>
  <c r="I30" i="95"/>
  <c r="G30" i="95"/>
  <c r="Q29" i="95"/>
  <c r="O29" i="95"/>
  <c r="M29" i="95"/>
  <c r="K29" i="95"/>
  <c r="I29" i="95"/>
  <c r="G29" i="95"/>
  <c r="Q28" i="95"/>
  <c r="O28" i="95"/>
  <c r="M28" i="95"/>
  <c r="K28" i="95"/>
  <c r="I28" i="95"/>
  <c r="G28" i="95"/>
  <c r="Q27" i="95"/>
  <c r="O27" i="95"/>
  <c r="M27" i="95"/>
  <c r="K27" i="95"/>
  <c r="I27" i="95"/>
  <c r="G27" i="95"/>
  <c r="Q26" i="95"/>
  <c r="O26" i="95"/>
  <c r="M26" i="95"/>
  <c r="K26" i="95"/>
  <c r="I26" i="95"/>
  <c r="G26" i="95"/>
  <c r="Q25" i="95"/>
  <c r="O25" i="95"/>
  <c r="M25" i="95"/>
  <c r="K25" i="95"/>
  <c r="I25" i="95"/>
  <c r="G25" i="95"/>
  <c r="P23" i="95"/>
  <c r="N23" i="95"/>
  <c r="L23" i="95"/>
  <c r="J23" i="95"/>
  <c r="H23" i="95"/>
  <c r="F23" i="95"/>
  <c r="D23" i="95"/>
  <c r="F12" i="95"/>
  <c r="G12" i="95" s="1"/>
  <c r="H12" i="95" s="1"/>
  <c r="I12" i="95" s="1"/>
  <c r="J12" i="95" s="1"/>
  <c r="K12" i="95" s="1"/>
  <c r="L12" i="95" s="1"/>
  <c r="M12" i="95" s="1"/>
  <c r="N12" i="95" s="1"/>
  <c r="O12" i="95" s="1"/>
  <c r="P12" i="95" s="1"/>
  <c r="Q12" i="95" s="1"/>
  <c r="R12" i="95" s="1"/>
  <c r="S12" i="95" s="1"/>
  <c r="D12" i="95"/>
  <c r="E12" i="95" s="1"/>
  <c r="H10" i="95"/>
  <c r="I10" i="95" s="1"/>
  <c r="J10" i="95" s="1"/>
  <c r="K10" i="95" s="1"/>
  <c r="L10" i="95" s="1"/>
  <c r="M10" i="95" s="1"/>
  <c r="N10" i="95" s="1"/>
  <c r="O10" i="95" s="1"/>
  <c r="P10" i="95" s="1"/>
  <c r="Q10" i="95" s="1"/>
  <c r="R10" i="95" s="1"/>
  <c r="S10" i="95" s="1"/>
  <c r="F10" i="95"/>
  <c r="G10" i="95" s="1"/>
  <c r="D10" i="95"/>
  <c r="E10" i="95" s="1"/>
  <c r="F8" i="95"/>
  <c r="G8" i="95" s="1"/>
  <c r="H8" i="95" s="1"/>
  <c r="I8" i="95" s="1"/>
  <c r="J8" i="95" s="1"/>
  <c r="K8" i="95" s="1"/>
  <c r="L8" i="95" s="1"/>
  <c r="M8" i="95" s="1"/>
  <c r="N8" i="95" s="1"/>
  <c r="O8" i="95" s="1"/>
  <c r="P8" i="95" s="1"/>
  <c r="Q8" i="95" s="1"/>
  <c r="R8" i="95" s="1"/>
  <c r="S8" i="95" s="1"/>
  <c r="D8" i="95"/>
  <c r="E8" i="95" s="1"/>
  <c r="D6" i="95"/>
  <c r="C2" i="95"/>
  <c r="S2" i="95"/>
  <c r="R2" i="95"/>
  <c r="Q2" i="95"/>
  <c r="P2" i="95"/>
  <c r="O2" i="95"/>
  <c r="N2" i="95"/>
  <c r="M2" i="95"/>
  <c r="L2" i="95"/>
  <c r="K2" i="95"/>
  <c r="J2" i="95"/>
  <c r="I2" i="95"/>
  <c r="H2" i="95"/>
  <c r="G2" i="95"/>
  <c r="F2" i="95"/>
  <c r="E2" i="95"/>
  <c r="I46" i="39"/>
  <c r="G46" i="39"/>
  <c r="E46" i="39"/>
  <c r="I38" i="39"/>
  <c r="G38" i="39"/>
  <c r="E38" i="39"/>
  <c r="I11" i="39"/>
  <c r="G11" i="39"/>
  <c r="E11" i="39"/>
  <c r="I7" i="39"/>
  <c r="G7" i="39"/>
  <c r="E7" i="39"/>
  <c r="I5" i="39"/>
  <c r="G5" i="39"/>
  <c r="E5" i="39"/>
  <c r="L27" i="31"/>
  <c r="L28" i="31"/>
  <c r="L29" i="31"/>
  <c r="L30" i="31"/>
  <c r="L31" i="31"/>
  <c r="L32" i="31"/>
  <c r="L33" i="31"/>
  <c r="L34" i="31"/>
  <c r="L35" i="31"/>
  <c r="L36" i="31"/>
  <c r="L37" i="31"/>
  <c r="L38" i="31"/>
  <c r="L39" i="31"/>
  <c r="L40" i="31"/>
  <c r="L41" i="31"/>
  <c r="L42" i="31"/>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71" i="31"/>
  <c r="L26" i="31"/>
  <c r="L25" i="31"/>
  <c r="I91" i="85"/>
  <c r="C88" i="85"/>
  <c r="I91" i="9"/>
  <c r="C88" i="9"/>
  <c r="H7" i="74"/>
  <c r="B58" i="80"/>
  <c r="G9" i="80" s="1"/>
  <c r="B14" i="74" s="1"/>
  <c r="F38" i="88"/>
  <c r="E37" i="88"/>
  <c r="F36" i="88"/>
  <c r="F35" i="88"/>
  <c r="F21" i="88"/>
  <c r="F40" i="88" s="1"/>
  <c r="F20" i="88"/>
  <c r="F39" i="88" s="1"/>
  <c r="C19" i="88"/>
  <c r="E10" i="88"/>
  <c r="E9" i="88"/>
  <c r="F7" i="88"/>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M101" i="87"/>
  <c r="N101" i="87" s="1"/>
  <c r="K101" i="87"/>
  <c r="J101" i="87" s="1"/>
  <c r="D101" i="87"/>
  <c r="N100" i="87"/>
  <c r="M100" i="87"/>
  <c r="K100" i="87"/>
  <c r="J100" i="87" s="1"/>
  <c r="D100" i="87"/>
  <c r="M99" i="87"/>
  <c r="N99" i="87" s="1"/>
  <c r="K99" i="87"/>
  <c r="J99" i="87"/>
  <c r="D99" i="87"/>
  <c r="M98" i="87"/>
  <c r="N98" i="87" s="1"/>
  <c r="K98" i="87"/>
  <c r="J98" i="87" s="1"/>
  <c r="D98" i="87"/>
  <c r="N97" i="87"/>
  <c r="M97" i="87"/>
  <c r="K97" i="87"/>
  <c r="J97" i="87" s="1"/>
  <c r="D97" i="87"/>
  <c r="M96" i="87"/>
  <c r="N96" i="87" s="1"/>
  <c r="K96" i="87"/>
  <c r="J96" i="87" s="1"/>
  <c r="D96" i="87"/>
  <c r="M95" i="87"/>
  <c r="N95" i="87" s="1"/>
  <c r="K95" i="87"/>
  <c r="J95" i="87"/>
  <c r="D95" i="87"/>
  <c r="B95" i="87"/>
  <c r="M94" i="87"/>
  <c r="N94" i="87" s="1"/>
  <c r="K94" i="87"/>
  <c r="J94" i="87"/>
  <c r="D94" i="87"/>
  <c r="M93" i="87"/>
  <c r="N93" i="87" s="1"/>
  <c r="K93" i="87"/>
  <c r="J93" i="87" s="1"/>
  <c r="F93" i="87"/>
  <c r="D93" i="87"/>
  <c r="M90" i="87"/>
  <c r="N90" i="87" s="1"/>
  <c r="K90" i="87"/>
  <c r="J90" i="87" s="1"/>
  <c r="D90" i="87"/>
  <c r="M89" i="87"/>
  <c r="N89" i="87" s="1"/>
  <c r="K89" i="87"/>
  <c r="J89" i="87" s="1"/>
  <c r="D89" i="87"/>
  <c r="N88" i="87"/>
  <c r="M88" i="87"/>
  <c r="K88" i="87"/>
  <c r="J88" i="87" s="1"/>
  <c r="D88" i="87"/>
  <c r="N87" i="87"/>
  <c r="M87" i="87"/>
  <c r="K87" i="87"/>
  <c r="J87" i="87" s="1"/>
  <c r="D87" i="87"/>
  <c r="M86" i="87"/>
  <c r="N86" i="87" s="1"/>
  <c r="K86" i="87"/>
  <c r="J86" i="87" s="1"/>
  <c r="D86" i="87"/>
  <c r="B86" i="87"/>
  <c r="N85" i="87"/>
  <c r="M85" i="87"/>
  <c r="K85" i="87"/>
  <c r="J85" i="87" s="1"/>
  <c r="D85" i="87"/>
  <c r="B85" i="87"/>
  <c r="M84" i="87"/>
  <c r="N84" i="87" s="1"/>
  <c r="K84" i="87"/>
  <c r="J84" i="87"/>
  <c r="D84" i="87"/>
  <c r="M83" i="87"/>
  <c r="N83" i="87" s="1"/>
  <c r="K83" i="87"/>
  <c r="J83" i="87" s="1"/>
  <c r="H83" i="87"/>
  <c r="F83" i="87"/>
  <c r="H88" i="87" s="1"/>
  <c r="D83" i="87"/>
  <c r="N80" i="87"/>
  <c r="M80" i="87"/>
  <c r="K80" i="87"/>
  <c r="M79" i="87"/>
  <c r="N79" i="87" s="1"/>
  <c r="K79" i="87"/>
  <c r="J79" i="87"/>
  <c r="D79" i="87"/>
  <c r="M78" i="87"/>
  <c r="N78" i="87" s="1"/>
  <c r="K78" i="87"/>
  <c r="J78" i="87" s="1"/>
  <c r="N77" i="87"/>
  <c r="M77" i="87"/>
  <c r="K77" i="87"/>
  <c r="J77" i="87" s="1"/>
  <c r="D77" i="87" s="1"/>
  <c r="M76" i="87"/>
  <c r="N76" i="87" s="1"/>
  <c r="K76" i="87"/>
  <c r="J76" i="87" s="1"/>
  <c r="D76" i="87"/>
  <c r="M75" i="87"/>
  <c r="N75" i="87" s="1"/>
  <c r="K75" i="87"/>
  <c r="J75" i="87" s="1"/>
  <c r="M74" i="87"/>
  <c r="N74" i="87" s="1"/>
  <c r="K74" i="87"/>
  <c r="B74" i="87"/>
  <c r="M73" i="87"/>
  <c r="N73" i="87" s="1"/>
  <c r="K73" i="87"/>
  <c r="D73" i="87" s="1"/>
  <c r="J73" i="87"/>
  <c r="M72" i="87"/>
  <c r="N72" i="87" s="1"/>
  <c r="K72" i="87"/>
  <c r="J72" i="87" s="1"/>
  <c r="D72" i="87"/>
  <c r="M69" i="87"/>
  <c r="N69" i="87" s="1"/>
  <c r="K69" i="87"/>
  <c r="J69" i="87" s="1"/>
  <c r="D69" i="87"/>
  <c r="M68" i="87"/>
  <c r="N68" i="87" s="1"/>
  <c r="K68" i="87"/>
  <c r="J68" i="87"/>
  <c r="D68" i="87"/>
  <c r="M67" i="87"/>
  <c r="N67" i="87" s="1"/>
  <c r="K67" i="87"/>
  <c r="J67" i="87"/>
  <c r="D67" i="87"/>
  <c r="M66" i="87"/>
  <c r="N66" i="87" s="1"/>
  <c r="K66" i="87"/>
  <c r="J66" i="87"/>
  <c r="D66" i="87"/>
  <c r="M65" i="87"/>
  <c r="N65" i="87" s="1"/>
  <c r="K65" i="87"/>
  <c r="J65" i="87"/>
  <c r="D65" i="87"/>
  <c r="M64" i="87"/>
  <c r="N64" i="87" s="1"/>
  <c r="K64" i="87"/>
  <c r="J64" i="87" s="1"/>
  <c r="D64" i="87"/>
  <c r="N63" i="87"/>
  <c r="M63" i="87"/>
  <c r="K63" i="87"/>
  <c r="J63" i="87" s="1"/>
  <c r="D63" i="87"/>
  <c r="B63" i="87"/>
  <c r="M62" i="87"/>
  <c r="N62" i="87" s="1"/>
  <c r="K62" i="87"/>
  <c r="J62" i="87"/>
  <c r="D62" i="87"/>
  <c r="M61" i="87"/>
  <c r="N61" i="87" s="1"/>
  <c r="K61" i="87"/>
  <c r="J61" i="87" s="1"/>
  <c r="H61" i="87"/>
  <c r="F61" i="87"/>
  <c r="H68" i="87" s="1"/>
  <c r="D61" i="87"/>
  <c r="M58" i="87"/>
  <c r="N58" i="87" s="1"/>
  <c r="K58" i="87"/>
  <c r="J58" i="87" s="1"/>
  <c r="D58" i="87"/>
  <c r="M57" i="87"/>
  <c r="N57" i="87" s="1"/>
  <c r="K57" i="87"/>
  <c r="J57" i="87"/>
  <c r="D57" i="87"/>
  <c r="M56" i="87"/>
  <c r="N56" i="87" s="1"/>
  <c r="K56" i="87"/>
  <c r="J56" i="87" s="1"/>
  <c r="D56" i="87"/>
  <c r="M55" i="87"/>
  <c r="N55" i="87" s="1"/>
  <c r="K55" i="87"/>
  <c r="J55" i="87"/>
  <c r="H55" i="87"/>
  <c r="D55" i="87"/>
  <c r="M54" i="87"/>
  <c r="N54" i="87" s="1"/>
  <c r="K54" i="87"/>
  <c r="J54" i="87"/>
  <c r="D54" i="87"/>
  <c r="M53" i="87"/>
  <c r="N53" i="87" s="1"/>
  <c r="K53" i="87"/>
  <c r="J53" i="87" s="1"/>
  <c r="D53" i="87"/>
  <c r="N52" i="87"/>
  <c r="M52" i="87"/>
  <c r="K52" i="87"/>
  <c r="J52" i="87" s="1"/>
  <c r="D52" i="87"/>
  <c r="B52" i="87"/>
  <c r="M51" i="87"/>
  <c r="N51" i="87" s="1"/>
  <c r="K51" i="87"/>
  <c r="J51" i="87"/>
  <c r="D51" i="87"/>
  <c r="M50" i="87"/>
  <c r="N50" i="87" s="1"/>
  <c r="K50" i="87"/>
  <c r="J50" i="87" s="1"/>
  <c r="F50" i="87"/>
  <c r="H57" i="87" s="1"/>
  <c r="D50" i="87"/>
  <c r="B50" i="87"/>
  <c r="H41" i="87"/>
  <c r="H40" i="87"/>
  <c r="H39" i="87"/>
  <c r="H38" i="87"/>
  <c r="H37" i="87"/>
  <c r="J24" i="87"/>
  <c r="G24" i="87"/>
  <c r="G18" i="87" s="1"/>
  <c r="E17" i="87" s="1"/>
  <c r="E24" i="87"/>
  <c r="Q32" i="87" s="1"/>
  <c r="I23" i="87"/>
  <c r="C22" i="87"/>
  <c r="C20" i="87"/>
  <c r="I18" i="87"/>
  <c r="G17" i="87"/>
  <c r="C17" i="87"/>
  <c r="C13" i="87"/>
  <c r="AF10" i="87"/>
  <c r="AE10" i="87"/>
  <c r="Y10" i="87"/>
  <c r="C10" i="87"/>
  <c r="C11" i="87" s="1"/>
  <c r="E9" i="87" s="1"/>
  <c r="AJ9" i="87"/>
  <c r="AJ10" i="87" s="1"/>
  <c r="AI9" i="87"/>
  <c r="AI10" i="87" s="1"/>
  <c r="AH9" i="87"/>
  <c r="AH10" i="87" s="1"/>
  <c r="AG9" i="87"/>
  <c r="AG10" i="87" s="1"/>
  <c r="AF9" i="87"/>
  <c r="AE9" i="87"/>
  <c r="AD9" i="87"/>
  <c r="AD10" i="87" s="1"/>
  <c r="AC9" i="87"/>
  <c r="AC10" i="87" s="1"/>
  <c r="AB9" i="87"/>
  <c r="AB10" i="87" s="1"/>
  <c r="AA9" i="87"/>
  <c r="AA10" i="87" s="1"/>
  <c r="Z9" i="87"/>
  <c r="Z10" i="87" s="1"/>
  <c r="C9" i="87"/>
  <c r="G3" i="87"/>
  <c r="Z7" i="87" s="1"/>
  <c r="I2" i="87"/>
  <c r="M12" i="87" s="1"/>
  <c r="G2" i="87"/>
  <c r="D3" i="31"/>
  <c r="D4" i="31"/>
  <c r="C4" i="31"/>
  <c r="C3" i="31"/>
  <c r="B26" i="31"/>
  <c r="B27" i="31"/>
  <c r="B28" i="31"/>
  <c r="B29" i="31"/>
  <c r="B30" i="31"/>
  <c r="B31" i="31"/>
  <c r="B32" i="31"/>
  <c r="B33" i="31"/>
  <c r="B34" i="31"/>
  <c r="B35" i="31"/>
  <c r="B36" i="31"/>
  <c r="B37" i="31"/>
  <c r="B38" i="31"/>
  <c r="B39" i="31"/>
  <c r="B40" i="31"/>
  <c r="B41" i="31"/>
  <c r="B42" i="31"/>
  <c r="B43" i="31"/>
  <c r="B44" i="31"/>
  <c r="B45"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25" i="31"/>
  <c r="C13" i="3"/>
  <c r="A120" i="85"/>
  <c r="E111" i="85"/>
  <c r="H112" i="85" s="1"/>
  <c r="E109" i="85"/>
  <c r="A124" i="85" s="1"/>
  <c r="E107" i="85"/>
  <c r="A122" i="85" s="1"/>
  <c r="H106" i="85"/>
  <c r="H105" i="85"/>
  <c r="H103" i="85" s="1"/>
  <c r="D120" i="85" s="1"/>
  <c r="H104" i="85"/>
  <c r="D101" i="85"/>
  <c r="C101" i="85"/>
  <c r="C91" i="85"/>
  <c r="E90" i="85"/>
  <c r="D89" i="85"/>
  <c r="H77" i="85"/>
  <c r="D77" i="85"/>
  <c r="C76" i="85"/>
  <c r="F59" i="85"/>
  <c r="O55" i="85" s="1"/>
  <c r="E59" i="85"/>
  <c r="N55" i="85" s="1"/>
  <c r="F56" i="85"/>
  <c r="O54" i="85" s="1"/>
  <c r="K55" i="85"/>
  <c r="J55" i="85"/>
  <c r="I55" i="85"/>
  <c r="F55" i="85"/>
  <c r="O53" i="85" s="1"/>
  <c r="N54" i="85"/>
  <c r="N53" i="85"/>
  <c r="K49" i="85"/>
  <c r="E48" i="85"/>
  <c r="N52" i="85" s="1"/>
  <c r="F33" i="85"/>
  <c r="D27" i="85"/>
  <c r="C25" i="85"/>
  <c r="C24" i="85"/>
  <c r="D17" i="85"/>
  <c r="C17" i="85"/>
  <c r="L4" i="85"/>
  <c r="K4" i="85"/>
  <c r="H1" i="85"/>
  <c r="J49" i="67"/>
  <c r="I7" i="1"/>
  <c r="H7" i="1"/>
  <c r="J7" i="1"/>
  <c r="L7" i="1"/>
  <c r="U7" i="1"/>
  <c r="T6" i="84"/>
  <c r="T5" i="84"/>
  <c r="T4" i="84"/>
  <c r="D104" i="21"/>
  <c r="Q72" i="83"/>
  <c r="Q59" i="83"/>
  <c r="K59" i="83"/>
  <c r="P74" i="83" s="1"/>
  <c r="F59" i="83"/>
  <c r="Q58" i="83"/>
  <c r="Q51" i="83"/>
  <c r="J50" i="83"/>
  <c r="J49" i="83"/>
  <c r="M47" i="83"/>
  <c r="D46" i="83"/>
  <c r="F33" i="83"/>
  <c r="F61" i="83" s="1"/>
  <c r="F31" i="83"/>
  <c r="F23" i="83"/>
  <c r="D23" i="83" s="1"/>
  <c r="F21" i="83"/>
  <c r="F20" i="83"/>
  <c r="M19" i="83"/>
  <c r="F18" i="83"/>
  <c r="M17" i="83"/>
  <c r="F17" i="83"/>
  <c r="F15" i="83"/>
  <c r="J49" i="15"/>
  <c r="B59" i="1"/>
  <c r="B21" i="1"/>
  <c r="N18" i="1"/>
  <c r="N6" i="1" s="1"/>
  <c r="K14" i="3"/>
  <c r="I13" i="3"/>
  <c r="G12" i="80"/>
  <c r="G14" i="73"/>
  <c r="F14" i="73"/>
  <c r="E14" i="73"/>
  <c r="F20" i="95"/>
  <c r="E2" i="88"/>
  <c r="F8" i="80" l="1"/>
  <c r="C89" i="85"/>
  <c r="C87" i="85" s="1"/>
  <c r="D3" i="39"/>
  <c r="E99" i="95"/>
  <c r="E526" i="95"/>
  <c r="E530" i="95"/>
  <c r="E534" i="95"/>
  <c r="E538" i="95"/>
  <c r="E542" i="95"/>
  <c r="E546" i="95"/>
  <c r="E550" i="95"/>
  <c r="E554" i="95"/>
  <c r="E558" i="95"/>
  <c r="E562" i="95"/>
  <c r="E566" i="95"/>
  <c r="E570" i="95"/>
  <c r="E574" i="95"/>
  <c r="E578" i="95"/>
  <c r="E582" i="95"/>
  <c r="E586" i="95"/>
  <c r="E590" i="95"/>
  <c r="E594" i="95"/>
  <c r="E598" i="95"/>
  <c r="E602" i="95"/>
  <c r="E606" i="95"/>
  <c r="E610" i="95"/>
  <c r="E614" i="95"/>
  <c r="E618" i="95"/>
  <c r="E622" i="95"/>
  <c r="E626" i="95"/>
  <c r="E630" i="95"/>
  <c r="E634" i="95"/>
  <c r="E638" i="95"/>
  <c r="E642" i="95"/>
  <c r="E646" i="95"/>
  <c r="E650" i="95"/>
  <c r="E654" i="95"/>
  <c r="E658" i="95"/>
  <c r="E662" i="95"/>
  <c r="E666" i="95"/>
  <c r="E670" i="95"/>
  <c r="E674" i="95"/>
  <c r="E678" i="95"/>
  <c r="E682" i="95"/>
  <c r="E686" i="95"/>
  <c r="E690" i="95"/>
  <c r="E694" i="95"/>
  <c r="E698" i="95"/>
  <c r="E702" i="95"/>
  <c r="E706" i="95"/>
  <c r="E710" i="95"/>
  <c r="E714" i="95"/>
  <c r="E718" i="95"/>
  <c r="E722" i="95"/>
  <c r="E726" i="95"/>
  <c r="E730" i="95"/>
  <c r="E734" i="95"/>
  <c r="E738" i="95"/>
  <c r="E742" i="95"/>
  <c r="E746" i="95"/>
  <c r="E750" i="95"/>
  <c r="E754" i="95"/>
  <c r="E758" i="95"/>
  <c r="E762" i="95"/>
  <c r="E766" i="95"/>
  <c r="E770" i="95"/>
  <c r="E774" i="95"/>
  <c r="E778" i="95"/>
  <c r="E782" i="95"/>
  <c r="E786" i="95"/>
  <c r="E790" i="95"/>
  <c r="E794" i="95"/>
  <c r="E798" i="95"/>
  <c r="E802" i="95"/>
  <c r="E806" i="95"/>
  <c r="E810" i="95"/>
  <c r="E814" i="95"/>
  <c r="E818" i="95"/>
  <c r="E822" i="95"/>
  <c r="E826" i="95"/>
  <c r="E830" i="95"/>
  <c r="E834" i="95"/>
  <c r="E838" i="95"/>
  <c r="E842" i="95"/>
  <c r="E846" i="95"/>
  <c r="E850" i="95"/>
  <c r="E854" i="95"/>
  <c r="E858" i="95"/>
  <c r="E862" i="95"/>
  <c r="E525" i="95"/>
  <c r="E529" i="95"/>
  <c r="E533" i="95"/>
  <c r="E537" i="95"/>
  <c r="E541" i="95"/>
  <c r="E545" i="95"/>
  <c r="E549" i="95"/>
  <c r="E553" i="95"/>
  <c r="E557" i="95"/>
  <c r="E561" i="95"/>
  <c r="E565" i="95"/>
  <c r="E569" i="95"/>
  <c r="E573" i="95"/>
  <c r="E577" i="95"/>
  <c r="E581" i="95"/>
  <c r="E585" i="95"/>
  <c r="E589" i="95"/>
  <c r="E593" i="95"/>
  <c r="E597" i="95"/>
  <c r="E601" i="95"/>
  <c r="E605" i="95"/>
  <c r="E609" i="95"/>
  <c r="E613" i="95"/>
  <c r="E617" i="95"/>
  <c r="E621" i="95"/>
  <c r="E625" i="95"/>
  <c r="E629" i="95"/>
  <c r="E633" i="95"/>
  <c r="E637" i="95"/>
  <c r="E641" i="95"/>
  <c r="E645" i="95"/>
  <c r="E649" i="95"/>
  <c r="E653" i="95"/>
  <c r="E657" i="95"/>
  <c r="E661" i="95"/>
  <c r="E665" i="95"/>
  <c r="E669" i="95"/>
  <c r="E673" i="95"/>
  <c r="E677" i="95"/>
  <c r="E681" i="95"/>
  <c r="E685" i="95"/>
  <c r="E689" i="95"/>
  <c r="E693" i="95"/>
  <c r="E697" i="95"/>
  <c r="E701" i="95"/>
  <c r="E705" i="95"/>
  <c r="E709" i="95"/>
  <c r="E713" i="95"/>
  <c r="E717" i="95"/>
  <c r="E721" i="95"/>
  <c r="E725" i="95"/>
  <c r="E729" i="95"/>
  <c r="E733" i="95"/>
  <c r="E737" i="95"/>
  <c r="E741" i="95"/>
  <c r="E745" i="95"/>
  <c r="E749" i="95"/>
  <c r="E753" i="95"/>
  <c r="E757" i="95"/>
  <c r="E761" i="95"/>
  <c r="E765" i="95"/>
  <c r="E769" i="95"/>
  <c r="E773" i="95"/>
  <c r="E777" i="95"/>
  <c r="E781" i="95"/>
  <c r="E785" i="95"/>
  <c r="E789" i="95"/>
  <c r="E793" i="95"/>
  <c r="E797" i="95"/>
  <c r="E801" i="95"/>
  <c r="E805" i="95"/>
  <c r="E809" i="95"/>
  <c r="E813" i="95"/>
  <c r="E817" i="95"/>
  <c r="E821" i="95"/>
  <c r="E825" i="95"/>
  <c r="E829" i="95"/>
  <c r="E833" i="95"/>
  <c r="E837" i="95"/>
  <c r="E841" i="95"/>
  <c r="E845" i="95"/>
  <c r="E849" i="95"/>
  <c r="E853" i="95"/>
  <c r="E857" i="95"/>
  <c r="E861" i="95"/>
  <c r="E528" i="95"/>
  <c r="E532" i="95"/>
  <c r="E536" i="95"/>
  <c r="E540" i="95"/>
  <c r="E544" i="95"/>
  <c r="E548" i="95"/>
  <c r="E552" i="95"/>
  <c r="E556" i="95"/>
  <c r="E560" i="95"/>
  <c r="E564" i="95"/>
  <c r="E568" i="95"/>
  <c r="E572" i="95"/>
  <c r="E576" i="95"/>
  <c r="E580" i="95"/>
  <c r="E584" i="95"/>
  <c r="E588" i="95"/>
  <c r="E592" i="95"/>
  <c r="E596" i="95"/>
  <c r="E600" i="95"/>
  <c r="E604" i="95"/>
  <c r="E608" i="95"/>
  <c r="E612" i="95"/>
  <c r="E616" i="95"/>
  <c r="E620" i="95"/>
  <c r="E624" i="95"/>
  <c r="E628" i="95"/>
  <c r="E632" i="95"/>
  <c r="E636" i="95"/>
  <c r="E640" i="95"/>
  <c r="E644" i="95"/>
  <c r="E648" i="95"/>
  <c r="E652" i="95"/>
  <c r="E656" i="95"/>
  <c r="E660" i="95"/>
  <c r="E664" i="95"/>
  <c r="E668" i="95"/>
  <c r="E672" i="95"/>
  <c r="E676" i="95"/>
  <c r="E680" i="95"/>
  <c r="E684" i="95"/>
  <c r="E688" i="95"/>
  <c r="E692" i="95"/>
  <c r="E696" i="95"/>
  <c r="E700" i="95"/>
  <c r="E704" i="95"/>
  <c r="E708" i="95"/>
  <c r="E712" i="95"/>
  <c r="E716" i="95"/>
  <c r="E720" i="95"/>
  <c r="E724" i="95"/>
  <c r="E728" i="95"/>
  <c r="E732" i="95"/>
  <c r="E736" i="95"/>
  <c r="E740" i="95"/>
  <c r="E744" i="95"/>
  <c r="E748" i="95"/>
  <c r="E752" i="95"/>
  <c r="E756" i="95"/>
  <c r="E760" i="95"/>
  <c r="E764" i="95"/>
  <c r="E768" i="95"/>
  <c r="E772" i="95"/>
  <c r="E776" i="95"/>
  <c r="E780" i="95"/>
  <c r="E784" i="95"/>
  <c r="E788" i="95"/>
  <c r="E792" i="95"/>
  <c r="E796" i="95"/>
  <c r="E800" i="95"/>
  <c r="E804" i="95"/>
  <c r="E808" i="95"/>
  <c r="E812" i="95"/>
  <c r="E816" i="95"/>
  <c r="E820" i="95"/>
  <c r="E824" i="95"/>
  <c r="E828" i="95"/>
  <c r="E832" i="95"/>
  <c r="E836" i="95"/>
  <c r="E539" i="95"/>
  <c r="E555" i="95"/>
  <c r="E571" i="95"/>
  <c r="E587" i="95"/>
  <c r="E603" i="95"/>
  <c r="E619" i="95"/>
  <c r="E635" i="95"/>
  <c r="E651" i="95"/>
  <c r="E667" i="95"/>
  <c r="E683" i="95"/>
  <c r="E699" i="95"/>
  <c r="E715" i="95"/>
  <c r="E731" i="95"/>
  <c r="E747" i="95"/>
  <c r="E763" i="95"/>
  <c r="E779" i="95"/>
  <c r="E795" i="95"/>
  <c r="E811" i="95"/>
  <c r="E827" i="95"/>
  <c r="E844" i="95"/>
  <c r="E852" i="95"/>
  <c r="E860" i="95"/>
  <c r="E866" i="95"/>
  <c r="E870" i="95"/>
  <c r="E874" i="95"/>
  <c r="E878" i="95"/>
  <c r="E882" i="95"/>
  <c r="E886" i="95"/>
  <c r="E890" i="95"/>
  <c r="E894" i="95"/>
  <c r="E898" i="95"/>
  <c r="E902" i="95"/>
  <c r="E906" i="95"/>
  <c r="E910" i="95"/>
  <c r="E914" i="95"/>
  <c r="E918" i="95"/>
  <c r="E922" i="95"/>
  <c r="E926" i="95"/>
  <c r="E930" i="95"/>
  <c r="E934" i="95"/>
  <c r="E938" i="95"/>
  <c r="E942" i="95"/>
  <c r="E946" i="95"/>
  <c r="E950" i="95"/>
  <c r="E954" i="95"/>
  <c r="E958" i="95"/>
  <c r="E962" i="95"/>
  <c r="E966" i="95"/>
  <c r="E970" i="95"/>
  <c r="E974" i="95"/>
  <c r="E978" i="95"/>
  <c r="E982" i="95"/>
  <c r="E986" i="95"/>
  <c r="E990" i="95"/>
  <c r="E994" i="95"/>
  <c r="E998" i="95"/>
  <c r="E1002" i="95"/>
  <c r="E1006" i="95"/>
  <c r="E1010" i="95"/>
  <c r="E1014" i="95"/>
  <c r="E1018" i="95"/>
  <c r="E1022" i="95"/>
  <c r="E1026" i="95"/>
  <c r="E1030" i="95"/>
  <c r="E1034" i="95"/>
  <c r="E1038" i="95"/>
  <c r="E1042" i="95"/>
  <c r="E1046" i="95"/>
  <c r="E1050" i="95"/>
  <c r="E1054" i="95"/>
  <c r="E1058" i="95"/>
  <c r="E1062" i="95"/>
  <c r="E1066" i="95"/>
  <c r="E1070" i="95"/>
  <c r="E1074" i="95"/>
  <c r="E1078" i="95"/>
  <c r="E1082" i="95"/>
  <c r="E1086" i="95"/>
  <c r="E1090" i="95"/>
  <c r="E1094" i="95"/>
  <c r="E1098" i="95"/>
  <c r="E1102" i="95"/>
  <c r="E1106" i="95"/>
  <c r="E1110" i="95"/>
  <c r="E1114" i="95"/>
  <c r="E527" i="95"/>
  <c r="E543" i="95"/>
  <c r="E559" i="95"/>
  <c r="E575" i="95"/>
  <c r="E591" i="95"/>
  <c r="E607" i="95"/>
  <c r="E623" i="95"/>
  <c r="E639" i="95"/>
  <c r="E655" i="95"/>
  <c r="E671" i="95"/>
  <c r="E687" i="95"/>
  <c r="E703" i="95"/>
  <c r="E719" i="95"/>
  <c r="E735" i="95"/>
  <c r="E751" i="95"/>
  <c r="E767" i="95"/>
  <c r="E783" i="95"/>
  <c r="E799" i="95"/>
  <c r="E815" i="95"/>
  <c r="E831" i="95"/>
  <c r="E843" i="95"/>
  <c r="E851" i="95"/>
  <c r="E859" i="95"/>
  <c r="E865" i="95"/>
  <c r="E869" i="95"/>
  <c r="E873" i="95"/>
  <c r="E877" i="95"/>
  <c r="E881" i="95"/>
  <c r="E885" i="95"/>
  <c r="E889" i="95"/>
  <c r="E893" i="95"/>
  <c r="E897" i="95"/>
  <c r="E901" i="95"/>
  <c r="E905" i="95"/>
  <c r="E909" i="95"/>
  <c r="E913" i="95"/>
  <c r="E917" i="95"/>
  <c r="E921" i="95"/>
  <c r="E925" i="95"/>
  <c r="E929" i="95"/>
  <c r="E933" i="95"/>
  <c r="E937" i="95"/>
  <c r="E941" i="95"/>
  <c r="E945" i="95"/>
  <c r="E949" i="95"/>
  <c r="E953" i="95"/>
  <c r="E957" i="95"/>
  <c r="E961" i="95"/>
  <c r="E965" i="95"/>
  <c r="E969" i="95"/>
  <c r="E973" i="95"/>
  <c r="E977" i="95"/>
  <c r="E981" i="95"/>
  <c r="E985" i="95"/>
  <c r="E989" i="95"/>
  <c r="E993" i="95"/>
  <c r="E997" i="95"/>
  <c r="E1001" i="95"/>
  <c r="E1005" i="95"/>
  <c r="E1009" i="95"/>
  <c r="E1013" i="95"/>
  <c r="E1017" i="95"/>
  <c r="E1021" i="95"/>
  <c r="E1025" i="95"/>
  <c r="E1029" i="95"/>
  <c r="E1033" i="95"/>
  <c r="E1037" i="95"/>
  <c r="E1041" i="95"/>
  <c r="E1045" i="95"/>
  <c r="E1049" i="95"/>
  <c r="E1053" i="95"/>
  <c r="E1057" i="95"/>
  <c r="E1061" i="95"/>
  <c r="E1065" i="95"/>
  <c r="E1069" i="95"/>
  <c r="E1073" i="95"/>
  <c r="E1077" i="95"/>
  <c r="E531" i="95"/>
  <c r="E547" i="95"/>
  <c r="E563" i="95"/>
  <c r="E579" i="95"/>
  <c r="E595" i="95"/>
  <c r="E611" i="95"/>
  <c r="E627" i="95"/>
  <c r="E643" i="95"/>
  <c r="E659" i="95"/>
  <c r="E675" i="95"/>
  <c r="E691" i="95"/>
  <c r="E707" i="95"/>
  <c r="E723" i="95"/>
  <c r="E739" i="95"/>
  <c r="E755" i="95"/>
  <c r="E771" i="95"/>
  <c r="E787" i="95"/>
  <c r="E803" i="95"/>
  <c r="E819" i="95"/>
  <c r="E835" i="95"/>
  <c r="E840" i="95"/>
  <c r="E848" i="95"/>
  <c r="E856" i="95"/>
  <c r="E864" i="95"/>
  <c r="E868" i="95"/>
  <c r="E872" i="95"/>
  <c r="E876" i="95"/>
  <c r="E880" i="95"/>
  <c r="E884" i="95"/>
  <c r="E888" i="95"/>
  <c r="E892" i="95"/>
  <c r="E896" i="95"/>
  <c r="E900" i="95"/>
  <c r="E904" i="95"/>
  <c r="E908" i="95"/>
  <c r="E912" i="95"/>
  <c r="E916" i="95"/>
  <c r="E920" i="95"/>
  <c r="E924" i="95"/>
  <c r="E928" i="95"/>
  <c r="E932" i="95"/>
  <c r="E936" i="95"/>
  <c r="E940" i="95"/>
  <c r="E944" i="95"/>
  <c r="E948" i="95"/>
  <c r="E952" i="95"/>
  <c r="E956" i="95"/>
  <c r="E960" i="95"/>
  <c r="E964" i="95"/>
  <c r="E968" i="95"/>
  <c r="E972" i="95"/>
  <c r="E976" i="95"/>
  <c r="E980" i="95"/>
  <c r="E984" i="95"/>
  <c r="E988" i="95"/>
  <c r="E992" i="95"/>
  <c r="E996" i="95"/>
  <c r="E1000" i="95"/>
  <c r="E1004" i="95"/>
  <c r="E1008" i="95"/>
  <c r="E1012" i="95"/>
  <c r="E1016" i="95"/>
  <c r="E1020" i="95"/>
  <c r="E1024" i="95"/>
  <c r="E1028" i="95"/>
  <c r="E1032" i="95"/>
  <c r="E1036" i="95"/>
  <c r="E1040" i="95"/>
  <c r="E1044" i="95"/>
  <c r="E1048" i="95"/>
  <c r="E1052" i="95"/>
  <c r="E1056" i="95"/>
  <c r="E1060" i="95"/>
  <c r="E1064" i="95"/>
  <c r="E583" i="95"/>
  <c r="E647" i="95"/>
  <c r="E711" i="95"/>
  <c r="E775" i="95"/>
  <c r="E839" i="95"/>
  <c r="E867" i="95"/>
  <c r="E883" i="95"/>
  <c r="E899" i="95"/>
  <c r="E915" i="95"/>
  <c r="E931" i="95"/>
  <c r="E947" i="95"/>
  <c r="E963" i="95"/>
  <c r="E979" i="95"/>
  <c r="E995" i="95"/>
  <c r="E1011" i="95"/>
  <c r="E1027" i="95"/>
  <c r="E1043" i="95"/>
  <c r="E1059" i="95"/>
  <c r="E1071" i="95"/>
  <c r="E1079" i="95"/>
  <c r="E1089" i="95"/>
  <c r="E1092" i="95"/>
  <c r="E1095" i="95"/>
  <c r="E1105" i="95"/>
  <c r="E1108" i="95"/>
  <c r="E1111" i="95"/>
  <c r="E1118" i="95"/>
  <c r="E1122" i="95"/>
  <c r="E1126" i="95"/>
  <c r="E1130" i="95"/>
  <c r="E1134" i="95"/>
  <c r="E1138" i="95"/>
  <c r="E1142" i="95"/>
  <c r="E1146" i="95"/>
  <c r="E1150" i="95"/>
  <c r="E1154" i="95"/>
  <c r="E1158" i="95"/>
  <c r="E1162" i="95"/>
  <c r="E1166" i="95"/>
  <c r="E1170" i="95"/>
  <c r="E567" i="95"/>
  <c r="E863" i="95"/>
  <c r="E895" i="95"/>
  <c r="E943" i="95"/>
  <c r="E991" i="95"/>
  <c r="E1039" i="95"/>
  <c r="E1080" i="95"/>
  <c r="E1096" i="95"/>
  <c r="E1112" i="95"/>
  <c r="E1123" i="95"/>
  <c r="E1135" i="95"/>
  <c r="E1147" i="95"/>
  <c r="E1159" i="95"/>
  <c r="E535" i="95"/>
  <c r="E599" i="95"/>
  <c r="E663" i="95"/>
  <c r="E727" i="95"/>
  <c r="E791" i="95"/>
  <c r="E847" i="95"/>
  <c r="E871" i="95"/>
  <c r="E887" i="95"/>
  <c r="E903" i="95"/>
  <c r="E919" i="95"/>
  <c r="E935" i="95"/>
  <c r="E951" i="95"/>
  <c r="E967" i="95"/>
  <c r="E983" i="95"/>
  <c r="E999" i="95"/>
  <c r="E1015" i="95"/>
  <c r="E1031" i="95"/>
  <c r="E1047" i="95"/>
  <c r="E1063" i="95"/>
  <c r="E1068" i="95"/>
  <c r="E1076" i="95"/>
  <c r="E1085" i="95"/>
  <c r="E1088" i="95"/>
  <c r="E1091" i="95"/>
  <c r="E1101" i="95"/>
  <c r="E1104" i="95"/>
  <c r="E1107" i="95"/>
  <c r="E1117" i="95"/>
  <c r="E1121" i="95"/>
  <c r="E1125" i="95"/>
  <c r="E1129" i="95"/>
  <c r="E1133" i="95"/>
  <c r="E1137" i="95"/>
  <c r="E1141" i="95"/>
  <c r="E1145" i="95"/>
  <c r="E1149" i="95"/>
  <c r="E1153" i="95"/>
  <c r="E1157" i="95"/>
  <c r="E1161" i="95"/>
  <c r="E1165" i="95"/>
  <c r="E1169" i="95"/>
  <c r="E631" i="95"/>
  <c r="E823" i="95"/>
  <c r="E927" i="95"/>
  <c r="E975" i="95"/>
  <c r="E1023" i="95"/>
  <c r="E1072" i="95"/>
  <c r="E1093" i="95"/>
  <c r="E1109" i="95"/>
  <c r="E1119" i="95"/>
  <c r="E1131" i="95"/>
  <c r="E1143" i="95"/>
  <c r="E1155" i="95"/>
  <c r="E1167" i="95"/>
  <c r="E551" i="95"/>
  <c r="E615" i="95"/>
  <c r="E679" i="95"/>
  <c r="E743" i="95"/>
  <c r="E807" i="95"/>
  <c r="E855" i="95"/>
  <c r="E875" i="95"/>
  <c r="E891" i="95"/>
  <c r="E907" i="95"/>
  <c r="E923" i="95"/>
  <c r="E939" i="95"/>
  <c r="E955" i="95"/>
  <c r="E971" i="95"/>
  <c r="E987" i="95"/>
  <c r="E1003" i="95"/>
  <c r="E1019" i="95"/>
  <c r="E1035" i="95"/>
  <c r="E1051" i="95"/>
  <c r="E1067" i="95"/>
  <c r="E1075" i="95"/>
  <c r="E1081" i="95"/>
  <c r="E1084" i="95"/>
  <c r="E1087" i="95"/>
  <c r="E1097" i="95"/>
  <c r="E1100" i="95"/>
  <c r="E1103" i="95"/>
  <c r="E1113" i="95"/>
  <c r="E1116" i="95"/>
  <c r="E1120" i="95"/>
  <c r="E1124" i="95"/>
  <c r="E1128" i="95"/>
  <c r="E1132" i="95"/>
  <c r="E1136" i="95"/>
  <c r="E1140" i="95"/>
  <c r="E1144" i="95"/>
  <c r="E1148" i="95"/>
  <c r="E1152" i="95"/>
  <c r="E1156" i="95"/>
  <c r="E1160" i="95"/>
  <c r="E1164" i="95"/>
  <c r="E1168" i="95"/>
  <c r="E695" i="95"/>
  <c r="E759" i="95"/>
  <c r="E879" i="95"/>
  <c r="E911" i="95"/>
  <c r="E959" i="95"/>
  <c r="E1007" i="95"/>
  <c r="E1055" i="95"/>
  <c r="E1083" i="95"/>
  <c r="E1099" i="95"/>
  <c r="E1115" i="95"/>
  <c r="E1127" i="95"/>
  <c r="E1139" i="95"/>
  <c r="E1151" i="95"/>
  <c r="E1163" i="95"/>
  <c r="E45" i="95"/>
  <c r="E46" i="95"/>
  <c r="E47" i="95"/>
  <c r="E62" i="95"/>
  <c r="E86" i="95"/>
  <c r="E6" i="95"/>
  <c r="F6" i="95" s="1"/>
  <c r="G6" i="95" s="1"/>
  <c r="H6" i="95" s="1"/>
  <c r="I6" i="95" s="1"/>
  <c r="J6" i="95" s="1"/>
  <c r="K6" i="95" s="1"/>
  <c r="L6" i="95" s="1"/>
  <c r="M6" i="95" s="1"/>
  <c r="N6" i="95" s="1"/>
  <c r="O6" i="95" s="1"/>
  <c r="P6" i="95" s="1"/>
  <c r="Q6" i="95" s="1"/>
  <c r="R6" i="95" s="1"/>
  <c r="S6" i="95" s="1"/>
  <c r="E29" i="95"/>
  <c r="E40" i="95"/>
  <c r="E57" i="95"/>
  <c r="E70" i="95"/>
  <c r="E28" i="95"/>
  <c r="E37" i="95"/>
  <c r="E54" i="95"/>
  <c r="E94" i="95"/>
  <c r="E330" i="95"/>
  <c r="E331" i="95"/>
  <c r="E332" i="95"/>
  <c r="E333" i="95"/>
  <c r="E334" i="95"/>
  <c r="E335" i="95"/>
  <c r="E336" i="95"/>
  <c r="E32" i="95"/>
  <c r="E65" i="95"/>
  <c r="E79" i="95"/>
  <c r="E95" i="95"/>
  <c r="E36" i="95"/>
  <c r="E44" i="95"/>
  <c r="E52" i="95"/>
  <c r="E53" i="95"/>
  <c r="E61" i="95"/>
  <c r="E69" i="95"/>
  <c r="E75" i="95"/>
  <c r="E83" i="95"/>
  <c r="E91" i="95"/>
  <c r="E100" i="95"/>
  <c r="E96" i="95"/>
  <c r="E92" i="95"/>
  <c r="E88" i="95"/>
  <c r="E84" i="95"/>
  <c r="E80" i="95"/>
  <c r="E76" i="95"/>
  <c r="E72" i="95"/>
  <c r="E71" i="95"/>
  <c r="E67" i="95"/>
  <c r="E63" i="95"/>
  <c r="E59" i="95"/>
  <c r="E55" i="95"/>
  <c r="E49" i="95"/>
  <c r="E48" i="95"/>
  <c r="E42" i="95"/>
  <c r="E38" i="95"/>
  <c r="E34" i="95"/>
  <c r="E30" i="95"/>
  <c r="E26" i="95"/>
  <c r="E503" i="95"/>
  <c r="E500" i="95"/>
  <c r="E497" i="95"/>
  <c r="E494" i="95"/>
  <c r="E491" i="95"/>
  <c r="E488" i="95"/>
  <c r="E485" i="95"/>
  <c r="E482" i="95"/>
  <c r="E479" i="95"/>
  <c r="E477" i="95"/>
  <c r="E475" i="95"/>
  <c r="E473" i="95"/>
  <c r="E471" i="95"/>
  <c r="E469" i="95"/>
  <c r="E467" i="95"/>
  <c r="E465" i="95"/>
  <c r="E463" i="95"/>
  <c r="E461" i="95"/>
  <c r="E459" i="95"/>
  <c r="E457" i="95"/>
  <c r="E455" i="95"/>
  <c r="E454" i="95"/>
  <c r="E452" i="95"/>
  <c r="E450" i="95"/>
  <c r="E448" i="95"/>
  <c r="E446" i="95"/>
  <c r="E444" i="95"/>
  <c r="E442" i="95"/>
  <c r="E440" i="95"/>
  <c r="E438" i="95"/>
  <c r="E436" i="95"/>
  <c r="E434" i="95"/>
  <c r="E432" i="95"/>
  <c r="E430" i="95"/>
  <c r="E428" i="95"/>
  <c r="E425" i="95"/>
  <c r="E423" i="95"/>
  <c r="E420" i="95"/>
  <c r="E417" i="95"/>
  <c r="E414" i="95"/>
  <c r="E411" i="95"/>
  <c r="E408" i="95"/>
  <c r="E405" i="95"/>
  <c r="E402" i="95"/>
  <c r="E399" i="95"/>
  <c r="E396" i="95"/>
  <c r="E393" i="95"/>
  <c r="E390" i="95"/>
  <c r="E387" i="95"/>
  <c r="E384" i="95"/>
  <c r="E381" i="95"/>
  <c r="E378" i="95"/>
  <c r="E375" i="95"/>
  <c r="E372" i="95"/>
  <c r="E369" i="95"/>
  <c r="E366" i="95"/>
  <c r="E363" i="95"/>
  <c r="E360" i="95"/>
  <c r="E357" i="95"/>
  <c r="E354" i="95"/>
  <c r="E351" i="95"/>
  <c r="E348" i="95"/>
  <c r="E345" i="95"/>
  <c r="E342" i="95"/>
  <c r="E339" i="95"/>
  <c r="E101" i="95"/>
  <c r="E97" i="95"/>
  <c r="E93" i="95"/>
  <c r="E89" i="95"/>
  <c r="E85" i="95"/>
  <c r="E81" i="95"/>
  <c r="E77" i="95"/>
  <c r="E73" i="95"/>
  <c r="E68" i="95"/>
  <c r="E64" i="95"/>
  <c r="E60" i="95"/>
  <c r="E56" i="95"/>
  <c r="E51" i="95"/>
  <c r="E50" i="95"/>
  <c r="E43" i="95"/>
  <c r="E39" i="95"/>
  <c r="E35" i="95"/>
  <c r="E31" i="95"/>
  <c r="E27" i="95"/>
  <c r="E506" i="95"/>
  <c r="E499" i="95"/>
  <c r="E496" i="95"/>
  <c r="E493" i="95"/>
  <c r="E490" i="95"/>
  <c r="E487" i="95"/>
  <c r="E484" i="95"/>
  <c r="E481" i="95"/>
  <c r="E427" i="95"/>
  <c r="E421" i="95"/>
  <c r="E418" i="95"/>
  <c r="E415" i="95"/>
  <c r="E412" i="95"/>
  <c r="E409" i="95"/>
  <c r="E406" i="95"/>
  <c r="E403" i="95"/>
  <c r="E400" i="95"/>
  <c r="E397" i="95"/>
  <c r="E394" i="95"/>
  <c r="E391" i="95"/>
  <c r="E388" i="95"/>
  <c r="E385" i="95"/>
  <c r="E382" i="95"/>
  <c r="E379" i="95"/>
  <c r="E376" i="95"/>
  <c r="E373" i="95"/>
  <c r="E370" i="95"/>
  <c r="E367" i="95"/>
  <c r="E364" i="95"/>
  <c r="E361" i="95"/>
  <c r="E358" i="95"/>
  <c r="E355" i="95"/>
  <c r="E352" i="95"/>
  <c r="E349" i="95"/>
  <c r="E346" i="95"/>
  <c r="E343" i="95"/>
  <c r="E340" i="95"/>
  <c r="E337" i="95"/>
  <c r="E524" i="95"/>
  <c r="E523" i="95"/>
  <c r="E522" i="95"/>
  <c r="E521" i="95"/>
  <c r="E520" i="95"/>
  <c r="E519" i="95"/>
  <c r="E518" i="95"/>
  <c r="E517" i="95"/>
  <c r="E516" i="95"/>
  <c r="E515" i="95"/>
  <c r="E514" i="95"/>
  <c r="E513" i="95"/>
  <c r="E512" i="95"/>
  <c r="E511" i="95"/>
  <c r="E510" i="95"/>
  <c r="E509" i="95"/>
  <c r="E508" i="95"/>
  <c r="E507" i="95"/>
  <c r="E505" i="95"/>
  <c r="E504" i="95"/>
  <c r="E502" i="95"/>
  <c r="E501" i="95"/>
  <c r="E498" i="95"/>
  <c r="E495" i="95"/>
  <c r="E492" i="95"/>
  <c r="E489" i="95"/>
  <c r="E486" i="95"/>
  <c r="E483" i="95"/>
  <c r="E480" i="95"/>
  <c r="E478" i="95"/>
  <c r="E476" i="95"/>
  <c r="E474" i="95"/>
  <c r="E472" i="95"/>
  <c r="E470" i="95"/>
  <c r="E468" i="95"/>
  <c r="E466" i="95"/>
  <c r="E464" i="95"/>
  <c r="E462" i="95"/>
  <c r="E460" i="95"/>
  <c r="E458" i="95"/>
  <c r="E456" i="95"/>
  <c r="E453" i="95"/>
  <c r="E451" i="95"/>
  <c r="E449" i="95"/>
  <c r="E447" i="95"/>
  <c r="E445" i="95"/>
  <c r="E443" i="95"/>
  <c r="E441" i="95"/>
  <c r="E439" i="95"/>
  <c r="E437" i="95"/>
  <c r="E435" i="95"/>
  <c r="E433" i="95"/>
  <c r="E431" i="95"/>
  <c r="E429" i="95"/>
  <c r="E426" i="95"/>
  <c r="E424" i="95"/>
  <c r="E422" i="95"/>
  <c r="E419" i="95"/>
  <c r="E416" i="95"/>
  <c r="E413" i="95"/>
  <c r="E410" i="95"/>
  <c r="E407" i="95"/>
  <c r="E404" i="95"/>
  <c r="E401" i="95"/>
  <c r="E398" i="95"/>
  <c r="E395" i="95"/>
  <c r="E392" i="95"/>
  <c r="E389" i="95"/>
  <c r="E386" i="95"/>
  <c r="E383" i="95"/>
  <c r="E380" i="95"/>
  <c r="E377" i="95"/>
  <c r="E374" i="95"/>
  <c r="E371" i="95"/>
  <c r="E368" i="95"/>
  <c r="E365" i="95"/>
  <c r="E362" i="95"/>
  <c r="E359" i="95"/>
  <c r="E356" i="95"/>
  <c r="E353" i="95"/>
  <c r="E350" i="95"/>
  <c r="E347" i="95"/>
  <c r="E344" i="95"/>
  <c r="E341" i="95"/>
  <c r="E338" i="95"/>
  <c r="E25" i="95"/>
  <c r="E33" i="95"/>
  <c r="E41" i="95"/>
  <c r="E58" i="95"/>
  <c r="E66" i="95"/>
  <c r="E74" i="95"/>
  <c r="E82" i="95"/>
  <c r="E90" i="95"/>
  <c r="E98" i="95"/>
  <c r="C57" i="95"/>
  <c r="C59" i="95"/>
  <c r="C61" i="95"/>
  <c r="C63" i="95"/>
  <c r="C55" i="95"/>
  <c r="C28" i="95"/>
  <c r="C36" i="95"/>
  <c r="C44" i="95"/>
  <c r="C48" i="95"/>
  <c r="C50" i="95"/>
  <c r="C52" i="95"/>
  <c r="C54" i="95"/>
  <c r="C56" i="95"/>
  <c r="C58" i="95"/>
  <c r="C60" i="95"/>
  <c r="C62" i="95"/>
  <c r="C30" i="95"/>
  <c r="C38" i="95"/>
  <c r="C101" i="95"/>
  <c r="C96" i="95"/>
  <c r="C87" i="95"/>
  <c r="C85" i="95"/>
  <c r="C80" i="95"/>
  <c r="C71" i="95"/>
  <c r="C67" i="95"/>
  <c r="C97" i="95"/>
  <c r="C81" i="95"/>
  <c r="C95" i="95"/>
  <c r="C88" i="95"/>
  <c r="C77" i="95"/>
  <c r="C65" i="95"/>
  <c r="C93" i="95"/>
  <c r="C79" i="95"/>
  <c r="C69" i="95"/>
  <c r="C89" i="95"/>
  <c r="C73" i="95"/>
  <c r="D2" i="95"/>
  <c r="C34" i="95"/>
  <c r="C26" i="95"/>
  <c r="B22" i="95"/>
  <c r="C42" i="95"/>
  <c r="C32" i="95"/>
  <c r="C40" i="95"/>
  <c r="C70" i="95"/>
  <c r="C25" i="95"/>
  <c r="C29" i="95"/>
  <c r="C33" i="95"/>
  <c r="C37" i="95"/>
  <c r="C41" i="95"/>
  <c r="C45" i="95"/>
  <c r="C66" i="95"/>
  <c r="C75" i="95"/>
  <c r="C82" i="95"/>
  <c r="C84" i="95"/>
  <c r="C91" i="95"/>
  <c r="C98" i="95"/>
  <c r="C100" i="95"/>
  <c r="C86" i="95"/>
  <c r="C102" i="95"/>
  <c r="C27" i="95"/>
  <c r="C31" i="95"/>
  <c r="C35" i="95"/>
  <c r="C39" i="95"/>
  <c r="C43" i="95"/>
  <c r="C64" i="95"/>
  <c r="C68" i="95"/>
  <c r="C74" i="95"/>
  <c r="C76" i="95"/>
  <c r="C83" i="95"/>
  <c r="C90" i="95"/>
  <c r="C92" i="95"/>
  <c r="C99" i="95"/>
  <c r="C78" i="95"/>
  <c r="C94" i="95"/>
  <c r="Y6" i="1"/>
  <c r="Y7" i="1" s="1"/>
  <c r="C29" i="35" s="1"/>
  <c r="C37" i="21"/>
  <c r="N7" i="1"/>
  <c r="H52" i="87"/>
  <c r="E61" i="87"/>
  <c r="B59" i="87" s="1"/>
  <c r="H67" i="87"/>
  <c r="N3" i="87"/>
  <c r="N32" i="87"/>
  <c r="E44" i="87"/>
  <c r="H50" i="87"/>
  <c r="H53" i="87"/>
  <c r="H56" i="87"/>
  <c r="H64" i="87"/>
  <c r="H90" i="87"/>
  <c r="M5" i="87"/>
  <c r="O32" i="87"/>
  <c r="D78" i="87"/>
  <c r="H87" i="87"/>
  <c r="C21" i="88"/>
  <c r="C40" i="88"/>
  <c r="H116" i="87"/>
  <c r="F41" i="87"/>
  <c r="F39" i="87"/>
  <c r="L21" i="87"/>
  <c r="H21" i="87"/>
  <c r="C21" i="87"/>
  <c r="O21" i="87"/>
  <c r="K21" i="87"/>
  <c r="S5" i="87"/>
  <c r="S3" i="87"/>
  <c r="F42" i="87"/>
  <c r="F40" i="87"/>
  <c r="F38" i="87"/>
  <c r="F37" i="87"/>
  <c r="N21" i="87"/>
  <c r="J21" i="87"/>
  <c r="S4" i="87"/>
  <c r="N5" i="87"/>
  <c r="M7" i="87"/>
  <c r="C6" i="87" s="1"/>
  <c r="E10" i="87"/>
  <c r="D21" i="87"/>
  <c r="E83" i="87"/>
  <c r="B81" i="87" s="1"/>
  <c r="E93" i="87"/>
  <c r="B91" i="87" s="1"/>
  <c r="X7" i="87"/>
  <c r="N10" i="87"/>
  <c r="M10" i="87"/>
  <c r="N9" i="87"/>
  <c r="M6" i="87"/>
  <c r="N4" i="87"/>
  <c r="N2" i="87"/>
  <c r="N6" i="87"/>
  <c r="M1" i="87"/>
  <c r="M2" i="87"/>
  <c r="F26" i="87"/>
  <c r="J26" i="87"/>
  <c r="E26" i="87"/>
  <c r="H26" i="87"/>
  <c r="S6" i="87"/>
  <c r="N7" i="87"/>
  <c r="F72" i="87" s="1"/>
  <c r="M8" i="87"/>
  <c r="N12" i="87"/>
  <c r="I21" i="87"/>
  <c r="N1" i="87"/>
  <c r="S2" i="87"/>
  <c r="M3" i="87"/>
  <c r="M4" i="87"/>
  <c r="N8" i="87"/>
  <c r="M9" i="87"/>
  <c r="M11" i="87"/>
  <c r="M21" i="87"/>
  <c r="G26" i="87"/>
  <c r="H101" i="87"/>
  <c r="H95" i="87"/>
  <c r="H98" i="87"/>
  <c r="H99" i="87"/>
  <c r="H96" i="87"/>
  <c r="H93" i="87"/>
  <c r="H100" i="87"/>
  <c r="E11" i="87"/>
  <c r="E8" i="87"/>
  <c r="N11" i="87"/>
  <c r="C27" i="87"/>
  <c r="E50" i="87"/>
  <c r="B48" i="87" s="1"/>
  <c r="J74" i="87"/>
  <c r="D74" i="87"/>
  <c r="D75" i="87"/>
  <c r="J80" i="87"/>
  <c r="D80" i="87"/>
  <c r="E72" i="87" s="1"/>
  <c r="B70" i="87" s="1"/>
  <c r="C28" i="87" s="1"/>
  <c r="H94" i="87"/>
  <c r="H97" i="87"/>
  <c r="B116" i="87"/>
  <c r="H66" i="87"/>
  <c r="H86" i="87"/>
  <c r="H89" i="87"/>
  <c r="P32" i="87"/>
  <c r="H58" i="87"/>
  <c r="H63" i="87"/>
  <c r="H69" i="87"/>
  <c r="H85" i="87"/>
  <c r="M32" i="87"/>
  <c r="H51" i="87"/>
  <c r="H54" i="87"/>
  <c r="H62" i="87"/>
  <c r="H65" i="87"/>
  <c r="H84" i="87"/>
  <c r="C18" i="85"/>
  <c r="D18" i="85" s="1"/>
  <c r="C92" i="85"/>
  <c r="C94" i="85"/>
  <c r="D121" i="85"/>
  <c r="K120" i="85"/>
  <c r="H111" i="85"/>
  <c r="D126" i="85" s="1"/>
  <c r="D127" i="85" s="1"/>
  <c r="A126" i="85"/>
  <c r="H109" i="85"/>
  <c r="D24" i="83"/>
  <c r="P61" i="83"/>
  <c r="D22" i="83"/>
  <c r="I12" i="79"/>
  <c r="E37" i="21" l="1"/>
  <c r="I37" i="21"/>
  <c r="G37" i="21"/>
  <c r="C7" i="87"/>
  <c r="I29" i="35"/>
  <c r="G29" i="35"/>
  <c r="E29" i="35"/>
  <c r="H77" i="87"/>
  <c r="H73" i="87"/>
  <c r="H80" i="87"/>
  <c r="H74" i="87"/>
  <c r="H78" i="87"/>
  <c r="H75" i="87"/>
  <c r="H79" i="87"/>
  <c r="H76" i="87"/>
  <c r="H72" i="87"/>
  <c r="C5" i="87"/>
  <c r="D5" i="87"/>
  <c r="I122" i="87"/>
  <c r="J122" i="87" s="1"/>
  <c r="K122" i="87" s="1"/>
  <c r="L122" i="87" s="1"/>
  <c r="M122" i="87" s="1"/>
  <c r="I121" i="87"/>
  <c r="J121" i="87" s="1"/>
  <c r="K121" i="87" s="1"/>
  <c r="L121" i="87" s="1"/>
  <c r="M121" i="87" s="1"/>
  <c r="I120" i="87"/>
  <c r="J120" i="87" s="1"/>
  <c r="K120" i="87" s="1"/>
  <c r="L120" i="87" s="1"/>
  <c r="M120" i="87" s="1"/>
  <c r="I119" i="87"/>
  <c r="J119" i="87" s="1"/>
  <c r="K119" i="87" s="1"/>
  <c r="L119" i="87" s="1"/>
  <c r="M119" i="87" s="1"/>
  <c r="I118" i="87"/>
  <c r="J118" i="87" s="1"/>
  <c r="K118" i="87" s="1"/>
  <c r="L118" i="87" s="1"/>
  <c r="M118" i="87" s="1"/>
  <c r="D122" i="87"/>
  <c r="E122" i="87" s="1"/>
  <c r="F122" i="87" s="1"/>
  <c r="G122" i="87" s="1"/>
  <c r="H122" i="87" s="1"/>
  <c r="D121" i="87"/>
  <c r="E121" i="87" s="1"/>
  <c r="F121" i="87" s="1"/>
  <c r="D120" i="87"/>
  <c r="E120" i="87" s="1"/>
  <c r="F120" i="87" s="1"/>
  <c r="G120" i="87" s="1"/>
  <c r="H120" i="87" s="1"/>
  <c r="D119" i="87"/>
  <c r="E119" i="87" s="1"/>
  <c r="F119" i="87" s="1"/>
  <c r="G119" i="87" s="1"/>
  <c r="H119" i="87" s="1"/>
  <c r="D118" i="87"/>
  <c r="E118" i="87" s="1"/>
  <c r="F118" i="87" s="1"/>
  <c r="G118" i="87" s="1"/>
  <c r="H118" i="87" s="1"/>
  <c r="G121" i="87"/>
  <c r="H121" i="87" s="1"/>
  <c r="B120" i="87"/>
  <c r="C120" i="87" s="1"/>
  <c r="B121" i="87"/>
  <c r="C121" i="87" s="1"/>
  <c r="B122" i="87"/>
  <c r="C122" i="87" s="1"/>
  <c r="B118" i="87"/>
  <c r="C118" i="87" s="1"/>
  <c r="B119" i="87"/>
  <c r="C119" i="87" s="1"/>
  <c r="D26" i="87"/>
  <c r="C25" i="87" s="1"/>
  <c r="G21" i="87"/>
  <c r="D124" i="85"/>
  <c r="D125" i="85" s="1"/>
  <c r="H110" i="85"/>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D116" i="87"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E21" i="87"/>
  <c r="AR40" i="79"/>
  <c r="AR41" i="79" s="1"/>
  <c r="AR42" i="79" s="1"/>
  <c r="AR43" i="79" s="1"/>
  <c r="AR44" i="79" s="1"/>
  <c r="AR45" i="79" s="1"/>
  <c r="AR46" i="79" s="1"/>
  <c r="AR47" i="79" s="1"/>
  <c r="AR48" i="79" s="1"/>
  <c r="AR49" i="79" s="1"/>
  <c r="AR50" i="79" s="1"/>
  <c r="AR51" i="79" s="1"/>
  <c r="AR52" i="79" s="1"/>
  <c r="AD38" i="79"/>
  <c r="AD37" i="79"/>
  <c r="AD36" i="79"/>
  <c r="Z3" i="79"/>
  <c r="AA31" i="79"/>
  <c r="AD31" i="79" s="1"/>
  <c r="AR18" i="79"/>
  <c r="AR19" i="79" s="1"/>
  <c r="AR20" i="79" s="1"/>
  <c r="AR21" i="79" s="1"/>
  <c r="AR22" i="79" s="1"/>
  <c r="AR23" i="79" s="1"/>
  <c r="AR24" i="79" s="1"/>
  <c r="T33" i="79"/>
  <c r="T34" i="79"/>
  <c r="T35" i="79"/>
  <c r="W22" i="79"/>
  <c r="AK22" i="79" s="1"/>
  <c r="AH22" i="79"/>
  <c r="S35" i="79"/>
  <c r="AG35" i="79" s="1"/>
  <c r="S34" i="79"/>
  <c r="AG34" i="79" s="1"/>
  <c r="S33" i="79"/>
  <c r="AG33" i="79" s="1"/>
  <c r="T40" i="79"/>
  <c r="U46" i="79"/>
  <c r="AI46" i="79" s="1"/>
  <c r="AD47" i="79"/>
  <c r="S48" i="79"/>
  <c r="AG48" i="79" s="1"/>
  <c r="U50" i="79"/>
  <c r="AI50" i="79" s="1"/>
  <c r="AD51" i="79"/>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0" i="79"/>
  <c r="AK10" i="79" s="1"/>
  <c r="AH10" i="79"/>
  <c r="W18" i="79"/>
  <c r="AK18" i="79" s="1"/>
  <c r="AH18" i="79"/>
  <c r="W20" i="79"/>
  <c r="AK20" i="79" s="1"/>
  <c r="AH20" i="79"/>
  <c r="W35" i="79"/>
  <c r="AK35" i="79" s="1"/>
  <c r="AH35" i="79"/>
  <c r="W15" i="79"/>
  <c r="AK15" i="79" s="1"/>
  <c r="AH15" i="79"/>
  <c r="W13" i="79"/>
  <c r="AK13" i="79" s="1"/>
  <c r="AH13" i="79"/>
  <c r="W48" i="79"/>
  <c r="AK48" i="79" s="1"/>
  <c r="AH48" i="79"/>
  <c r="W49" i="79"/>
  <c r="AK49" i="79" s="1"/>
  <c r="AH49" i="79"/>
  <c r="W43" i="79"/>
  <c r="AK43" i="79" s="1"/>
  <c r="AH43" i="79"/>
  <c r="W38" i="79"/>
  <c r="AK38" i="79" s="1"/>
  <c r="AH38" i="79"/>
  <c r="W40" i="79"/>
  <c r="AK40" i="79" s="1"/>
  <c r="AH40" i="79"/>
  <c r="W33" i="79"/>
  <c r="AK33" i="79" s="1"/>
  <c r="AH33" i="79"/>
  <c r="W23" i="79"/>
  <c r="AK23" i="79" s="1"/>
  <c r="AH23" i="79"/>
  <c r="W12" i="79"/>
  <c r="AK12" i="79" s="1"/>
  <c r="AH12" i="79"/>
  <c r="W21" i="79"/>
  <c r="AK21" i="79" s="1"/>
  <c r="AH21" i="79"/>
  <c r="W47" i="79"/>
  <c r="AK47" i="79" s="1"/>
  <c r="AH47" i="79"/>
  <c r="W45" i="79"/>
  <c r="AK45" i="79" s="1"/>
  <c r="AH45" i="79"/>
  <c r="W11" i="79"/>
  <c r="AK11" i="79" s="1"/>
  <c r="AH11" i="79"/>
  <c r="W39" i="79"/>
  <c r="AK39" i="79" s="1"/>
  <c r="W17" i="79"/>
  <c r="AK17" i="79" s="1"/>
  <c r="AH17"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C87"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s="1"/>
  <c r="B67" i="71"/>
  <c r="N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8" i="71" s="1"/>
  <c r="Q38" i="71"/>
  <c r="P38" i="71"/>
  <c r="AA38" i="71" s="1"/>
  <c r="O38" i="71"/>
  <c r="N38" i="71"/>
  <c r="Q37" i="71"/>
  <c r="P37" i="71"/>
  <c r="AA37" i="71" s="1"/>
  <c r="O37" i="71"/>
  <c r="C38" i="71" s="1"/>
  <c r="D38" i="71" s="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D33" i="71"/>
  <c r="Q32" i="71"/>
  <c r="AB32" i="71" s="1"/>
  <c r="P32" i="71"/>
  <c r="O32" i="71"/>
  <c r="N32" i="71"/>
  <c r="Q31" i="71"/>
  <c r="P31" i="71"/>
  <c r="O31" i="71"/>
  <c r="N31" i="71"/>
  <c r="Q30" i="71"/>
  <c r="P30" i="71"/>
  <c r="O30" i="71"/>
  <c r="N30" i="71"/>
  <c r="Q29" i="71"/>
  <c r="F30" i="71" s="1"/>
  <c r="P29" i="71"/>
  <c r="O29" i="71"/>
  <c r="N29" i="71"/>
  <c r="D29" i="71"/>
  <c r="O28" i="71"/>
  <c r="C28" i="71" s="1"/>
  <c r="N28" i="71"/>
  <c r="X26" i="71" s="1"/>
  <c r="B30" i="71"/>
  <c r="B31" i="71" s="1"/>
  <c r="B32" i="71" s="1"/>
  <c r="S32" i="71" s="1"/>
  <c r="E30" i="71"/>
  <c r="E31" i="71" s="1"/>
  <c r="E32" i="71" s="1"/>
  <c r="U32" i="71" s="1"/>
  <c r="B34" i="71"/>
  <c r="B35" i="71" s="1"/>
  <c r="B36" i="71" s="1"/>
  <c r="S36" i="71" s="1"/>
  <c r="B39" i="71"/>
  <c r="B40" i="71" s="1"/>
  <c r="S40" i="71" s="1"/>
  <c r="N68" i="71"/>
  <c r="C30" i="71"/>
  <c r="C35" i="71"/>
  <c r="Y25" i="71"/>
  <c r="Z25" i="71" s="1"/>
  <c r="D30" i="71"/>
  <c r="C43" i="71"/>
  <c r="C44" i="71" s="1"/>
  <c r="D44" i="71" s="1"/>
  <c r="P28" i="71"/>
  <c r="E28" i="71" s="1"/>
  <c r="Q28" i="71"/>
  <c r="C59" i="71"/>
  <c r="C60" i="71" s="1"/>
  <c r="D58" i="71"/>
  <c r="D62" i="71"/>
  <c r="D68" i="71"/>
  <c r="Q68" i="71"/>
  <c r="E71" i="71"/>
  <c r="E70" i="71" s="1"/>
  <c r="E75" i="71"/>
  <c r="E74" i="71" s="1"/>
  <c r="E79" i="71"/>
  <c r="E78" i="71" s="1"/>
  <c r="D80" i="71"/>
  <c r="F28" i="71"/>
  <c r="F27" i="71" s="1"/>
  <c r="F26" i="71" s="1"/>
  <c r="D59" i="71"/>
  <c r="T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D83" i="21"/>
  <c r="F21" i="21"/>
  <c r="AA21" i="21" s="1"/>
  <c r="D81" i="21"/>
  <c r="G20" i="20"/>
  <c r="C22" i="20"/>
  <c r="B77" i="43"/>
  <c r="B57" i="43"/>
  <c r="B68" i="43"/>
  <c r="C29" i="39"/>
  <c r="S25" i="40"/>
  <c r="S18" i="36"/>
  <c r="S21" i="34"/>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U25" i="40"/>
  <c r="W18" i="36"/>
  <c r="S21" i="37"/>
  <c r="J21" i="37"/>
  <c r="W21" i="37" s="1"/>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A4" i="52" s="1"/>
  <c r="B4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03" i="31"/>
  <c r="R104" i="31"/>
  <c r="R105" i="31"/>
  <c r="R106" i="31"/>
  <c r="S106" i="31" s="1"/>
  <c r="R107" i="31"/>
  <c r="S107" i="31" s="1"/>
  <c r="R108" i="31"/>
  <c r="S108" i="31" s="1"/>
  <c r="R109" i="31"/>
  <c r="R110" i="31"/>
  <c r="S110" i="31" s="1"/>
  <c r="R111" i="31"/>
  <c r="S111" i="31" s="1"/>
  <c r="R112" i="31"/>
  <c r="S112" i="31" s="1"/>
  <c r="R113" i="31"/>
  <c r="R114" i="31"/>
  <c r="S114" i="31" s="1"/>
  <c r="R115" i="31"/>
  <c r="S115" i="31" s="1"/>
  <c r="R116" i="3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R133" i="31"/>
  <c r="R134" i="31"/>
  <c r="S134" i="31" s="1"/>
  <c r="R135" i="31"/>
  <c r="S135" i="31" s="1"/>
  <c r="R136" i="31"/>
  <c r="S136" i="31" s="1"/>
  <c r="R137" i="31"/>
  <c r="R138" i="31"/>
  <c r="S138" i="31" s="1"/>
  <c r="R139" i="31"/>
  <c r="S139" i="31" s="1"/>
  <c r="R140" i="31"/>
  <c r="R141" i="31"/>
  <c r="R142" i="31"/>
  <c r="S142" i="31" s="1"/>
  <c r="R143" i="31"/>
  <c r="S143" i="31" s="1"/>
  <c r="R144" i="31"/>
  <c r="S144" i="31" s="1"/>
  <c r="R145" i="31"/>
  <c r="R146" i="31"/>
  <c r="S146" i="31" s="1"/>
  <c r="R147" i="3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R169" i="31"/>
  <c r="R170" i="31"/>
  <c r="S170" i="31" s="1"/>
  <c r="R171" i="31"/>
  <c r="S171" i="31" s="1"/>
  <c r="R172" i="31"/>
  <c r="S172" i="31" s="1"/>
  <c r="R173" i="31"/>
  <c r="R174" i="31"/>
  <c r="S174" i="31" s="1"/>
  <c r="R175" i="31"/>
  <c r="S175" i="31" s="1"/>
  <c r="R176" i="31"/>
  <c r="R177" i="31"/>
  <c r="R178" i="31"/>
  <c r="S178" i="31" s="1"/>
  <c r="R179" i="3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R197" i="31"/>
  <c r="R198" i="31"/>
  <c r="S198" i="31" s="1"/>
  <c r="R199" i="31"/>
  <c r="S199" i="31" s="1"/>
  <c r="R200" i="31"/>
  <c r="S200" i="31" s="1"/>
  <c r="R201" i="31"/>
  <c r="R202" i="31"/>
  <c r="S202" i="31" s="1"/>
  <c r="R203" i="31"/>
  <c r="S203" i="31" s="1"/>
  <c r="R204" i="31"/>
  <c r="R205" i="31"/>
  <c r="R206" i="31"/>
  <c r="S206" i="31" s="1"/>
  <c r="R207" i="31"/>
  <c r="S207" i="31" s="1"/>
  <c r="R208" i="31"/>
  <c r="S208" i="31" s="1"/>
  <c r="R209" i="31"/>
  <c r="R210" i="31"/>
  <c r="S210" i="31" s="1"/>
  <c r="R211" i="3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R227" i="31"/>
  <c r="S227" i="31" s="1"/>
  <c r="R228" i="31"/>
  <c r="S228" i="31" s="1"/>
  <c r="R229" i="31"/>
  <c r="R230" i="31"/>
  <c r="S230" i="31" s="1"/>
  <c r="R231" i="31"/>
  <c r="S231" i="31" s="1"/>
  <c r="R232" i="3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S427" i="31" s="1"/>
  <c r="R428" i="31"/>
  <c r="R429" i="31"/>
  <c r="R430" i="31"/>
  <c r="S430" i="31" s="1"/>
  <c r="R431" i="31"/>
  <c r="S431" i="31" s="1"/>
  <c r="R432" i="3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R460" i="31"/>
  <c r="R461" i="31"/>
  <c r="R462" i="31"/>
  <c r="S462" i="31" s="1"/>
  <c r="R463" i="31"/>
  <c r="S463" i="31" s="1"/>
  <c r="R464" i="31"/>
  <c r="S464" i="31" s="1"/>
  <c r="R465" i="31"/>
  <c r="R466" i="31"/>
  <c r="S466" i="31" s="1"/>
  <c r="R467" i="31"/>
  <c r="S467" i="31" s="1"/>
  <c r="R468" i="3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R485" i="31"/>
  <c r="R486" i="31"/>
  <c r="R487" i="31"/>
  <c r="S487" i="31" s="1"/>
  <c r="R488" i="31"/>
  <c r="S488" i="31" s="1"/>
  <c r="R489" i="31"/>
  <c r="R490" i="31"/>
  <c r="S490" i="31" s="1"/>
  <c r="R491" i="31"/>
  <c r="S491" i="31" s="1"/>
  <c r="R492" i="31"/>
  <c r="S492" i="31" s="1"/>
  <c r="R493" i="31"/>
  <c r="R494" i="31"/>
  <c r="R495" i="31"/>
  <c r="S495" i="31" s="1"/>
  <c r="R496" i="31"/>
  <c r="S496" i="31" s="1"/>
  <c r="R497" i="31"/>
  <c r="R498" i="31"/>
  <c r="S498" i="31" s="1"/>
  <c r="R499" i="31"/>
  <c r="S499" i="31" s="1"/>
  <c r="R500" i="31"/>
  <c r="R501" i="31"/>
  <c r="R502" i="31"/>
  <c r="S502" i="31" s="1"/>
  <c r="R503" i="31"/>
  <c r="S503" i="31" s="1"/>
  <c r="R504" i="31"/>
  <c r="S504" i="31" s="1"/>
  <c r="R505" i="31"/>
  <c r="R506" i="31"/>
  <c r="S506" i="31" s="1"/>
  <c r="R507" i="31"/>
  <c r="S507" i="31" s="1"/>
  <c r="R508" i="31"/>
  <c r="R509" i="31"/>
  <c r="R510" i="31"/>
  <c r="S510" i="31" s="1"/>
  <c r="R511" i="31"/>
  <c r="S511" i="31" s="1"/>
  <c r="R512" i="31"/>
  <c r="S512" i="31" s="1"/>
  <c r="R513" i="31"/>
  <c r="R514" i="31"/>
  <c r="S514" i="31" s="1"/>
  <c r="R515" i="31"/>
  <c r="S515" i="31" s="1"/>
  <c r="R516" i="31"/>
  <c r="S516" i="31" s="1"/>
  <c r="R517" i="31"/>
  <c r="R518" i="31"/>
  <c r="R519" i="31"/>
  <c r="S519" i="31" s="1"/>
  <c r="R520" i="31"/>
  <c r="S520" i="31" s="1"/>
  <c r="R521" i="31"/>
  <c r="R522" i="31"/>
  <c r="S522" i="31" s="1"/>
  <c r="R523" i="31"/>
  <c r="S523" i="31" s="1"/>
  <c r="R524" i="31"/>
  <c r="C46" i="31"/>
  <c r="C7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C15" i="4"/>
  <c r="F6" i="1" s="1"/>
  <c r="I24" i="87" s="1"/>
  <c r="C24" i="87"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88" s="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04" i="31"/>
  <c r="S388" i="31"/>
  <c r="S372" i="31"/>
  <c r="S356" i="31"/>
  <c r="S340" i="31"/>
  <c r="S324" i="31"/>
  <c r="S318" i="31"/>
  <c r="S316" i="31"/>
  <c r="S304" i="31"/>
  <c r="S284" i="31"/>
  <c r="S278" i="31"/>
  <c r="S272" i="31"/>
  <c r="S253" i="31"/>
  <c r="S249" i="31"/>
  <c r="S248" i="31"/>
  <c r="S245" i="31"/>
  <c r="S241" i="31"/>
  <c r="S237" i="31"/>
  <c r="S233" i="31"/>
  <c r="S232" i="31"/>
  <c r="S229" i="31"/>
  <c r="S226" i="31"/>
  <c r="S225" i="31"/>
  <c r="S429" i="31"/>
  <c r="S428" i="31"/>
  <c r="S425" i="31"/>
  <c r="S221" i="31"/>
  <c r="S217" i="31"/>
  <c r="S213" i="31"/>
  <c r="S211" i="31"/>
  <c r="S209" i="31"/>
  <c r="S205" i="31"/>
  <c r="S204" i="31"/>
  <c r="S201" i="31"/>
  <c r="S197" i="31"/>
  <c r="S196" i="31"/>
  <c r="S193" i="31"/>
  <c r="S189" i="31"/>
  <c r="S185" i="31"/>
  <c r="S181" i="31"/>
  <c r="S179" i="31"/>
  <c r="S177" i="31"/>
  <c r="S176" i="31"/>
  <c r="S173" i="31"/>
  <c r="S169" i="31"/>
  <c r="S168" i="31"/>
  <c r="S165" i="31"/>
  <c r="S161" i="31"/>
  <c r="S157" i="31"/>
  <c r="S153" i="31"/>
  <c r="S149" i="31"/>
  <c r="S147" i="31"/>
  <c r="S145" i="31"/>
  <c r="S141" i="31"/>
  <c r="S140" i="31"/>
  <c r="S137" i="31"/>
  <c r="S133" i="31"/>
  <c r="S132" i="31"/>
  <c r="S129" i="31"/>
  <c r="S125" i="31"/>
  <c r="S497" i="31"/>
  <c r="S494" i="31"/>
  <c r="S493" i="31"/>
  <c r="S489" i="31"/>
  <c r="S486" i="31"/>
  <c r="S485" i="31"/>
  <c r="S484" i="31"/>
  <c r="S481" i="31"/>
  <c r="S477" i="31"/>
  <c r="S473" i="31"/>
  <c r="S469" i="31"/>
  <c r="S468" i="31"/>
  <c r="S441" i="31"/>
  <c r="S437" i="31"/>
  <c r="S433" i="31"/>
  <c r="S432" i="31"/>
  <c r="S121" i="31"/>
  <c r="S117" i="31"/>
  <c r="S116" i="31"/>
  <c r="S113" i="31"/>
  <c r="S500" i="31"/>
  <c r="S465" i="31"/>
  <c r="S461" i="31"/>
  <c r="S460" i="31"/>
  <c r="S459" i="31"/>
  <c r="S457" i="31"/>
  <c r="S453" i="31"/>
  <c r="S103" i="31"/>
  <c r="S104" i="31"/>
  <c r="S105" i="31"/>
  <c r="S109" i="31"/>
  <c r="S445" i="31"/>
  <c r="S449" i="31"/>
  <c r="S508" i="31"/>
  <c r="S509"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7" i="31"/>
  <c r="S518" i="31"/>
  <c r="S521"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AC28" i="36" s="1"/>
  <c r="Q27" i="36"/>
  <c r="Z27" i="36" s="1"/>
  <c r="Q26" i="36"/>
  <c r="Z26" i="36" s="1"/>
  <c r="H26" i="36"/>
  <c r="AB26" i="36" s="1"/>
  <c r="Q25" i="36"/>
  <c r="Z25" i="36" s="1"/>
  <c r="Q24" i="36"/>
  <c r="Z24" i="36"/>
  <c r="Q23" i="36"/>
  <c r="Z23" i="36"/>
  <c r="AB23" i="36"/>
  <c r="F23" i="36"/>
  <c r="AA23" i="36"/>
  <c r="Q22" i="36"/>
  <c r="Z22" i="36" s="1"/>
  <c r="J22" i="36"/>
  <c r="AC22" i="36" s="1"/>
  <c r="Q20" i="36"/>
  <c r="Z20" i="36" s="1"/>
  <c r="Q16" i="36"/>
  <c r="Z16" i="36"/>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F25" i="35" s="1"/>
  <c r="B75" i="35"/>
  <c r="J24" i="35" s="1"/>
  <c r="AC24" i="35" s="1"/>
  <c r="B73" i="35"/>
  <c r="J23" i="35" s="1"/>
  <c r="AC23" i="35" s="1"/>
  <c r="H23" i="35"/>
  <c r="U23" i="35" s="1"/>
  <c r="B57" i="35"/>
  <c r="J11" i="35" s="1"/>
  <c r="B61" i="35"/>
  <c r="B59" i="35"/>
  <c r="F12" i="35" s="1"/>
  <c r="B131" i="34"/>
  <c r="B129" i="34"/>
  <c r="H46" i="34" s="1"/>
  <c r="B127" i="34"/>
  <c r="B99" i="34"/>
  <c r="B97" i="34"/>
  <c r="B95" i="34"/>
  <c r="J30" i="34" s="1"/>
  <c r="B93" i="34"/>
  <c r="B75" i="34"/>
  <c r="B73" i="34"/>
  <c r="B71" i="34"/>
  <c r="J12" i="34" s="1"/>
  <c r="W12" i="34" s="1"/>
  <c r="B130" i="33"/>
  <c r="B128" i="33"/>
  <c r="B126" i="33"/>
  <c r="B98" i="33"/>
  <c r="J31" i="33" s="1"/>
  <c r="B96" i="33"/>
  <c r="B94" i="33"/>
  <c r="B74" i="33"/>
  <c r="B72" i="33"/>
  <c r="J13" i="33" s="1"/>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H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s="1"/>
  <c r="J42" i="33"/>
  <c r="AC42" i="33" s="1"/>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Q11" i="33"/>
  <c r="Z11" i="33" s="1"/>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B90" i="87" s="1"/>
  <c r="B90" i="43"/>
  <c r="G19" i="20"/>
  <c r="G16" i="20"/>
  <c r="G15" i="20"/>
  <c r="C24" i="20"/>
  <c r="B75" i="43"/>
  <c r="C21" i="20"/>
  <c r="C20" i="20"/>
  <c r="C18" i="20"/>
  <c r="C17" i="20"/>
  <c r="B61" i="87" s="1"/>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s="1"/>
  <c r="B130" i="21"/>
  <c r="B128" i="21"/>
  <c r="J45" i="21" s="1"/>
  <c r="W45" i="21" s="1"/>
  <c r="B126" i="21"/>
  <c r="J44" i="21" s="1"/>
  <c r="AC44" i="21" s="1"/>
  <c r="B98" i="21"/>
  <c r="H31" i="21" s="1"/>
  <c r="B96" i="21"/>
  <c r="B94" i="21"/>
  <c r="J29" i="21" s="1"/>
  <c r="AC29" i="21" s="1"/>
  <c r="B92" i="21"/>
  <c r="J28" i="21" s="1"/>
  <c r="B90" i="21"/>
  <c r="J27" i="21" s="1"/>
  <c r="W27" i="21" s="1"/>
  <c r="B74" i="21"/>
  <c r="F14" i="21" s="1"/>
  <c r="B72" i="21"/>
  <c r="H13" i="21" s="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s="1"/>
  <c r="Q28" i="21"/>
  <c r="Z28" i="21" s="1"/>
  <c r="Q29" i="21"/>
  <c r="Z29" i="21"/>
  <c r="Q30" i="21"/>
  <c r="Z30" i="21" s="1"/>
  <c r="Q31" i="21"/>
  <c r="Z31" i="21" s="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H5" i="3" s="1"/>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S5" i="3" s="1"/>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c r="AB41" i="21"/>
  <c r="S41" i="21"/>
  <c r="AA41" i="21"/>
  <c r="F45" i="39"/>
  <c r="S45" i="39" s="1"/>
  <c r="J45" i="39"/>
  <c r="W45" i="39" s="1"/>
  <c r="J44" i="39"/>
  <c r="AC44" i="39"/>
  <c r="F36" i="39"/>
  <c r="S36" i="39" s="1"/>
  <c r="H36" i="39"/>
  <c r="AB36" i="39" s="1"/>
  <c r="F35" i="39"/>
  <c r="AA35" i="39" s="1"/>
  <c r="J36" i="39"/>
  <c r="AC36" i="39" s="1"/>
  <c r="U9" i="39"/>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F36" i="34"/>
  <c r="J35" i="34"/>
  <c r="U34" i="34"/>
  <c r="H39" i="33"/>
  <c r="AB39" i="33" s="1"/>
  <c r="F26" i="33"/>
  <c r="AA26" i="33"/>
  <c r="U33" i="33"/>
  <c r="U35" i="33"/>
  <c r="S40" i="33"/>
  <c r="W39" i="33"/>
  <c r="H39" i="37"/>
  <c r="AB39" i="37" s="1"/>
  <c r="S27" i="35"/>
  <c r="F11" i="40"/>
  <c r="AA11" i="40" s="1"/>
  <c r="H11" i="40"/>
  <c r="AB11" i="40" s="1"/>
  <c r="W8" i="40"/>
  <c r="U9" i="40"/>
  <c r="S34" i="40"/>
  <c r="U38" i="40"/>
  <c r="U34" i="40"/>
  <c r="S38" i="40"/>
  <c r="F42" i="39"/>
  <c r="AA42" i="39" s="1"/>
  <c r="H40" i="39"/>
  <c r="AB40" i="39" s="1"/>
  <c r="H39" i="39"/>
  <c r="U39" i="39" s="1"/>
  <c r="S38" i="39"/>
  <c r="H34" i="39"/>
  <c r="U34" i="39" s="1"/>
  <c r="F31" i="39"/>
  <c r="AA31" i="39" s="1"/>
  <c r="E100" i="39"/>
  <c r="F100" i="39" s="1"/>
  <c r="G100" i="39" s="1"/>
  <c r="H19" i="39"/>
  <c r="AB19" i="39" s="1"/>
  <c r="F19" i="39"/>
  <c r="AA19" i="39" s="1"/>
  <c r="H17" i="39"/>
  <c r="AB17" i="39" s="1"/>
  <c r="F17" i="39"/>
  <c r="AA17" i="39" s="1"/>
  <c r="J23" i="40"/>
  <c r="AC23" i="40" s="1"/>
  <c r="F21" i="40"/>
  <c r="AA21" i="40"/>
  <c r="J21" i="40"/>
  <c r="W21" i="40" s="1"/>
  <c r="H42" i="39"/>
  <c r="AB42" i="39" s="1"/>
  <c r="J31" i="39"/>
  <c r="H27" i="39"/>
  <c r="U27" i="39" s="1"/>
  <c r="J19" i="39"/>
  <c r="AC19" i="39" s="1"/>
  <c r="J17" i="39"/>
  <c r="J27" i="39"/>
  <c r="W27" i="39" s="1"/>
  <c r="F27" i="39"/>
  <c r="AA27" i="39" s="1"/>
  <c r="F11" i="21"/>
  <c r="S11" i="21" s="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B12" i="35"/>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c r="F34" i="36"/>
  <c r="S34" i="36" s="1"/>
  <c r="F14" i="35"/>
  <c r="AA14" i="35" s="1"/>
  <c r="F23" i="35"/>
  <c r="AA23" i="35" s="1"/>
  <c r="J32" i="35"/>
  <c r="AC32" i="35" s="1"/>
  <c r="H14" i="35"/>
  <c r="AB14" i="35" s="1"/>
  <c r="J29" i="35"/>
  <c r="H33" i="35"/>
  <c r="J20" i="35"/>
  <c r="W20" i="35" s="1"/>
  <c r="F35" i="37"/>
  <c r="S35" i="37" s="1"/>
  <c r="J34" i="37"/>
  <c r="W34" i="37"/>
  <c r="AB34" i="37"/>
  <c r="J33" i="37"/>
  <c r="AC33" i="37" s="1"/>
  <c r="H40" i="34"/>
  <c r="U40" i="34" s="1"/>
  <c r="E114" i="34"/>
  <c r="H36" i="34"/>
  <c r="U36" i="34" s="1"/>
  <c r="F37" i="34"/>
  <c r="AA37" i="34" s="1"/>
  <c r="F28" i="34"/>
  <c r="AA28" i="34" s="1"/>
  <c r="F25" i="34"/>
  <c r="S25" i="34" s="1"/>
  <c r="H23" i="34"/>
  <c r="U23" i="34" s="1"/>
  <c r="J23" i="34"/>
  <c r="F19" i="34"/>
  <c r="H17" i="34"/>
  <c r="U17" i="34" s="1"/>
  <c r="F15" i="34"/>
  <c r="AA15" i="34" s="1"/>
  <c r="J15" i="34"/>
  <c r="H15" i="34"/>
  <c r="AB15" i="34" s="1"/>
  <c r="J28" i="34"/>
  <c r="W28" i="34" s="1"/>
  <c r="F41" i="33"/>
  <c r="S38" i="33"/>
  <c r="E113" i="33"/>
  <c r="F113" i="33" s="1"/>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W17" i="34" s="1"/>
  <c r="G113" i="33"/>
  <c r="H113" i="33" s="1"/>
  <c r="I113" i="33" s="1"/>
  <c r="J113" i="33" s="1"/>
  <c r="K113" i="33" s="1"/>
  <c r="L113" i="33" s="1"/>
  <c r="M113" i="33" s="1"/>
  <c r="H37" i="33"/>
  <c r="AB37" i="33" s="1"/>
  <c r="H15" i="33"/>
  <c r="AB15" i="33" s="1"/>
  <c r="H11" i="33"/>
  <c r="F28" i="40"/>
  <c r="AA28" i="40" s="1"/>
  <c r="AA42" i="34"/>
  <c r="S42" i="34"/>
  <c r="AC38" i="34"/>
  <c r="AA38" i="34"/>
  <c r="J37" i="34"/>
  <c r="AC37" i="34" s="1"/>
  <c r="J11" i="33"/>
  <c r="W11" i="33" s="1"/>
  <c r="J42" i="21"/>
  <c r="AC42" i="21" s="1"/>
  <c r="H42" i="21"/>
  <c r="J44" i="34"/>
  <c r="F44" i="34"/>
  <c r="J10" i="35"/>
  <c r="AC10" i="35" s="1"/>
  <c r="J14" i="21"/>
  <c r="W14" i="21" s="1"/>
  <c r="H28" i="21"/>
  <c r="AB28" i="21" s="1"/>
  <c r="F28" i="21"/>
  <c r="AA28" i="21" s="1"/>
  <c r="H30" i="21"/>
  <c r="F30" i="21"/>
  <c r="S30" i="21" s="1"/>
  <c r="J30" i="2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H13" i="33"/>
  <c r="U13" i="33" s="1"/>
  <c r="F13" i="33"/>
  <c r="S13" i="33" s="1"/>
  <c r="J29" i="33"/>
  <c r="H29" i="33"/>
  <c r="U29" i="33"/>
  <c r="F29" i="33"/>
  <c r="S29" i="33" s="1"/>
  <c r="F31" i="33"/>
  <c r="S31" i="33" s="1"/>
  <c r="H45" i="33"/>
  <c r="J45" i="33"/>
  <c r="W45" i="33" s="1"/>
  <c r="F45" i="33"/>
  <c r="AA45" i="33"/>
  <c r="J14" i="34"/>
  <c r="W14" i="34" s="1"/>
  <c r="F14" i="34"/>
  <c r="S14" i="34" s="1"/>
  <c r="H14" i="34"/>
  <c r="H30" i="34"/>
  <c r="AB30" i="34" s="1"/>
  <c r="F30" i="34"/>
  <c r="S30" i="34" s="1"/>
  <c r="H32" i="34"/>
  <c r="F32" i="34"/>
  <c r="J32" i="34"/>
  <c r="W32" i="34" s="1"/>
  <c r="J46" i="34"/>
  <c r="AC46" i="34" s="1"/>
  <c r="H11" i="35"/>
  <c r="AB11" i="35" s="1"/>
  <c r="F11" i="35"/>
  <c r="S11" i="35" s="1"/>
  <c r="J26" i="36"/>
  <c r="W26" i="36" s="1"/>
  <c r="H28" i="36"/>
  <c r="U28" i="36" s="1"/>
  <c r="J32" i="36"/>
  <c r="W32" i="36" s="1"/>
  <c r="J11" i="36"/>
  <c r="AC11" i="36" s="1"/>
  <c r="H11" i="36"/>
  <c r="U11" i="36" s="1"/>
  <c r="F11" i="36"/>
  <c r="AA11" i="36" s="1"/>
  <c r="H13" i="36"/>
  <c r="J13" i="36"/>
  <c r="F13" i="36"/>
  <c r="S13" i="36" s="1"/>
  <c r="E89" i="37"/>
  <c r="F89" i="37" s="1"/>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F30" i="33"/>
  <c r="J30" i="33"/>
  <c r="H44" i="33"/>
  <c r="J44" i="33"/>
  <c r="F44" i="33"/>
  <c r="S44" i="33" s="1"/>
  <c r="J46" i="33"/>
  <c r="AC46" i="33" s="1"/>
  <c r="F46" i="33"/>
  <c r="H46" i="33"/>
  <c r="AB46" i="33" s="1"/>
  <c r="H13" i="34"/>
  <c r="U13" i="34" s="1"/>
  <c r="J13" i="34"/>
  <c r="W13" i="34" s="1"/>
  <c r="F13" i="34"/>
  <c r="AA13" i="34" s="1"/>
  <c r="J29" i="34"/>
  <c r="F29" i="34"/>
  <c r="S29" i="34" s="1"/>
  <c r="H29" i="34"/>
  <c r="AB29" i="34" s="1"/>
  <c r="J31" i="34"/>
  <c r="AC31" i="34" s="1"/>
  <c r="H31" i="34"/>
  <c r="F31" i="34"/>
  <c r="H45" i="34"/>
  <c r="U45" i="34" s="1"/>
  <c r="J45" i="34"/>
  <c r="W45" i="34" s="1"/>
  <c r="F45" i="34"/>
  <c r="H47" i="34"/>
  <c r="U47" i="34" s="1"/>
  <c r="F47" i="34"/>
  <c r="J47" i="34"/>
  <c r="AC47" i="34"/>
  <c r="F13" i="35"/>
  <c r="J13" i="35"/>
  <c r="H13" i="35"/>
  <c r="U13" i="35" s="1"/>
  <c r="J25" i="35"/>
  <c r="W25" i="35" s="1"/>
  <c r="J35" i="35"/>
  <c r="AC35" i="35" s="1"/>
  <c r="F35" i="35"/>
  <c r="AA35" i="35" s="1"/>
  <c r="H35" i="35"/>
  <c r="J25" i="36"/>
  <c r="W25" i="36" s="1"/>
  <c r="F25" i="36"/>
  <c r="S25" i="36" s="1"/>
  <c r="H25" i="36"/>
  <c r="AB25" i="36" s="1"/>
  <c r="H13" i="37"/>
  <c r="AB13" i="37" s="1"/>
  <c r="F13" i="37"/>
  <c r="S13" i="37" s="1"/>
  <c r="J13" i="37"/>
  <c r="W13" i="37" s="1"/>
  <c r="F28" i="37"/>
  <c r="AA28" i="37" s="1"/>
  <c r="J28" i="37"/>
  <c r="H28" i="37"/>
  <c r="H38" i="37"/>
  <c r="AB38" i="37" s="1"/>
  <c r="J38" i="37"/>
  <c r="F38" i="37"/>
  <c r="S38" i="37" s="1"/>
  <c r="F43" i="39"/>
  <c r="AA43" i="39" s="1"/>
  <c r="H43" i="39"/>
  <c r="J14" i="39"/>
  <c r="AC14" i="39" s="1"/>
  <c r="F14" i="39"/>
  <c r="H14" i="39"/>
  <c r="AB14" i="39" s="1"/>
  <c r="F12" i="40"/>
  <c r="H12" i="40"/>
  <c r="AB12" i="40" s="1"/>
  <c r="H30" i="40"/>
  <c r="AB30" i="40" s="1"/>
  <c r="F33" i="40"/>
  <c r="AA33" i="40" s="1"/>
  <c r="H33" i="40"/>
  <c r="J35" i="40"/>
  <c r="J37" i="40"/>
  <c r="AC37" i="40" s="1"/>
  <c r="H13" i="40"/>
  <c r="U13" i="40" s="1"/>
  <c r="J13" i="40"/>
  <c r="W13" i="40" s="1"/>
  <c r="F13" i="40"/>
  <c r="AA13" i="40" s="1"/>
  <c r="F14" i="37"/>
  <c r="F27" i="37"/>
  <c r="AA27" i="37" s="1"/>
  <c r="J13" i="39"/>
  <c r="W13" i="39" s="1"/>
  <c r="H13" i="39"/>
  <c r="H14" i="40"/>
  <c r="AB14" i="40" s="1"/>
  <c r="J14" i="40"/>
  <c r="W14" i="40" s="1"/>
  <c r="F14" i="40"/>
  <c r="AA14" i="40" s="1"/>
  <c r="J14" i="37"/>
  <c r="J27" i="37"/>
  <c r="AC27" i="37"/>
  <c r="AA44" i="33"/>
  <c r="J36" i="37"/>
  <c r="AC36" i="37" s="1"/>
  <c r="J10" i="36"/>
  <c r="AC10" i="36" s="1"/>
  <c r="S11" i="36"/>
  <c r="AA14" i="34"/>
  <c r="S45" i="33"/>
  <c r="BA585" i="3"/>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BA572" i="3"/>
  <c r="AZ572" i="3" s="1"/>
  <c r="BA570" i="3"/>
  <c r="AZ570" i="3" s="1"/>
  <c r="BA568" i="3"/>
  <c r="BA566" i="3"/>
  <c r="BA564" i="3"/>
  <c r="BA562" i="3"/>
  <c r="BA560" i="3"/>
  <c r="BA558" i="3"/>
  <c r="BA556" i="3"/>
  <c r="AZ556" i="3" s="1"/>
  <c r="BA554" i="3"/>
  <c r="BA552" i="3"/>
  <c r="BA548" i="3"/>
  <c r="BA546" i="3"/>
  <c r="BA544" i="3"/>
  <c r="AZ544" i="3" s="1"/>
  <c r="BA542" i="3"/>
  <c r="AZ542" i="3" s="1"/>
  <c r="BA540" i="3"/>
  <c r="BA538" i="3"/>
  <c r="AZ538" i="3" s="1"/>
  <c r="BA536" i="3"/>
  <c r="BA534" i="3"/>
  <c r="BA532" i="3"/>
  <c r="AZ532" i="3" s="1"/>
  <c r="BA530" i="3"/>
  <c r="AZ530" i="3" s="1"/>
  <c r="BA528" i="3"/>
  <c r="BA526" i="3"/>
  <c r="BA524" i="3"/>
  <c r="BA522" i="3"/>
  <c r="BA520" i="3"/>
  <c r="BA518" i="3"/>
  <c r="BA516" i="3"/>
  <c r="BA514" i="3"/>
  <c r="AZ514" i="3" s="1"/>
  <c r="BA512" i="3"/>
  <c r="AZ512" i="3" s="1"/>
  <c r="BA510" i="3"/>
  <c r="BA508" i="3"/>
  <c r="BA506" i="3"/>
  <c r="AZ506" i="3" s="1"/>
  <c r="BA504" i="3"/>
  <c r="AZ504" i="3" s="1"/>
  <c r="BA502" i="3"/>
  <c r="BA500" i="3"/>
  <c r="BA498" i="3"/>
  <c r="AZ498" i="3" s="1"/>
  <c r="BA496" i="3"/>
  <c r="BA494" i="3"/>
  <c r="BA583" i="3"/>
  <c r="BA581" i="3"/>
  <c r="BA579" i="3"/>
  <c r="BA577" i="3"/>
  <c r="BA575" i="3"/>
  <c r="AZ575" i="3" s="1"/>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AZ573" i="3" s="1"/>
  <c r="BQ571" i="3"/>
  <c r="BL571" i="3" s="1"/>
  <c r="BQ569" i="3"/>
  <c r="BL569" i="3" s="1"/>
  <c r="AZ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BQ533" i="3"/>
  <c r="BL533" i="3" s="1"/>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F26" i="36"/>
  <c r="H27" i="34"/>
  <c r="AB27" i="34" s="1"/>
  <c r="H35" i="34"/>
  <c r="U35" i="34" s="1"/>
  <c r="F41" i="34"/>
  <c r="H41" i="34"/>
  <c r="U41" i="34" s="1"/>
  <c r="J41" i="34"/>
  <c r="AC41" i="34" s="1"/>
  <c r="F10" i="35"/>
  <c r="S10" i="35" s="1"/>
  <c r="F24" i="35"/>
  <c r="AA24" i="35" s="1"/>
  <c r="H24" i="35"/>
  <c r="H23" i="37"/>
  <c r="AB23" i="37" s="1"/>
  <c r="J32" i="37"/>
  <c r="AC32" i="37" s="1"/>
  <c r="F36" i="37"/>
  <c r="AA36" i="37" s="1"/>
  <c r="F37" i="37"/>
  <c r="F31" i="40"/>
  <c r="AA31" i="40" s="1"/>
  <c r="H31" i="40"/>
  <c r="U31" i="40" s="1"/>
  <c r="F32" i="40"/>
  <c r="S32" i="40" s="1"/>
  <c r="H32" i="40"/>
  <c r="J36" i="40"/>
  <c r="W36" i="40" s="1"/>
  <c r="H19" i="37"/>
  <c r="AB19" i="37" s="1"/>
  <c r="H42" i="33"/>
  <c r="AB42" i="33" s="1"/>
  <c r="J43" i="33"/>
  <c r="AC43" i="33" s="1"/>
  <c r="U14" i="40"/>
  <c r="W23" i="35"/>
  <c r="U39" i="37"/>
  <c r="U26" i="37"/>
  <c r="W47" i="34"/>
  <c r="AC45" i="33"/>
  <c r="W44" i="21"/>
  <c r="AB38" i="21"/>
  <c r="F43" i="33"/>
  <c r="AA43" i="33" s="1"/>
  <c r="W15" i="34"/>
  <c r="AC15" i="34"/>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5" i="3"/>
  <c r="H19" i="40"/>
  <c r="U19" i="40" s="1"/>
  <c r="F88" i="40"/>
  <c r="G88" i="40" s="1"/>
  <c r="F19" i="40"/>
  <c r="S19" i="40" s="1"/>
  <c r="AC13" i="40"/>
  <c r="AC43" i="39"/>
  <c r="W43" i="39"/>
  <c r="U45" i="39"/>
  <c r="AB45" i="39"/>
  <c r="AB44" i="39"/>
  <c r="U44" i="39"/>
  <c r="H37" i="39"/>
  <c r="AB37" i="39" s="1"/>
  <c r="AC37" i="39"/>
  <c r="W37" i="39"/>
  <c r="H25" i="39"/>
  <c r="AB25" i="39" s="1"/>
  <c r="J25" i="39"/>
  <c r="AC25" i="39" s="1"/>
  <c r="F25" i="39"/>
  <c r="AA25" i="39" s="1"/>
  <c r="F15" i="39"/>
  <c r="AA15" i="39" s="1"/>
  <c r="H15" i="39"/>
  <c r="U15" i="39" s="1"/>
  <c r="J15" i="39"/>
  <c r="W15" i="39" s="1"/>
  <c r="H41" i="39"/>
  <c r="AB41" i="39" s="1"/>
  <c r="U40" i="39"/>
  <c r="J19" i="40"/>
  <c r="AC19" i="40" s="1"/>
  <c r="J50" i="40"/>
  <c r="H103" i="9"/>
  <c r="D8" i="53" s="1"/>
  <c r="B16" i="53"/>
  <c r="B33" i="72" s="1"/>
  <c r="A118" i="9"/>
  <c r="J11" i="39"/>
  <c r="F11" i="39"/>
  <c r="S11" i="39" s="1"/>
  <c r="G4" i="4"/>
  <c r="I4" i="4"/>
  <c r="A2" i="9"/>
  <c r="F61" i="43"/>
  <c r="H64" i="43" s="1"/>
  <c r="BL549" i="3"/>
  <c r="AZ549" i="3" s="1"/>
  <c r="AZ494"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s="1"/>
  <c r="BL164" i="3"/>
  <c r="AZ164" i="3" s="1"/>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55"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BA356" i="3"/>
  <c r="BL356" i="3"/>
  <c r="AZ356" i="3" s="1"/>
  <c r="G357" i="3"/>
  <c r="G360" i="3"/>
  <c r="BL361" i="3"/>
  <c r="BA363" i="3"/>
  <c r="BA364" i="3"/>
  <c r="AZ364" i="3" s="1"/>
  <c r="BL364" i="3"/>
  <c r="G365" i="3"/>
  <c r="G368" i="3"/>
  <c r="BL369" i="3"/>
  <c r="AZ369" i="3" s="1"/>
  <c r="BA371" i="3"/>
  <c r="BA372" i="3"/>
  <c r="BL372" i="3"/>
  <c r="G373" i="3"/>
  <c r="G376" i="3"/>
  <c r="BL377" i="3"/>
  <c r="BL379" i="3"/>
  <c r="BA381" i="3"/>
  <c r="AZ381" i="3" s="1"/>
  <c r="BA382" i="3"/>
  <c r="BL382" i="3"/>
  <c r="G383" i="3"/>
  <c r="G386" i="3"/>
  <c r="BL387" i="3"/>
  <c r="BA389" i="3"/>
  <c r="BA390" i="3"/>
  <c r="BL390" i="3"/>
  <c r="G391" i="3"/>
  <c r="G394" i="3"/>
  <c r="AZ166" i="3"/>
  <c r="BA16" i="3"/>
  <c r="BL303" i="3"/>
  <c r="G304" i="3"/>
  <c r="BA306" i="3"/>
  <c r="BL307" i="3"/>
  <c r="G308" i="3"/>
  <c r="BA310" i="3"/>
  <c r="AZ310" i="3"/>
  <c r="BL311" i="3"/>
  <c r="AZ311" i="3" s="1"/>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c r="BL362" i="3"/>
  <c r="G363" i="3"/>
  <c r="BA365" i="3"/>
  <c r="BL366" i="3"/>
  <c r="AZ366" i="3" s="1"/>
  <c r="G367" i="3"/>
  <c r="BA369" i="3"/>
  <c r="BL370" i="3"/>
  <c r="G371" i="3"/>
  <c r="BA373" i="3"/>
  <c r="AZ373" i="3"/>
  <c r="BL374" i="3"/>
  <c r="G375" i="3"/>
  <c r="BA377" i="3"/>
  <c r="AZ377" i="3"/>
  <c r="BA379" i="3"/>
  <c r="BL380" i="3"/>
  <c r="AZ380" i="3" s="1"/>
  <c r="G381" i="3"/>
  <c r="BA383" i="3"/>
  <c r="BL384" i="3"/>
  <c r="G385" i="3"/>
  <c r="BA387" i="3"/>
  <c r="BL388" i="3"/>
  <c r="G389" i="3"/>
  <c r="BA391" i="3"/>
  <c r="AZ391" i="3" s="1"/>
  <c r="BL392" i="3"/>
  <c r="G393" i="3"/>
  <c r="BO5" i="3"/>
  <c r="BM5" i="3"/>
  <c r="BJ5" i="3"/>
  <c r="BF5" i="3"/>
  <c r="BD5" i="3"/>
  <c r="G548" i="3"/>
  <c r="G538" i="3"/>
  <c r="G520" i="3"/>
  <c r="G502" i="3"/>
  <c r="BP5" i="3"/>
  <c r="BN5" i="3"/>
  <c r="BK5" i="3"/>
  <c r="BI5" i="3"/>
  <c r="BG5" i="3"/>
  <c r="BE5" i="3"/>
  <c r="BC5" i="3"/>
  <c r="G17" i="3"/>
  <c r="BA17" i="3"/>
  <c r="BT5" i="3"/>
  <c r="BA15" i="3"/>
  <c r="AZ15" i="3" s="1"/>
  <c r="BB5" i="3"/>
  <c r="E5" i="6" s="1"/>
  <c r="BR5" i="3"/>
  <c r="G509" i="3"/>
  <c r="BL493" i="3"/>
  <c r="AZ493" i="3" s="1"/>
  <c r="U36" i="40"/>
  <c r="F83" i="43"/>
  <c r="H85" i="43" s="1"/>
  <c r="F50" i="43"/>
  <c r="H54" i="43" s="1"/>
  <c r="F72" i="43"/>
  <c r="H75" i="43" s="1"/>
  <c r="U17" i="39"/>
  <c r="U35" i="21"/>
  <c r="AC35" i="21"/>
  <c r="W37" i="37"/>
  <c r="W44" i="34"/>
  <c r="AC44" i="34"/>
  <c r="S15" i="37"/>
  <c r="U13" i="37"/>
  <c r="U12" i="40"/>
  <c r="J37" i="33"/>
  <c r="W37" i="33" s="1"/>
  <c r="AC17" i="34"/>
  <c r="F106" i="33"/>
  <c r="G106" i="33" s="1"/>
  <c r="H106" i="33" s="1"/>
  <c r="I106" i="33" s="1"/>
  <c r="J106" i="33" s="1"/>
  <c r="K106" i="33" s="1"/>
  <c r="L106" i="33" s="1"/>
  <c r="M106" i="33" s="1"/>
  <c r="J34" i="33"/>
  <c r="F33" i="34"/>
  <c r="S33" i="34" s="1"/>
  <c r="H20" i="36"/>
  <c r="U20" i="36" s="1"/>
  <c r="J20" i="36"/>
  <c r="W20" i="36" s="1"/>
  <c r="J27" i="36"/>
  <c r="W27" i="36" s="1"/>
  <c r="AC33" i="40"/>
  <c r="F111" i="40"/>
  <c r="G111" i="40" s="1"/>
  <c r="H111" i="40" s="1"/>
  <c r="I111" i="40" s="1"/>
  <c r="J111" i="40" s="1"/>
  <c r="K111" i="40" s="1"/>
  <c r="L111" i="40" s="1"/>
  <c r="M111" i="40" s="1"/>
  <c r="H35" i="40"/>
  <c r="AC29" i="35"/>
  <c r="W29" i="35"/>
  <c r="H35" i="37"/>
  <c r="U35" i="37" s="1"/>
  <c r="H20" i="35"/>
  <c r="U20" i="35" s="1"/>
  <c r="F20" i="35"/>
  <c r="AB23" i="35"/>
  <c r="AB29" i="36"/>
  <c r="U29" i="36"/>
  <c r="H32" i="37"/>
  <c r="AB32" i="37" s="1"/>
  <c r="F96" i="37"/>
  <c r="G96" i="37" s="1"/>
  <c r="H96" i="37" s="1"/>
  <c r="I96" i="37" s="1"/>
  <c r="J96" i="37" s="1"/>
  <c r="K96" i="37" s="1"/>
  <c r="L96" i="37" s="1"/>
  <c r="M96" i="37" s="1"/>
  <c r="H27" i="40"/>
  <c r="J27" i="40"/>
  <c r="AC27" i="40"/>
  <c r="F27" i="40"/>
  <c r="J30" i="40"/>
  <c r="AC30" i="40"/>
  <c r="F30" i="40"/>
  <c r="AA30" i="40" s="1"/>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K9" i="1"/>
  <c r="M9" i="1" s="1"/>
  <c r="D93" i="9"/>
  <c r="AC26" i="33"/>
  <c r="W26" i="33"/>
  <c r="W27" i="34"/>
  <c r="AC27" i="34"/>
  <c r="AB34" i="36"/>
  <c r="U34" i="36"/>
  <c r="AB33" i="36"/>
  <c r="U33" i="36"/>
  <c r="AC12" i="39"/>
  <c r="W12" i="39"/>
  <c r="AC39" i="40"/>
  <c r="W39" i="40"/>
  <c r="AZ433" i="3"/>
  <c r="AC12" i="33"/>
  <c r="AA32" i="36"/>
  <c r="S32" i="36"/>
  <c r="BL14" i="3"/>
  <c r="AC13" i="34"/>
  <c r="S19" i="39"/>
  <c r="F12" i="33"/>
  <c r="AA12" i="33" s="1"/>
  <c r="H12" i="39"/>
  <c r="F39" i="40"/>
  <c r="BA14" i="3"/>
  <c r="AZ224" i="3"/>
  <c r="AZ250" i="3"/>
  <c r="B12" i="1"/>
  <c r="E12" i="1" s="1"/>
  <c r="B10" i="1"/>
  <c r="E10" i="1" s="1"/>
  <c r="K12" i="1"/>
  <c r="M12" i="1" s="1"/>
  <c r="S13" i="1"/>
  <c r="AR13" i="1" s="1"/>
  <c r="R13" i="1"/>
  <c r="J51" i="67"/>
  <c r="B41" i="1"/>
  <c r="F28" i="67" s="1"/>
  <c r="AB37" i="40"/>
  <c r="S35" i="40"/>
  <c r="AC36" i="40"/>
  <c r="W38" i="40"/>
  <c r="AA32" i="40"/>
  <c r="S17" i="40"/>
  <c r="S23" i="40"/>
  <c r="AC17" i="40"/>
  <c r="AC15" i="40"/>
  <c r="AA19" i="40"/>
  <c r="S28" i="40"/>
  <c r="U21" i="40"/>
  <c r="U37" i="39"/>
  <c r="S43" i="39"/>
  <c r="S37" i="39"/>
  <c r="U35" i="39"/>
  <c r="F32" i="39"/>
  <c r="S32" i="39" s="1"/>
  <c r="F106" i="39"/>
  <c r="G106" i="39" s="1"/>
  <c r="H106" i="39" s="1"/>
  <c r="I106" i="39" s="1"/>
  <c r="J106" i="39" s="1"/>
  <c r="K106" i="39" s="1"/>
  <c r="L106" i="39" s="1"/>
  <c r="M106" i="39" s="1"/>
  <c r="U25" i="39"/>
  <c r="U31" i="39"/>
  <c r="J21" i="39"/>
  <c r="W21" i="39" s="1"/>
  <c r="F21" i="39"/>
  <c r="S21" i="39" s="1"/>
  <c r="G94" i="39"/>
  <c r="H21" i="39"/>
  <c r="U21" i="39" s="1"/>
  <c r="W19" i="39"/>
  <c r="U19" i="39"/>
  <c r="S17" i="39"/>
  <c r="AA12" i="39"/>
  <c r="U14" i="39"/>
  <c r="AC13" i="39"/>
  <c r="S23" i="36"/>
  <c r="U26" i="36"/>
  <c r="S33" i="36"/>
  <c r="AA34" i="36"/>
  <c r="AC26" i="36"/>
  <c r="W14" i="36"/>
  <c r="AB14" i="36"/>
  <c r="U22" i="36"/>
  <c r="S16" i="36"/>
  <c r="AA25" i="36"/>
  <c r="S24" i="36"/>
  <c r="U23" i="36"/>
  <c r="AB20" i="36"/>
  <c r="U16" i="36"/>
  <c r="S14" i="36"/>
  <c r="S23" i="35"/>
  <c r="W24" i="35"/>
  <c r="AB13" i="35"/>
  <c r="U28" i="35"/>
  <c r="AB27" i="35"/>
  <c r="AA33" i="35"/>
  <c r="AC30" i="35"/>
  <c r="AA36" i="35"/>
  <c r="S28" i="35"/>
  <c r="AA11" i="35"/>
  <c r="AC9" i="35"/>
  <c r="W9" i="35"/>
  <c r="F9" i="35"/>
  <c r="S9" i="35" s="1"/>
  <c r="H9" i="35"/>
  <c r="U9" i="35" s="1"/>
  <c r="AB40" i="37"/>
  <c r="W27" i="37"/>
  <c r="AC29" i="37"/>
  <c r="U29" i="37"/>
  <c r="S32" i="37"/>
  <c r="AB31" i="37"/>
  <c r="W30" i="37"/>
  <c r="S36" i="37"/>
  <c r="AA38" i="37"/>
  <c r="U32" i="37"/>
  <c r="AC35" i="37"/>
  <c r="W39" i="37"/>
  <c r="S30" i="37"/>
  <c r="AC15" i="37"/>
  <c r="J17" i="37"/>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25" i="34"/>
  <c r="U28" i="34"/>
  <c r="S17" i="34"/>
  <c r="AA29"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W43" i="33"/>
  <c r="S43" i="33"/>
  <c r="F91" i="33"/>
  <c r="H27" i="33"/>
  <c r="F87" i="33"/>
  <c r="H25" i="33"/>
  <c r="U25" i="33" s="1"/>
  <c r="F25" i="33"/>
  <c r="S25" i="33" s="1"/>
  <c r="J23" i="33"/>
  <c r="AC23" i="33" s="1"/>
  <c r="F85" i="33"/>
  <c r="H23" i="33"/>
  <c r="U23" i="33" s="1"/>
  <c r="F81" i="33"/>
  <c r="F19" i="33"/>
  <c r="S19" i="33" s="1"/>
  <c r="W19" i="33"/>
  <c r="J17" i="33"/>
  <c r="W17" i="33" s="1"/>
  <c r="F79" i="33"/>
  <c r="G79" i="33" s="1"/>
  <c r="S15" i="33"/>
  <c r="W15" i="33"/>
  <c r="J10" i="33"/>
  <c r="W10" i="33" s="1"/>
  <c r="H10" i="33"/>
  <c r="U10" i="33" s="1"/>
  <c r="AC11" i="33"/>
  <c r="AB14" i="33"/>
  <c r="W36" i="21"/>
  <c r="W41" i="21"/>
  <c r="AB39" i="21"/>
  <c r="S39" i="21"/>
  <c r="AA38" i="21"/>
  <c r="AA36" i="21"/>
  <c r="J15" i="21"/>
  <c r="W15" i="21" s="1"/>
  <c r="F77" i="21"/>
  <c r="G77" i="21" s="1"/>
  <c r="F23" i="21"/>
  <c r="S23" i="21" s="1"/>
  <c r="E85" i="21"/>
  <c r="D120" i="9"/>
  <c r="D121" i="9" s="1"/>
  <c r="D7" i="52" s="1"/>
  <c r="C18" i="9"/>
  <c r="D18" i="9" s="1"/>
  <c r="F34" i="67"/>
  <c r="F62" i="67" s="1"/>
  <c r="M20" i="67"/>
  <c r="F34" i="15"/>
  <c r="F62" i="15" s="1"/>
  <c r="G13" i="3"/>
  <c r="F19" i="6" s="1"/>
  <c r="E19" i="6" s="1"/>
  <c r="BA13" i="3"/>
  <c r="BL17" i="3"/>
  <c r="AZ17" i="3"/>
  <c r="BL13" i="3"/>
  <c r="J56" i="9"/>
  <c r="J57" i="9" s="1"/>
  <c r="J59" i="9" s="1"/>
  <c r="J61" i="9" s="1"/>
  <c r="A24" i="51"/>
  <c r="B18" i="72" s="1"/>
  <c r="U29" i="34"/>
  <c r="G1" i="68"/>
  <c r="K1" i="12"/>
  <c r="E19" i="69"/>
  <c r="E19" i="68"/>
  <c r="E19" i="11"/>
  <c r="G22" i="69"/>
  <c r="C6" i="43"/>
  <c r="B19" i="53"/>
  <c r="B37" i="72" s="1"/>
  <c r="L20" i="6"/>
  <c r="B6" i="1"/>
  <c r="E6" i="1" s="1"/>
  <c r="K11" i="1"/>
  <c r="M11" i="1" s="1"/>
  <c r="O11" i="1" s="1"/>
  <c r="B9" i="1"/>
  <c r="E9" i="1" s="1"/>
  <c r="G1" i="15"/>
  <c r="G1" i="69"/>
  <c r="G1" i="67"/>
  <c r="W23"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AB11" i="39"/>
  <c r="U11" i="39"/>
  <c r="W17" i="39"/>
  <c r="AC17" i="39"/>
  <c r="W31" i="39"/>
  <c r="AC31" i="39"/>
  <c r="AA45" i="39"/>
  <c r="S8" i="39"/>
  <c r="AC25" i="36"/>
  <c r="W29" i="36"/>
  <c r="AC20" i="36"/>
  <c r="U25" i="36"/>
  <c r="AB28" i="36"/>
  <c r="AA13" i="36"/>
  <c r="W9" i="36"/>
  <c r="W22" i="36"/>
  <c r="AC25" i="35"/>
  <c r="S24" i="35"/>
  <c r="S35" i="35"/>
  <c r="W35" i="35"/>
  <c r="AA35" i="37"/>
  <c r="W36" i="37"/>
  <c r="S27" i="37"/>
  <c r="S28" i="37"/>
  <c r="W32" i="37"/>
  <c r="U36" i="37"/>
  <c r="S40" i="37"/>
  <c r="U38" i="37"/>
  <c r="AB37" i="37"/>
  <c r="AC34" i="37"/>
  <c r="AB35" i="37"/>
  <c r="AA31" i="37"/>
  <c r="U19" i="37"/>
  <c r="AA29" i="37"/>
  <c r="U8" i="37"/>
  <c r="AA40" i="34"/>
  <c r="AB40" i="34"/>
  <c r="U19" i="34"/>
  <c r="W19" i="34"/>
  <c r="AC45" i="34"/>
  <c r="AA30" i="34"/>
  <c r="AB45" i="34"/>
  <c r="AB47" i="34"/>
  <c r="AB36" i="34"/>
  <c r="W33" i="34"/>
  <c r="AC14" i="34"/>
  <c r="AC32" i="34"/>
  <c r="AC29" i="34"/>
  <c r="W29" i="34"/>
  <c r="W46" i="34"/>
  <c r="S32" i="34"/>
  <c r="AA32" i="34"/>
  <c r="U30" i="34"/>
  <c r="S37" i="34"/>
  <c r="U38" i="34"/>
  <c r="AC40" i="34"/>
  <c r="W40" i="34"/>
  <c r="AA19" i="34"/>
  <c r="S19" i="34"/>
  <c r="AA36" i="34"/>
  <c r="S36" i="34"/>
  <c r="AA8" i="34"/>
  <c r="S8" i="34"/>
  <c r="AB9" i="34"/>
  <c r="U9"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AA31" i="33"/>
  <c r="W13" i="33"/>
  <c r="AC13" i="33"/>
  <c r="U15" i="33"/>
  <c r="S11" i="33"/>
  <c r="U37" i="33"/>
  <c r="AC28" i="33"/>
  <c r="W9" i="33"/>
  <c r="W8" i="33"/>
  <c r="S44" i="21"/>
  <c r="U28" i="21"/>
  <c r="S45" i="21"/>
  <c r="AA26" i="21"/>
  <c r="AB46" i="21"/>
  <c r="AB31" i="21"/>
  <c r="U31" i="21"/>
  <c r="U13" i="21"/>
  <c r="AB13" i="21"/>
  <c r="S35" i="21"/>
  <c r="J37" i="21"/>
  <c r="W37" i="21" s="1"/>
  <c r="H15" i="21"/>
  <c r="U15" i="21" s="1"/>
  <c r="W39" i="21"/>
  <c r="AC14" i="21"/>
  <c r="S46" i="21"/>
  <c r="H45" i="21"/>
  <c r="U45" i="21" s="1"/>
  <c r="F29" i="21"/>
  <c r="AA29" i="21" s="1"/>
  <c r="F13" i="21"/>
  <c r="AA13" i="21" s="1"/>
  <c r="AC38" i="21"/>
  <c r="H32" i="21"/>
  <c r="U32" i="21" s="1"/>
  <c r="J32" i="21"/>
  <c r="W32" i="21" s="1"/>
  <c r="F32" i="21"/>
  <c r="S32" i="21" s="1"/>
  <c r="AA31" i="21"/>
  <c r="W29" i="21"/>
  <c r="K141" i="21"/>
  <c r="K144" i="21"/>
  <c r="K143" i="21"/>
  <c r="U27" i="21"/>
  <c r="AB25" i="21"/>
  <c r="AA30" i="21"/>
  <c r="W13" i="21"/>
  <c r="AC45" i="21"/>
  <c r="F10" i="21"/>
  <c r="AA10" i="21" s="1"/>
  <c r="K145" i="21"/>
  <c r="W25" i="21"/>
  <c r="W31" i="21"/>
  <c r="S2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S17" i="37"/>
  <c r="J19" i="37"/>
  <c r="W19" i="37" s="1"/>
  <c r="AA23" i="37"/>
  <c r="J23" i="37"/>
  <c r="W23" i="37" s="1"/>
  <c r="G79" i="37"/>
  <c r="J10" i="37"/>
  <c r="W10" i="37" s="1"/>
  <c r="H11" i="37"/>
  <c r="AB11" i="37" s="1"/>
  <c r="H11" i="34"/>
  <c r="U11" i="34" s="1"/>
  <c r="J10" i="34"/>
  <c r="AC10" i="34" s="1"/>
  <c r="AC35" i="33"/>
  <c r="J36" i="33"/>
  <c r="W36" i="33" s="1"/>
  <c r="H36" i="33"/>
  <c r="U36" i="33" s="1"/>
  <c r="AC32" i="33"/>
  <c r="U27" i="33"/>
  <c r="AB27" i="33"/>
  <c r="G91" i="33"/>
  <c r="H91" i="33" s="1"/>
  <c r="I91" i="33" s="1"/>
  <c r="J91" i="33" s="1"/>
  <c r="K91" i="33" s="1"/>
  <c r="L91" i="33" s="1"/>
  <c r="M91" i="33" s="1"/>
  <c r="J27" i="33"/>
  <c r="W27" i="33" s="1"/>
  <c r="AA25" i="33"/>
  <c r="G87" i="33"/>
  <c r="H87" i="33"/>
  <c r="I87" i="33" s="1"/>
  <c r="J87" i="33" s="1"/>
  <c r="K87" i="33" s="1"/>
  <c r="L87" i="33" s="1"/>
  <c r="M87" i="33" s="1"/>
  <c r="J25" i="33"/>
  <c r="AC25" i="33" s="1"/>
  <c r="F23" i="33"/>
  <c r="G85" i="33"/>
  <c r="H19" i="33"/>
  <c r="AB19" i="33" s="1"/>
  <c r="G81" i="33"/>
  <c r="H17" i="33"/>
  <c r="U17" i="33" s="1"/>
  <c r="F17" i="33"/>
  <c r="S17" i="33" s="1"/>
  <c r="J23" i="21"/>
  <c r="AC23" i="21" s="1"/>
  <c r="F85" i="21"/>
  <c r="G85" i="21" s="1"/>
  <c r="H23" i="21"/>
  <c r="U23" i="21" s="1"/>
  <c r="S13" i="21"/>
  <c r="D6" i="52"/>
  <c r="AP7" i="1"/>
  <c r="AC32" i="39"/>
  <c r="J11" i="37"/>
  <c r="AC11" i="37" s="1"/>
  <c r="J11" i="34"/>
  <c r="W11" i="34" s="1"/>
  <c r="W25" i="33"/>
  <c r="AA17"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0" i="67"/>
  <c r="B7" i="76"/>
  <c r="F16" i="67"/>
  <c r="L47" i="67"/>
  <c r="F7" i="73"/>
  <c r="F37" i="67"/>
  <c r="D6" i="73"/>
  <c r="F38" i="67"/>
  <c r="F38" i="15"/>
  <c r="F42" i="15"/>
  <c r="AO13" i="1"/>
  <c r="F36" i="67"/>
  <c r="B9" i="76"/>
  <c r="F5" i="73"/>
  <c r="E8" i="76"/>
  <c r="F6" i="73"/>
  <c r="F6" i="67"/>
  <c r="B10" i="76"/>
  <c r="B12" i="76"/>
  <c r="M22" i="67"/>
  <c r="F13" i="15"/>
  <c r="F40" i="15"/>
  <c r="F3" i="73"/>
  <c r="B11" i="76"/>
  <c r="M28" i="15"/>
  <c r="M6" i="15"/>
  <c r="M26" i="67"/>
  <c r="F8" i="67"/>
  <c r="E13" i="76"/>
  <c r="M24" i="67"/>
  <c r="M8" i="67"/>
  <c r="F7" i="15"/>
  <c r="C76" i="67"/>
  <c r="E10" i="76"/>
  <c r="B8" i="76"/>
  <c r="E12" i="76"/>
  <c r="E2" i="69"/>
  <c r="E9" i="76"/>
  <c r="F42" i="67"/>
  <c r="F9" i="67"/>
  <c r="F7" i="67"/>
  <c r="F20" i="31"/>
  <c r="F4" i="73"/>
  <c r="F6" i="15"/>
  <c r="E7" i="76"/>
  <c r="M6" i="67"/>
  <c r="F26" i="67"/>
  <c r="F13" i="67"/>
  <c r="E2" i="68"/>
  <c r="M28" i="67"/>
  <c r="B13" i="76"/>
  <c r="E11" i="76"/>
  <c r="S22" i="35" l="1"/>
  <c r="U22" i="35"/>
  <c r="W22" i="35"/>
  <c r="U32" i="35"/>
  <c r="S32" i="35"/>
  <c r="F66" i="35"/>
  <c r="G66" i="35" s="1"/>
  <c r="J16" i="35"/>
  <c r="AC16" i="35" s="1"/>
  <c r="H16" i="35"/>
  <c r="U16" i="35" s="1"/>
  <c r="F16" i="35"/>
  <c r="S16" i="35" s="1"/>
  <c r="AC14" i="35"/>
  <c r="AC20" i="35"/>
  <c r="AB20" i="35"/>
  <c r="AC18" i="35"/>
  <c r="AA18" i="35"/>
  <c r="W16" i="35"/>
  <c r="U14" i="35"/>
  <c r="S14" i="35"/>
  <c r="W23" i="21"/>
  <c r="AB23" i="21"/>
  <c r="H19" i="21"/>
  <c r="F79" i="21"/>
  <c r="G79" i="21" s="1"/>
  <c r="F17" i="21"/>
  <c r="H17" i="21"/>
  <c r="J17" i="21"/>
  <c r="W17" i="21" s="1"/>
  <c r="AC19" i="21"/>
  <c r="S19" i="21"/>
  <c r="AA15" i="21"/>
  <c r="AB15" i="21"/>
  <c r="AA9" i="21"/>
  <c r="J9" i="21"/>
  <c r="H9" i="21"/>
  <c r="AB9" i="21" s="1"/>
  <c r="W42" i="21"/>
  <c r="S42" i="21"/>
  <c r="U43" i="21"/>
  <c r="AA43" i="21"/>
  <c r="W43" i="21"/>
  <c r="AC40" i="21"/>
  <c r="U40" i="21"/>
  <c r="S40" i="21"/>
  <c r="G23" i="43"/>
  <c r="C23" i="43" s="1"/>
  <c r="C7" i="33"/>
  <c r="AA39" i="39"/>
  <c r="F108" i="39"/>
  <c r="G108" i="39" s="1"/>
  <c r="H108" i="39" s="1"/>
  <c r="I108" i="39" s="1"/>
  <c r="J108" i="39" s="1"/>
  <c r="K108" i="39" s="1"/>
  <c r="L108" i="39" s="1"/>
  <c r="M108" i="39" s="1"/>
  <c r="F34" i="39"/>
  <c r="AA34" i="39" s="1"/>
  <c r="J34" i="39"/>
  <c r="AC34" i="39" s="1"/>
  <c r="U42" i="39"/>
  <c r="S42" i="39"/>
  <c r="AB39" i="39"/>
  <c r="W25" i="39"/>
  <c r="AC41" i="39"/>
  <c r="U41" i="39"/>
  <c r="AB34" i="39"/>
  <c r="W34" i="39"/>
  <c r="S27" i="39"/>
  <c r="AB27" i="39"/>
  <c r="S23" i="39"/>
  <c r="W23" i="39"/>
  <c r="AA21" i="39"/>
  <c r="AB21" i="39"/>
  <c r="S15" i="39"/>
  <c r="F41" i="39"/>
  <c r="S41" i="39" s="1"/>
  <c r="U38" i="39"/>
  <c r="S9" i="39"/>
  <c r="W9" i="39"/>
  <c r="W8" i="39"/>
  <c r="AB32" i="21"/>
  <c r="AB45" i="21"/>
  <c r="S20" i="36"/>
  <c r="U41" i="33"/>
  <c r="AB41" i="33"/>
  <c r="S27" i="40"/>
  <c r="AA27" i="40"/>
  <c r="AZ534" i="3"/>
  <c r="S45" i="34"/>
  <c r="AA45" i="34"/>
  <c r="AC44" i="33"/>
  <c r="W44" i="33"/>
  <c r="AB11" i="33"/>
  <c r="U11" i="33"/>
  <c r="S14" i="21"/>
  <c r="AA14" i="21"/>
  <c r="AB34" i="35"/>
  <c r="U34" i="35"/>
  <c r="W17" i="37"/>
  <c r="AC17" i="37"/>
  <c r="F48" i="9"/>
  <c r="O52" i="9" s="1"/>
  <c r="D68" i="85"/>
  <c r="F53" i="85"/>
  <c r="F30" i="88"/>
  <c r="F52" i="85"/>
  <c r="F28" i="83"/>
  <c r="F54" i="85"/>
  <c r="F48" i="85"/>
  <c r="O52" i="85" s="1"/>
  <c r="F32" i="83"/>
  <c r="F60" i="83" s="1"/>
  <c r="M18" i="83"/>
  <c r="F30" i="69"/>
  <c r="F48" i="69" s="1"/>
  <c r="U12" i="39"/>
  <c r="AB12" i="39"/>
  <c r="AB32" i="40"/>
  <c r="U32" i="40"/>
  <c r="AA37" i="37"/>
  <c r="S37" i="37"/>
  <c r="AB24" i="35"/>
  <c r="U24" i="35"/>
  <c r="S26" i="36"/>
  <c r="AA26" i="36"/>
  <c r="AZ536" i="3"/>
  <c r="AC28" i="37"/>
  <c r="W28" i="37"/>
  <c r="AA46" i="33"/>
  <c r="S46" i="33"/>
  <c r="AB13" i="36"/>
  <c r="U13" i="36"/>
  <c r="U32" i="39"/>
  <c r="AA32" i="39"/>
  <c r="W34" i="33"/>
  <c r="AC34" i="33"/>
  <c r="AZ378" i="3"/>
  <c r="AC35" i="40"/>
  <c r="W35" i="40"/>
  <c r="AC38" i="37"/>
  <c r="W38" i="37"/>
  <c r="S28" i="33"/>
  <c r="AA28" i="33"/>
  <c r="W30" i="21"/>
  <c r="AC30" i="21"/>
  <c r="G113" i="21"/>
  <c r="H113" i="21" s="1"/>
  <c r="F37" i="21"/>
  <c r="AA37" i="21" s="1"/>
  <c r="AA32" i="21"/>
  <c r="S30" i="40"/>
  <c r="AZ14" i="3"/>
  <c r="U27" i="40"/>
  <c r="AB27" i="40"/>
  <c r="AB35" i="40"/>
  <c r="U35" i="40"/>
  <c r="AC11" i="39"/>
  <c r="W11" i="39"/>
  <c r="S31" i="34"/>
  <c r="AA31" i="34"/>
  <c r="U42" i="21"/>
  <c r="AB42" i="21"/>
  <c r="W11" i="35"/>
  <c r="AC11" i="35"/>
  <c r="S25" i="35"/>
  <c r="AA25" i="35"/>
  <c r="AZ325" i="3"/>
  <c r="AZ496" i="3"/>
  <c r="AZ528" i="3"/>
  <c r="AZ554" i="3"/>
  <c r="S28" i="34"/>
  <c r="W8" i="34"/>
  <c r="U34" i="21"/>
  <c r="AC27" i="39"/>
  <c r="AA9" i="40"/>
  <c r="B61" i="43"/>
  <c r="B99" i="43"/>
  <c r="B67" i="87"/>
  <c r="B99" i="87"/>
  <c r="B76" i="87"/>
  <c r="B56" i="87"/>
  <c r="B84" i="43"/>
  <c r="B84" i="87"/>
  <c r="F12" i="34"/>
  <c r="S12" i="34" s="1"/>
  <c r="AA35" i="34"/>
  <c r="B87" i="43"/>
  <c r="B87" i="87"/>
  <c r="AA19" i="37"/>
  <c r="U25" i="34"/>
  <c r="AA35" i="33"/>
  <c r="U27" i="34"/>
  <c r="AB16" i="35"/>
  <c r="AC21" i="40"/>
  <c r="AZ379" i="3"/>
  <c r="AZ322" i="3"/>
  <c r="AZ389" i="3"/>
  <c r="AZ372" i="3"/>
  <c r="AZ329" i="3"/>
  <c r="AZ376" i="3"/>
  <c r="AZ327" i="3"/>
  <c r="AZ309" i="3"/>
  <c r="AA11" i="39"/>
  <c r="S14" i="40"/>
  <c r="AA25" i="21"/>
  <c r="AA13" i="33"/>
  <c r="AZ535" i="3"/>
  <c r="AZ557" i="3"/>
  <c r="AZ508" i="3"/>
  <c r="AZ516" i="3"/>
  <c r="AZ524" i="3"/>
  <c r="AZ558" i="3"/>
  <c r="AZ566" i="3"/>
  <c r="AZ574" i="3"/>
  <c r="AZ582" i="3"/>
  <c r="AZ500" i="3"/>
  <c r="AZ540" i="3"/>
  <c r="AZ522" i="3"/>
  <c r="AZ560" i="3"/>
  <c r="S35" i="39"/>
  <c r="W31" i="34"/>
  <c r="AA14" i="33"/>
  <c r="H25" i="35"/>
  <c r="H32" i="36"/>
  <c r="F46" i="34"/>
  <c r="H31" i="33"/>
  <c r="H44" i="21"/>
  <c r="H14" i="21"/>
  <c r="AC12" i="34"/>
  <c r="W33" i="33"/>
  <c r="W40" i="39"/>
  <c r="J35" i="39"/>
  <c r="AC35" i="39" s="1"/>
  <c r="G586" i="3"/>
  <c r="B72" i="43"/>
  <c r="B72" i="87"/>
  <c r="B94" i="43"/>
  <c r="B62" i="87"/>
  <c r="B94" i="87"/>
  <c r="B51" i="87"/>
  <c r="B73" i="87"/>
  <c r="B97" i="43"/>
  <c r="B75" i="87"/>
  <c r="B65" i="87"/>
  <c r="B54" i="87"/>
  <c r="B97" i="87"/>
  <c r="H12" i="33"/>
  <c r="U12" i="33" s="1"/>
  <c r="H25" i="37"/>
  <c r="J25" i="37"/>
  <c r="H39" i="40"/>
  <c r="AZ326" i="3"/>
  <c r="AZ355" i="3"/>
  <c r="AZ527" i="3"/>
  <c r="AZ510" i="3"/>
  <c r="AZ552" i="3"/>
  <c r="AB26" i="33"/>
  <c r="U46" i="33"/>
  <c r="AC11" i="40"/>
  <c r="AC27" i="35"/>
  <c r="B101" i="43"/>
  <c r="B69" i="87"/>
  <c r="B79" i="87"/>
  <c r="B58" i="87"/>
  <c r="B101" i="87"/>
  <c r="B83" i="43"/>
  <c r="B83" i="87"/>
  <c r="H9" i="33"/>
  <c r="J23" i="36"/>
  <c r="G582" i="3"/>
  <c r="M20" i="15"/>
  <c r="M20" i="83"/>
  <c r="F34" i="83"/>
  <c r="F62" i="83" s="1"/>
  <c r="G14" i="3"/>
  <c r="G20" i="6" s="1"/>
  <c r="F7" i="1"/>
  <c r="BA398" i="3"/>
  <c r="BA399" i="3"/>
  <c r="AZ399" i="3" s="1"/>
  <c r="G401" i="3"/>
  <c r="G402" i="3"/>
  <c r="BA402" i="3"/>
  <c r="BA406" i="3"/>
  <c r="BL409" i="3"/>
  <c r="G411" i="3"/>
  <c r="BA413" i="3"/>
  <c r="G417" i="3"/>
  <c r="G423" i="3"/>
  <c r="BA424" i="3"/>
  <c r="G428" i="3"/>
  <c r="G434" i="3"/>
  <c r="BL437" i="3"/>
  <c r="G439" i="3"/>
  <c r="G440" i="3"/>
  <c r="BL443" i="3"/>
  <c r="BA444" i="3"/>
  <c r="G448" i="3"/>
  <c r="BA454" i="3"/>
  <c r="BA458" i="3"/>
  <c r="BA462" i="3"/>
  <c r="BL465" i="3"/>
  <c r="BA466" i="3"/>
  <c r="BA470" i="3"/>
  <c r="BL476" i="3"/>
  <c r="BL477" i="3"/>
  <c r="BL478" i="3"/>
  <c r="G479" i="3"/>
  <c r="BA480" i="3"/>
  <c r="BA486" i="3"/>
  <c r="G489" i="3"/>
  <c r="BA319" i="3"/>
  <c r="AZ319" i="3" s="1"/>
  <c r="BA331" i="3"/>
  <c r="AZ331" i="3" s="1"/>
  <c r="BL367" i="3"/>
  <c r="BL375" i="3"/>
  <c r="AZ375" i="3" s="1"/>
  <c r="BL386" i="3"/>
  <c r="G392" i="3"/>
  <c r="G396" i="3"/>
  <c r="BA397" i="3"/>
  <c r="AZ397" i="3" s="1"/>
  <c r="BL397" i="3"/>
  <c r="BL214" i="3"/>
  <c r="G216" i="3"/>
  <c r="BL222" i="3"/>
  <c r="G229" i="3"/>
  <c r="BA231" i="3"/>
  <c r="G241" i="3"/>
  <c r="BL245" i="3"/>
  <c r="G247" i="3"/>
  <c r="BL252" i="3"/>
  <c r="G254" i="3"/>
  <c r="BA257" i="3"/>
  <c r="AZ257" i="3" s="1"/>
  <c r="BA259" i="3"/>
  <c r="AZ259" i="3" s="1"/>
  <c r="G266" i="3"/>
  <c r="BA273" i="3"/>
  <c r="BA280" i="3"/>
  <c r="AZ280" i="3" s="1"/>
  <c r="G282" i="3"/>
  <c r="G41" i="69"/>
  <c r="G41" i="88"/>
  <c r="G22" i="88"/>
  <c r="F11" i="1"/>
  <c r="G11" i="1" s="1"/>
  <c r="G44" i="87"/>
  <c r="C44" i="87" s="1"/>
  <c r="BL430" i="3"/>
  <c r="BA435" i="3"/>
  <c r="BA443" i="3"/>
  <c r="AZ443" i="3" s="1"/>
  <c r="BL447" i="3"/>
  <c r="BA448" i="3"/>
  <c r="AZ448" i="3" s="1"/>
  <c r="BA452" i="3"/>
  <c r="BA457" i="3"/>
  <c r="BL458" i="3"/>
  <c r="BA460" i="3"/>
  <c r="BA461" i="3"/>
  <c r="BL462" i="3"/>
  <c r="BL464" i="3"/>
  <c r="BL469" i="3"/>
  <c r="BL488" i="3"/>
  <c r="BA489" i="3"/>
  <c r="BL308" i="3"/>
  <c r="AZ308" i="3" s="1"/>
  <c r="BL316" i="3"/>
  <c r="BL385" i="3"/>
  <c r="BA392" i="3"/>
  <c r="AZ392" i="3" s="1"/>
  <c r="BL395" i="3"/>
  <c r="BA210" i="3"/>
  <c r="BL210" i="3"/>
  <c r="BL212" i="3"/>
  <c r="BL219" i="3"/>
  <c r="D78" i="9"/>
  <c r="D93" i="85"/>
  <c r="D78" i="85"/>
  <c r="G399" i="3"/>
  <c r="BA400" i="3"/>
  <c r="BL402" i="3"/>
  <c r="G403" i="3"/>
  <c r="G407" i="3"/>
  <c r="BA410" i="3"/>
  <c r="BA412" i="3"/>
  <c r="AZ412" i="3" s="1"/>
  <c r="G414" i="3"/>
  <c r="BA418" i="3"/>
  <c r="G420" i="3"/>
  <c r="BA421" i="3"/>
  <c r="BA423" i="3"/>
  <c r="AZ423" i="3" s="1"/>
  <c r="G425" i="3"/>
  <c r="BA437" i="3"/>
  <c r="AZ437" i="3" s="1"/>
  <c r="BL440" i="3"/>
  <c r="G441" i="3"/>
  <c r="BL441" i="3"/>
  <c r="BL442" i="3"/>
  <c r="BL444" i="3"/>
  <c r="G446" i="3"/>
  <c r="G447" i="3"/>
  <c r="BL451" i="3"/>
  <c r="G453" i="3"/>
  <c r="BA456" i="3"/>
  <c r="G459" i="3"/>
  <c r="BA459" i="3"/>
  <c r="G463" i="3"/>
  <c r="BL466" i="3"/>
  <c r="G468" i="3"/>
  <c r="G469" i="3"/>
  <c r="BA473" i="3"/>
  <c r="BA476" i="3"/>
  <c r="AZ476" i="3" s="1"/>
  <c r="BL480" i="3"/>
  <c r="G482" i="3"/>
  <c r="BA483" i="3"/>
  <c r="BL483" i="3"/>
  <c r="BL487" i="3"/>
  <c r="BA315" i="3"/>
  <c r="AZ315" i="3" s="1"/>
  <c r="BA333" i="3"/>
  <c r="G358" i="3"/>
  <c r="G362" i="3"/>
  <c r="G366" i="3"/>
  <c r="G374" i="3"/>
  <c r="BL383" i="3"/>
  <c r="AZ383" i="3" s="1"/>
  <c r="BL208" i="3"/>
  <c r="G212" i="3"/>
  <c r="BA214" i="3"/>
  <c r="AZ214" i="3" s="1"/>
  <c r="BA217" i="3"/>
  <c r="G220" i="3"/>
  <c r="BL230" i="3"/>
  <c r="BL235" i="3"/>
  <c r="BL236" i="3"/>
  <c r="BL242" i="3"/>
  <c r="BL243" i="3"/>
  <c r="BA248" i="3"/>
  <c r="BL248" i="3"/>
  <c r="BL255" i="3"/>
  <c r="BA260" i="3"/>
  <c r="BA262" i="3"/>
  <c r="AZ262" i="3" s="1"/>
  <c r="BL267" i="3"/>
  <c r="G271" i="3"/>
  <c r="BA275" i="3"/>
  <c r="T60" i="71"/>
  <c r="D60" i="71"/>
  <c r="F34" i="68"/>
  <c r="F34" i="88"/>
  <c r="BL406" i="3"/>
  <c r="BA407" i="3"/>
  <c r="AZ407" i="3" s="1"/>
  <c r="BA414" i="3"/>
  <c r="BA415" i="3"/>
  <c r="BA416" i="3"/>
  <c r="AZ416" i="3" s="1"/>
  <c r="BA419" i="3"/>
  <c r="AZ419" i="3" s="1"/>
  <c r="BA420" i="3"/>
  <c r="BA425" i="3"/>
  <c r="BA431" i="3"/>
  <c r="AZ487" i="3"/>
  <c r="BA348" i="3"/>
  <c r="BA350" i="3"/>
  <c r="AZ350" i="3" s="1"/>
  <c r="BA354" i="3"/>
  <c r="BA225" i="3"/>
  <c r="BA227" i="3"/>
  <c r="AZ227" i="3" s="1"/>
  <c r="G232" i="3"/>
  <c r="BL232" i="3"/>
  <c r="BA265" i="3"/>
  <c r="AZ265" i="3" s="1"/>
  <c r="G288" i="3"/>
  <c r="BA293" i="3"/>
  <c r="G259" i="3"/>
  <c r="G263" i="3"/>
  <c r="BL265" i="3"/>
  <c r="G267" i="3"/>
  <c r="BA270" i="3"/>
  <c r="G273" i="3"/>
  <c r="G277" i="3"/>
  <c r="G279" i="3"/>
  <c r="G283" i="3"/>
  <c r="BL289" i="3"/>
  <c r="G291" i="3"/>
  <c r="BA291" i="3"/>
  <c r="G294" i="3"/>
  <c r="BL295" i="3"/>
  <c r="BA301" i="3"/>
  <c r="AZ301" i="3" s="1"/>
  <c r="BL122" i="3"/>
  <c r="BL123" i="3"/>
  <c r="AZ123" i="3" s="1"/>
  <c r="G127" i="3"/>
  <c r="G130" i="3"/>
  <c r="BA134" i="3"/>
  <c r="BL137" i="3"/>
  <c r="G143" i="3"/>
  <c r="BA149" i="3"/>
  <c r="G152" i="3"/>
  <c r="BA157" i="3"/>
  <c r="BL173" i="3"/>
  <c r="G178" i="3"/>
  <c r="BL178" i="3"/>
  <c r="BA180" i="3"/>
  <c r="AZ180" i="3" s="1"/>
  <c r="BL182" i="3"/>
  <c r="G183" i="3"/>
  <c r="BA184" i="3"/>
  <c r="AZ184" i="3" s="1"/>
  <c r="BL187" i="3"/>
  <c r="AZ187" i="3" s="1"/>
  <c r="G188" i="3"/>
  <c r="BL195" i="3"/>
  <c r="AZ195" i="3" s="1"/>
  <c r="BL197" i="3"/>
  <c r="G198" i="3"/>
  <c r="G202" i="3"/>
  <c r="BL205" i="3"/>
  <c r="G22" i="3"/>
  <c r="BA30" i="3"/>
  <c r="BA38" i="3"/>
  <c r="BA50" i="3"/>
  <c r="G63" i="3"/>
  <c r="BA64" i="3"/>
  <c r="BL74" i="3"/>
  <c r="BL76" i="3"/>
  <c r="BL103" i="3"/>
  <c r="G104" i="3"/>
  <c r="AC21" i="37"/>
  <c r="U21" i="34"/>
  <c r="U29" i="39"/>
  <c r="B100" i="43"/>
  <c r="B100" i="87"/>
  <c r="B57" i="87"/>
  <c r="B77" i="87"/>
  <c r="B68" i="87"/>
  <c r="E67" i="71"/>
  <c r="C51" i="71"/>
  <c r="AB27" i="71"/>
  <c r="Y35" i="71"/>
  <c r="Z35" i="71" s="1"/>
  <c r="X39" i="71"/>
  <c r="B59" i="71"/>
  <c r="B60" i="71" s="1"/>
  <c r="S60" i="71" s="1"/>
  <c r="D88" i="71"/>
  <c r="F3" i="35"/>
  <c r="G1" i="83"/>
  <c r="G1" i="88"/>
  <c r="C25" i="40"/>
  <c r="B88" i="87"/>
  <c r="AA28" i="71"/>
  <c r="U68" i="71"/>
  <c r="B28" i="71"/>
  <c r="B27" i="71" s="1"/>
  <c r="B26" i="71" s="1"/>
  <c r="E38" i="71"/>
  <c r="E39" i="71" s="1"/>
  <c r="E40" i="71" s="1"/>
  <c r="U40" i="71" s="1"/>
  <c r="BA125" i="3"/>
  <c r="BL154" i="3"/>
  <c r="BL155" i="3"/>
  <c r="AZ155" i="3" s="1"/>
  <c r="BL161" i="3"/>
  <c r="G163" i="3"/>
  <c r="BA173" i="3"/>
  <c r="BL175" i="3"/>
  <c r="AZ175" i="3" s="1"/>
  <c r="BA189" i="3"/>
  <c r="BL189" i="3"/>
  <c r="BL190" i="3"/>
  <c r="BA192" i="3"/>
  <c r="AZ192" i="3" s="1"/>
  <c r="BA201" i="3"/>
  <c r="BL25" i="3"/>
  <c r="BL27" i="3"/>
  <c r="BA28" i="3"/>
  <c r="BA40" i="3"/>
  <c r="G47" i="3"/>
  <c r="G52" i="3"/>
  <c r="BL52" i="3"/>
  <c r="BL54" i="3"/>
  <c r="BL64" i="3"/>
  <c r="G67" i="3"/>
  <c r="BL73" i="3"/>
  <c r="BA74" i="3"/>
  <c r="AZ74" i="3" s="1"/>
  <c r="BL79" i="3"/>
  <c r="BA88" i="3"/>
  <c r="G93" i="3"/>
  <c r="BA109" i="3"/>
  <c r="BA110" i="3"/>
  <c r="AZ110" i="3" s="1"/>
  <c r="C7" i="34"/>
  <c r="G23" i="87"/>
  <c r="M47" i="85"/>
  <c r="J51" i="83"/>
  <c r="C31" i="71"/>
  <c r="M56" i="9"/>
  <c r="M56" i="85"/>
  <c r="K56" i="85"/>
  <c r="J56" i="85"/>
  <c r="J57" i="85" s="1"/>
  <c r="J59" i="85" s="1"/>
  <c r="J61" i="85" s="1"/>
  <c r="N56" i="85"/>
  <c r="G281" i="3"/>
  <c r="BL283" i="3"/>
  <c r="AZ283" i="3" s="1"/>
  <c r="BL284" i="3"/>
  <c r="BL292" i="3"/>
  <c r="BA298" i="3"/>
  <c r="AZ298" i="3" s="1"/>
  <c r="G116" i="3"/>
  <c r="BA120" i="3"/>
  <c r="AZ120" i="3" s="1"/>
  <c r="BL127" i="3"/>
  <c r="AZ127" i="3" s="1"/>
  <c r="BA128" i="3"/>
  <c r="AZ128" i="3" s="1"/>
  <c r="G136" i="3"/>
  <c r="BA146" i="3"/>
  <c r="AZ146" i="3" s="1"/>
  <c r="BA150" i="3"/>
  <c r="BA160" i="3"/>
  <c r="AZ160" i="3" s="1"/>
  <c r="BA162" i="3"/>
  <c r="G167" i="3"/>
  <c r="BL169" i="3"/>
  <c r="BL170" i="3"/>
  <c r="BA177" i="3"/>
  <c r="BA188" i="3"/>
  <c r="AZ188" i="3" s="1"/>
  <c r="G194" i="3"/>
  <c r="BL198" i="3"/>
  <c r="BL199" i="3"/>
  <c r="AZ199" i="3" s="1"/>
  <c r="BA200" i="3"/>
  <c r="AZ200" i="3" s="1"/>
  <c r="BA207" i="3"/>
  <c r="BL207" i="3"/>
  <c r="BL18" i="3"/>
  <c r="G19" i="3"/>
  <c r="BL19" i="3"/>
  <c r="BA20" i="3"/>
  <c r="G24" i="3"/>
  <c r="G25" i="3"/>
  <c r="G30" i="3"/>
  <c r="BA41" i="3"/>
  <c r="BA42" i="3"/>
  <c r="G45" i="3"/>
  <c r="G54" i="3"/>
  <c r="G71" i="3"/>
  <c r="G72" i="3"/>
  <c r="BA78" i="3"/>
  <c r="G90" i="3"/>
  <c r="BA92" i="3"/>
  <c r="G98" i="3"/>
  <c r="G106" i="3"/>
  <c r="BL106" i="3"/>
  <c r="BA108" i="3"/>
  <c r="G110" i="3"/>
  <c r="J51" i="15"/>
  <c r="S21" i="33"/>
  <c r="W29" i="39"/>
  <c r="D72" i="71"/>
  <c r="B66" i="71"/>
  <c r="B63" i="71"/>
  <c r="B64" i="71" s="1"/>
  <c r="S64" i="71" s="1"/>
  <c r="A15" i="62"/>
  <c r="B61" i="72" s="1"/>
  <c r="B24" i="31"/>
  <c r="C33" i="21"/>
  <c r="D33" i="43"/>
  <c r="D1" i="43" s="1"/>
  <c r="K6" i="1"/>
  <c r="AP6" i="1" s="1"/>
  <c r="C36" i="69" s="1"/>
  <c r="E32" i="6"/>
  <c r="C51" i="10"/>
  <c r="A13" i="51" s="1"/>
  <c r="B11" i="72" s="1"/>
  <c r="A118" i="85"/>
  <c r="A2" i="85"/>
  <c r="U29" i="35"/>
  <c r="O7" i="1"/>
  <c r="P7" i="1" s="1"/>
  <c r="D68" i="9"/>
  <c r="F32" i="67"/>
  <c r="F60" i="67" s="1"/>
  <c r="F30" i="11"/>
  <c r="C48" i="11" s="1"/>
  <c r="F28" i="15"/>
  <c r="M18" i="67"/>
  <c r="M18" i="15"/>
  <c r="F31" i="12"/>
  <c r="C21" i="68"/>
  <c r="G22" i="11"/>
  <c r="E1" i="73"/>
  <c r="G26" i="12"/>
  <c r="G22" i="68"/>
  <c r="G29" i="6"/>
  <c r="F29" i="6"/>
  <c r="M47" i="9"/>
  <c r="C7" i="35"/>
  <c r="C48" i="35" s="1"/>
  <c r="D48" i="35" s="1"/>
  <c r="E48" i="35" s="1"/>
  <c r="C42" i="1"/>
  <c r="C7" i="40"/>
  <c r="C63" i="40" s="1"/>
  <c r="D63" i="40" s="1"/>
  <c r="C7" i="39"/>
  <c r="C67" i="39" s="1"/>
  <c r="C7" i="36"/>
  <c r="C46" i="36" s="1"/>
  <c r="D46" i="36" s="1"/>
  <c r="E46" i="36" s="1"/>
  <c r="F46" i="36" s="1"/>
  <c r="G46" i="36" s="1"/>
  <c r="H46" i="36" s="1"/>
  <c r="I46" i="36" s="1"/>
  <c r="C7" i="21"/>
  <c r="AB25" i="33"/>
  <c r="AB36" i="33"/>
  <c r="AA23" i="21"/>
  <c r="AA19" i="33"/>
  <c r="AB23" i="33"/>
  <c r="F54" i="9"/>
  <c r="F32" i="15"/>
  <c r="F60" i="15" s="1"/>
  <c r="F52" i="9"/>
  <c r="F30" i="68"/>
  <c r="F48" i="68" s="1"/>
  <c r="AC15" i="21"/>
  <c r="AB19" i="40"/>
  <c r="AZ306" i="3"/>
  <c r="AZ502" i="3"/>
  <c r="U33" i="40"/>
  <c r="AB33" i="40"/>
  <c r="S12" i="40"/>
  <c r="AA12" i="40"/>
  <c r="AA41" i="33"/>
  <c r="S41" i="33"/>
  <c r="S34" i="33"/>
  <c r="AA34" i="33"/>
  <c r="S22" i="36"/>
  <c r="AA22" i="36"/>
  <c r="AC13" i="35"/>
  <c r="W13" i="35"/>
  <c r="S47" i="34"/>
  <c r="AA47" i="34"/>
  <c r="U46" i="34"/>
  <c r="AB46" i="34"/>
  <c r="W31" i="33"/>
  <c r="AC31" i="33"/>
  <c r="U30" i="21"/>
  <c r="AB30" i="21"/>
  <c r="AA44" i="34"/>
  <c r="S44" i="34"/>
  <c r="W36" i="34"/>
  <c r="AC36" i="34"/>
  <c r="S29" i="35"/>
  <c r="AA29" i="35"/>
  <c r="U19" i="33"/>
  <c r="AC27" i="33"/>
  <c r="AC23" i="37"/>
  <c r="U9" i="21"/>
  <c r="AC17" i="33"/>
  <c r="S36" i="33"/>
  <c r="AB33" i="34"/>
  <c r="AA20" i="35"/>
  <c r="S20" i="35"/>
  <c r="AZ520" i="3"/>
  <c r="S14" i="37"/>
  <c r="AA14" i="37"/>
  <c r="U45" i="33"/>
  <c r="AB45" i="33"/>
  <c r="AC39" i="34"/>
  <c r="G521" i="3"/>
  <c r="AC5" i="3"/>
  <c r="AZ513" i="3"/>
  <c r="AB30" i="33"/>
  <c r="U30" i="33"/>
  <c r="W28" i="21"/>
  <c r="AC28" i="21"/>
  <c r="AZ357" i="3"/>
  <c r="AZ313" i="3"/>
  <c r="AZ394" i="3"/>
  <c r="AZ531" i="3"/>
  <c r="AZ583" i="3"/>
  <c r="AZ568" i="3"/>
  <c r="AZ576" i="3"/>
  <c r="W31" i="40"/>
  <c r="G585" i="3"/>
  <c r="BL587" i="3"/>
  <c r="AZ587" i="3" s="1"/>
  <c r="BL586" i="3"/>
  <c r="AZ586" i="3" s="1"/>
  <c r="J12" i="36"/>
  <c r="H12" i="36"/>
  <c r="AZ406" i="3"/>
  <c r="AZ334" i="3"/>
  <c r="AZ523" i="3"/>
  <c r="AZ547" i="3"/>
  <c r="AZ571" i="3"/>
  <c r="AZ579" i="3"/>
  <c r="AB23" i="34"/>
  <c r="W28" i="36"/>
  <c r="B79" i="43"/>
  <c r="J24" i="36"/>
  <c r="H24" i="36"/>
  <c r="AZ387" i="3"/>
  <c r="AZ362" i="3"/>
  <c r="AZ338" i="3"/>
  <c r="AZ390" i="3"/>
  <c r="AZ371" i="3"/>
  <c r="AZ351" i="3"/>
  <c r="AZ336" i="3"/>
  <c r="AZ305" i="3"/>
  <c r="AZ360" i="3"/>
  <c r="AZ539" i="3"/>
  <c r="AZ529" i="3"/>
  <c r="AZ537" i="3"/>
  <c r="AZ518" i="3"/>
  <c r="AZ526" i="3"/>
  <c r="AZ546" i="3"/>
  <c r="AZ564" i="3"/>
  <c r="AZ580" i="3"/>
  <c r="AB17" i="34"/>
  <c r="BL585" i="3"/>
  <c r="AZ585" i="3" s="1"/>
  <c r="H36" i="35"/>
  <c r="J36" i="35"/>
  <c r="AC36" i="35" s="1"/>
  <c r="BL550" i="3"/>
  <c r="AZ451" i="3"/>
  <c r="AZ469" i="3"/>
  <c r="AZ483" i="3"/>
  <c r="BL346" i="3"/>
  <c r="AZ346" i="3" s="1"/>
  <c r="BA384" i="3"/>
  <c r="AZ384" i="3" s="1"/>
  <c r="BA395" i="3"/>
  <c r="AZ395" i="3" s="1"/>
  <c r="BA208" i="3"/>
  <c r="AZ208" i="3" s="1"/>
  <c r="BA211" i="3"/>
  <c r="AZ211" i="3" s="1"/>
  <c r="BL213" i="3"/>
  <c r="BL215" i="3"/>
  <c r="BA222" i="3"/>
  <c r="AZ222" i="3" s="1"/>
  <c r="J9" i="34"/>
  <c r="H12" i="34"/>
  <c r="G574" i="3"/>
  <c r="BL16" i="3"/>
  <c r="AZ16" i="3" s="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AZ452" i="3" s="1"/>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G228" i="3"/>
  <c r="BL228" i="3"/>
  <c r="BA230" i="3"/>
  <c r="AZ230" i="3" s="1"/>
  <c r="BL233" i="3"/>
  <c r="BA245" i="3"/>
  <c r="AZ245" i="3" s="1"/>
  <c r="G587" i="3"/>
  <c r="J12" i="35"/>
  <c r="F25" i="37"/>
  <c r="BA551" i="3"/>
  <c r="AZ551" i="3" s="1"/>
  <c r="BA550" i="3"/>
  <c r="AZ550" i="3" s="1"/>
  <c r="BL548" i="3"/>
  <c r="AZ548" i="3" s="1"/>
  <c r="G398" i="3"/>
  <c r="BL400" i="3"/>
  <c r="AZ400" i="3" s="1"/>
  <c r="BL408" i="3"/>
  <c r="BL411" i="3"/>
  <c r="BL413" i="3"/>
  <c r="AZ413" i="3" s="1"/>
  <c r="G415" i="3"/>
  <c r="BL417" i="3"/>
  <c r="BL418" i="3"/>
  <c r="AZ418" i="3" s="1"/>
  <c r="BL420" i="3"/>
  <c r="G422" i="3"/>
  <c r="BL424" i="3"/>
  <c r="G426" i="3"/>
  <c r="BL428" i="3"/>
  <c r="BL429" i="3"/>
  <c r="BL432" i="3"/>
  <c r="BL435" i="3"/>
  <c r="AZ435" i="3" s="1"/>
  <c r="BL436" i="3"/>
  <c r="BA439" i="3"/>
  <c r="BA440" i="3"/>
  <c r="AZ440" i="3" s="1"/>
  <c r="BA442" i="3"/>
  <c r="BA445" i="3"/>
  <c r="BA447" i="3"/>
  <c r="AZ447" i="3" s="1"/>
  <c r="BA449" i="3"/>
  <c r="BL453" i="3"/>
  <c r="BL454" i="3"/>
  <c r="AZ454" i="3" s="1"/>
  <c r="BL459" i="3"/>
  <c r="AZ459" i="3" s="1"/>
  <c r="BA465" i="3"/>
  <c r="AZ465" i="3" s="1"/>
  <c r="BA467" i="3"/>
  <c r="BA468" i="3"/>
  <c r="BL471" i="3"/>
  <c r="BL475" i="3"/>
  <c r="BA477" i="3"/>
  <c r="AZ477" i="3" s="1"/>
  <c r="BA478" i="3"/>
  <c r="BA481" i="3"/>
  <c r="G484" i="3"/>
  <c r="BA488" i="3"/>
  <c r="AZ488" i="3" s="1"/>
  <c r="BA491" i="3"/>
  <c r="AZ491" i="3" s="1"/>
  <c r="BL324" i="3"/>
  <c r="AZ324" i="3" s="1"/>
  <c r="BL328" i="3"/>
  <c r="AZ328" i="3" s="1"/>
  <c r="G329" i="3"/>
  <c r="BA335" i="3"/>
  <c r="AZ335" i="3" s="1"/>
  <c r="BA339" i="3"/>
  <c r="AZ339" i="3" s="1"/>
  <c r="AZ228" i="3"/>
  <c r="BL231" i="3"/>
  <c r="BA235" i="3"/>
  <c r="AZ235" i="3" s="1"/>
  <c r="BA236" i="3"/>
  <c r="BA238" i="3"/>
  <c r="AZ238" i="3" s="1"/>
  <c r="BA243" i="3"/>
  <c r="AZ243" i="3" s="1"/>
  <c r="BA255" i="3"/>
  <c r="BL258" i="3"/>
  <c r="AZ270" i="3"/>
  <c r="BL398" i="3"/>
  <c r="AZ398" i="3" s="1"/>
  <c r="BL403" i="3"/>
  <c r="G405" i="3"/>
  <c r="G406" i="3"/>
  <c r="BA408" i="3"/>
  <c r="BA409" i="3"/>
  <c r="AZ409" i="3" s="1"/>
  <c r="BA411" i="3"/>
  <c r="BL414" i="3"/>
  <c r="AZ414" i="3" s="1"/>
  <c r="BL415" i="3"/>
  <c r="AZ415" i="3" s="1"/>
  <c r="BA417" i="3"/>
  <c r="BL421" i="3"/>
  <c r="AZ421" i="3" s="1"/>
  <c r="BL422" i="3"/>
  <c r="BL425" i="3"/>
  <c r="AZ425" i="3" s="1"/>
  <c r="BL426" i="3"/>
  <c r="BA428" i="3"/>
  <c r="AZ428" i="3" s="1"/>
  <c r="BA429" i="3"/>
  <c r="AZ429" i="3" s="1"/>
  <c r="BA430" i="3"/>
  <c r="AZ430" i="3" s="1"/>
  <c r="BA432" i="3"/>
  <c r="BA434" i="3"/>
  <c r="BA436" i="3"/>
  <c r="AZ436" i="3" s="1"/>
  <c r="BA438" i="3"/>
  <c r="AZ438" i="3" s="1"/>
  <c r="G442" i="3"/>
  <c r="BA446" i="3"/>
  <c r="BA450" i="3"/>
  <c r="AZ450" i="3" s="1"/>
  <c r="BA453" i="3"/>
  <c r="AZ453" i="3" s="1"/>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A226" i="3"/>
  <c r="BA229" i="3"/>
  <c r="AZ229" i="3" s="1"/>
  <c r="BL229" i="3"/>
  <c r="BA233" i="3"/>
  <c r="AZ233" i="3" s="1"/>
  <c r="BL234" i="3"/>
  <c r="BA237" i="3"/>
  <c r="AZ237" i="3" s="1"/>
  <c r="BL240" i="3"/>
  <c r="AZ240" i="3" s="1"/>
  <c r="BA242" i="3"/>
  <c r="AZ242" i="3" s="1"/>
  <c r="BL254" i="3"/>
  <c r="BL272" i="3"/>
  <c r="BA247" i="3"/>
  <c r="BL247" i="3"/>
  <c r="BA249" i="3"/>
  <c r="AZ249" i="3" s="1"/>
  <c r="BL249" i="3"/>
  <c r="BA251" i="3"/>
  <c r="BL251" i="3"/>
  <c r="BA253" i="3"/>
  <c r="BL260" i="3"/>
  <c r="AZ260" i="3" s="1"/>
  <c r="BL263" i="3"/>
  <c r="BL270" i="3"/>
  <c r="BA272" i="3"/>
  <c r="AZ272" i="3" s="1"/>
  <c r="BL275" i="3"/>
  <c r="AZ275" i="3" s="1"/>
  <c r="BL285" i="3"/>
  <c r="BL287" i="3"/>
  <c r="BA290" i="3"/>
  <c r="BL299" i="3"/>
  <c r="BL113" i="3"/>
  <c r="BL115" i="3"/>
  <c r="AZ115" i="3" s="1"/>
  <c r="BA118" i="3"/>
  <c r="AZ118" i="3" s="1"/>
  <c r="BL118" i="3"/>
  <c r="BA122" i="3"/>
  <c r="AZ122" i="3" s="1"/>
  <c r="BL125" i="3"/>
  <c r="AZ125" i="3" s="1"/>
  <c r="BL126" i="3"/>
  <c r="BA144" i="3"/>
  <c r="AZ144" i="3" s="1"/>
  <c r="BA153" i="3"/>
  <c r="BL158" i="3"/>
  <c r="BL165" i="3"/>
  <c r="BA178" i="3"/>
  <c r="AZ178" i="3" s="1"/>
  <c r="BL185" i="3"/>
  <c r="BL193" i="3"/>
  <c r="AZ201" i="3"/>
  <c r="BL225" i="3"/>
  <c r="BL226" i="3"/>
  <c r="G227" i="3"/>
  <c r="BA239" i="3"/>
  <c r="AZ239" i="3" s="1"/>
  <c r="BL239" i="3"/>
  <c r="BA241" i="3"/>
  <c r="BL241" i="3"/>
  <c r="BA244" i="3"/>
  <c r="AZ244" i="3" s="1"/>
  <c r="BL244" i="3"/>
  <c r="BA246" i="3"/>
  <c r="BA252" i="3"/>
  <c r="AZ252" i="3" s="1"/>
  <c r="BA254" i="3"/>
  <c r="BA256" i="3"/>
  <c r="AZ256" i="3" s="1"/>
  <c r="BL256" i="3"/>
  <c r="BA258" i="3"/>
  <c r="BL264" i="3"/>
  <c r="BL266" i="3"/>
  <c r="BA268" i="3"/>
  <c r="BL273" i="3"/>
  <c r="AZ273" i="3" s="1"/>
  <c r="G274" i="3"/>
  <c r="BA277" i="3"/>
  <c r="AZ277" i="3" s="1"/>
  <c r="BL277" i="3"/>
  <c r="BA282" i="3"/>
  <c r="BL282" i="3"/>
  <c r="BA284" i="3"/>
  <c r="AZ284" i="3" s="1"/>
  <c r="BL290" i="3"/>
  <c r="BL291" i="3"/>
  <c r="AZ291" i="3" s="1"/>
  <c r="BL293" i="3"/>
  <c r="AZ293" i="3" s="1"/>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G158" i="3"/>
  <c r="BL162" i="3"/>
  <c r="AZ162" i="3" s="1"/>
  <c r="BA168" i="3"/>
  <c r="AZ168" i="3" s="1"/>
  <c r="G175" i="3"/>
  <c r="BA176" i="3"/>
  <c r="AZ176" i="3" s="1"/>
  <c r="BL179" i="3"/>
  <c r="AZ179" i="3" s="1"/>
  <c r="BA181" i="3"/>
  <c r="AZ181" i="3" s="1"/>
  <c r="BA182" i="3"/>
  <c r="AZ182" i="3" s="1"/>
  <c r="BA194" i="3"/>
  <c r="BA33" i="3"/>
  <c r="BL69" i="3"/>
  <c r="AZ69" i="3" s="1"/>
  <c r="C55" i="71"/>
  <c r="D54" i="71"/>
  <c r="BL261" i="3"/>
  <c r="BA263" i="3"/>
  <c r="AZ263" i="3" s="1"/>
  <c r="BA267" i="3"/>
  <c r="AZ267" i="3" s="1"/>
  <c r="BA269" i="3"/>
  <c r="AZ269" i="3" s="1"/>
  <c r="BA271" i="3"/>
  <c r="AZ271" i="3" s="1"/>
  <c r="BL271" i="3"/>
  <c r="BA27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5" i="3"/>
  <c r="G164" i="3"/>
  <c r="BL167" i="3"/>
  <c r="AZ167" i="3" s="1"/>
  <c r="BA169" i="3"/>
  <c r="AZ169" i="3" s="1"/>
  <c r="BL171" i="3"/>
  <c r="AZ171" i="3" s="1"/>
  <c r="G174" i="3"/>
  <c r="G184" i="3"/>
  <c r="AZ294" i="3"/>
  <c r="BL194" i="3"/>
  <c r="C36" i="71"/>
  <c r="D36" i="71" s="1"/>
  <c r="D35" i="71"/>
  <c r="S80" i="71"/>
  <c r="B79" i="71"/>
  <c r="B78" i="71" s="1"/>
  <c r="V24" i="71"/>
  <c r="E23" i="71"/>
  <c r="E22" i="71" s="1"/>
  <c r="E21" i="71" s="1"/>
  <c r="E20" i="71" s="1"/>
  <c r="E19" i="71" s="1"/>
  <c r="E18" i="71" s="1"/>
  <c r="E17" i="71" s="1"/>
  <c r="E16" i="71" s="1"/>
  <c r="AA3" i="71"/>
  <c r="BA198" i="3"/>
  <c r="AZ198" i="3" s="1"/>
  <c r="G199" i="3"/>
  <c r="G205" i="3"/>
  <c r="BL206" i="3"/>
  <c r="BA19" i="3"/>
  <c r="AZ19" i="3" s="1"/>
  <c r="G27" i="3"/>
  <c r="BA27" i="3"/>
  <c r="AZ27" i="3" s="1"/>
  <c r="BL30" i="3"/>
  <c r="BL31" i="3"/>
  <c r="AZ31" i="3" s="1"/>
  <c r="G37" i="3"/>
  <c r="BL40" i="3"/>
  <c r="BL41" i="3"/>
  <c r="AZ41" i="3" s="1"/>
  <c r="BL45" i="3"/>
  <c r="BA48" i="3"/>
  <c r="AZ48" i="3" s="1"/>
  <c r="BA49" i="3"/>
  <c r="BA51" i="3"/>
  <c r="G55" i="3"/>
  <c r="BL56" i="3"/>
  <c r="AZ56" i="3" s="1"/>
  <c r="BA58" i="3"/>
  <c r="BL59" i="3"/>
  <c r="AZ59" i="3" s="1"/>
  <c r="BL60" i="3"/>
  <c r="BA61" i="3"/>
  <c r="AZ61" i="3" s="1"/>
  <c r="BA68" i="3"/>
  <c r="AZ68" i="3" s="1"/>
  <c r="BA73" i="3"/>
  <c r="BL77" i="3"/>
  <c r="BA79" i="3"/>
  <c r="AZ79" i="3" s="1"/>
  <c r="F40" i="69"/>
  <c r="C40" i="69"/>
  <c r="C52" i="71"/>
  <c r="D51" i="71"/>
  <c r="Y29" i="71"/>
  <c r="Z29" i="71" s="1"/>
  <c r="Y37" i="71"/>
  <c r="Z37" i="71" s="1"/>
  <c r="F66" i="71"/>
  <c r="Q67" i="71"/>
  <c r="X25" i="71"/>
  <c r="G154" i="3"/>
  <c r="G156" i="3"/>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BA18" i="3"/>
  <c r="G21" i="3"/>
  <c r="BL21" i="3"/>
  <c r="G23" i="3"/>
  <c r="G29" i="3"/>
  <c r="BL29" i="3"/>
  <c r="G33" i="3"/>
  <c r="G34" i="3"/>
  <c r="BA37" i="3"/>
  <c r="G39" i="3"/>
  <c r="BL39" i="3"/>
  <c r="G43" i="3"/>
  <c r="G44" i="3"/>
  <c r="BA45" i="3"/>
  <c r="BA46" i="3"/>
  <c r="BL49" i="3"/>
  <c r="BL50" i="3"/>
  <c r="AZ50" i="3" s="1"/>
  <c r="BL51" i="3"/>
  <c r="G53" i="3"/>
  <c r="BL53" i="3"/>
  <c r="BA56" i="3"/>
  <c r="BA57" i="3"/>
  <c r="BL58" i="3"/>
  <c r="G60" i="3"/>
  <c r="BA60" i="3"/>
  <c r="AZ60" i="3" s="1"/>
  <c r="BA63" i="3"/>
  <c r="BA66" i="3"/>
  <c r="BA71" i="3"/>
  <c r="AZ71" i="3" s="1"/>
  <c r="G76" i="3"/>
  <c r="G80" i="3"/>
  <c r="G85" i="3"/>
  <c r="BL85" i="3"/>
  <c r="BA86" i="3"/>
  <c r="AZ86" i="3" s="1"/>
  <c r="BA87" i="3"/>
  <c r="BA89" i="3"/>
  <c r="BL92" i="3"/>
  <c r="AZ92" i="3" s="1"/>
  <c r="BL96" i="3"/>
  <c r="BL97" i="3"/>
  <c r="AZ97" i="3" s="1"/>
  <c r="G103" i="3"/>
  <c r="AB21" i="37"/>
  <c r="U21" i="37"/>
  <c r="C47" i="71"/>
  <c r="D47" i="71" s="1"/>
  <c r="D46" i="71"/>
  <c r="C67" i="71"/>
  <c r="T68" i="71"/>
  <c r="O68" i="71"/>
  <c r="T76" i="71"/>
  <c r="D76" i="71"/>
  <c r="C75" i="71"/>
  <c r="Y27" i="71"/>
  <c r="Z27" i="71" s="1"/>
  <c r="Y26" i="71"/>
  <c r="Z26" i="71" s="1"/>
  <c r="C23" i="71"/>
  <c r="B22" i="71"/>
  <c r="B21" i="71" s="1"/>
  <c r="B20" i="71" s="1"/>
  <c r="BA185" i="3"/>
  <c r="AZ185" i="3" s="1"/>
  <c r="BL191" i="3"/>
  <c r="AZ191" i="3" s="1"/>
  <c r="G192" i="3"/>
  <c r="BA193" i="3"/>
  <c r="BA196" i="3"/>
  <c r="AZ196" i="3" s="1"/>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BA77" i="3"/>
  <c r="AZ77" i="3" s="1"/>
  <c r="BA80" i="3"/>
  <c r="G84" i="3"/>
  <c r="BL84" i="3"/>
  <c r="AZ84" i="3" s="1"/>
  <c r="BL88" i="3"/>
  <c r="AZ88" i="3" s="1"/>
  <c r="BL90" i="3"/>
  <c r="G95" i="3"/>
  <c r="G96" i="3"/>
  <c r="W21" i="21"/>
  <c r="AC25" i="40"/>
  <c r="U21" i="33"/>
  <c r="AB21" i="33"/>
  <c r="D43" i="71"/>
  <c r="C86" i="71"/>
  <c r="D86" i="71" s="1"/>
  <c r="D87"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T64" i="71" s="1"/>
  <c r="D63" i="71"/>
  <c r="BA103" i="3"/>
  <c r="AZ103" i="3" s="1"/>
  <c r="BA104" i="3"/>
  <c r="BA106" i="3"/>
  <c r="BL108" i="3"/>
  <c r="AZ108" i="3" s="1"/>
  <c r="BL111" i="3"/>
  <c r="AA27" i="71"/>
  <c r="S28" i="71"/>
  <c r="C83" i="71"/>
  <c r="C79" i="71"/>
  <c r="C71" i="71"/>
  <c r="C39" i="71"/>
  <c r="Y28" i="71"/>
  <c r="Z28" i="71" s="1"/>
  <c r="Y30" i="71"/>
  <c r="Z30" i="71" s="1"/>
  <c r="X28" i="71"/>
  <c r="X32" i="71"/>
  <c r="AB38" i="71"/>
  <c r="F75" i="71"/>
  <c r="F74" i="71" s="1"/>
  <c r="G101" i="3"/>
  <c r="BA101" i="3"/>
  <c r="AZ101" i="3" s="1"/>
  <c r="G109" i="3"/>
  <c r="BL112" i="3"/>
  <c r="B88" i="43"/>
  <c r="F35" i="71"/>
  <c r="F36" i="71" s="1"/>
  <c r="V36" i="71" s="1"/>
  <c r="AA34" i="7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9" i="3"/>
  <c r="AZ442" i="3"/>
  <c r="AZ445" i="3"/>
  <c r="AZ449" i="3"/>
  <c r="AZ456" i="3"/>
  <c r="AZ467" i="3"/>
  <c r="AZ468" i="3"/>
  <c r="AZ470" i="3"/>
  <c r="W35" i="39"/>
  <c r="F27" i="34"/>
  <c r="C21" i="39"/>
  <c r="U9" i="36"/>
  <c r="U14" i="37"/>
  <c r="H12" i="21"/>
  <c r="G526" i="3"/>
  <c r="AZ420" i="3"/>
  <c r="AZ424" i="3"/>
  <c r="AZ434" i="3"/>
  <c r="AZ446" i="3"/>
  <c r="G28" i="6"/>
  <c r="G30"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BA264" i="3"/>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93" i="3"/>
  <c r="BL202" i="3"/>
  <c r="AZ202" i="3" s="1"/>
  <c r="AZ30" i="3"/>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BA206" i="3"/>
  <c r="AZ206" i="3" s="1"/>
  <c r="BL22" i="3"/>
  <c r="AZ22" i="3" s="1"/>
  <c r="BL33" i="3"/>
  <c r="BL43" i="3"/>
  <c r="AZ43" i="3" s="1"/>
  <c r="BL46" i="3"/>
  <c r="AZ54" i="3"/>
  <c r="AZ90" i="3"/>
  <c r="BL78" i="3"/>
  <c r="BA83" i="3"/>
  <c r="AZ83" i="3" s="1"/>
  <c r="G91" i="3"/>
  <c r="BL95" i="3"/>
  <c r="BL98" i="3"/>
  <c r="AZ98" i="3" s="1"/>
  <c r="BL109" i="3"/>
  <c r="AZ109" i="3" s="1"/>
  <c r="AB21" i="21"/>
  <c r="AZ78" i="3"/>
  <c r="AZ95" i="3"/>
  <c r="G77" i="3"/>
  <c r="BA81" i="3"/>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14" i="6"/>
  <c r="E63" i="39" s="1"/>
  <c r="I4" i="6"/>
  <c r="G3" i="43" s="1"/>
  <c r="J26" i="43" s="1"/>
  <c r="E29" i="6"/>
  <c r="K15"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I1" i="73"/>
  <c r="B39" i="1" s="1"/>
  <c r="F51" i="67"/>
  <c r="F65" i="67"/>
  <c r="M7" i="15"/>
  <c r="F50" i="15"/>
  <c r="F66" i="67"/>
  <c r="F66" i="15"/>
  <c r="Q71" i="67"/>
  <c r="C27" i="67"/>
  <c r="N59" i="67"/>
  <c r="L59" i="67"/>
  <c r="M59" i="67"/>
  <c r="B13" i="70"/>
  <c r="M7" i="67"/>
  <c r="F50" i="67"/>
  <c r="F68" i="67"/>
  <c r="F64" i="67"/>
  <c r="F68" i="15"/>
  <c r="D9" i="69"/>
  <c r="D4" i="73"/>
  <c r="M23" i="15"/>
  <c r="F8" i="15"/>
  <c r="J15" i="67"/>
  <c r="M9" i="67"/>
  <c r="M23" i="67"/>
  <c r="F36" i="15"/>
  <c r="C76" i="15"/>
  <c r="M26" i="15"/>
  <c r="M24" i="15"/>
  <c r="D3" i="73"/>
  <c r="F37" i="15"/>
  <c r="D5" i="73"/>
  <c r="F26" i="15"/>
  <c r="C36" i="68"/>
  <c r="M8" i="15"/>
  <c r="F16" i="15"/>
  <c r="J15" i="15"/>
  <c r="M9" i="15"/>
  <c r="D9" i="68"/>
  <c r="L48" i="67"/>
  <c r="M22" i="15"/>
  <c r="F43" i="15"/>
  <c r="D7" i="73"/>
  <c r="M29" i="15"/>
  <c r="F9" i="15"/>
  <c r="L48" i="15"/>
  <c r="L47" i="15"/>
  <c r="M6" i="1" l="1"/>
  <c r="O6" i="1" s="1"/>
  <c r="AA16" i="35"/>
  <c r="AB19" i="21"/>
  <c r="U19" i="21"/>
  <c r="AB17" i="21"/>
  <c r="U17" i="21"/>
  <c r="AA17" i="21"/>
  <c r="S17" i="21"/>
  <c r="AC17" i="21"/>
  <c r="W9" i="21"/>
  <c r="AC9" i="21"/>
  <c r="S37" i="21"/>
  <c r="S34" i="39"/>
  <c r="AA41" i="39"/>
  <c r="F26" i="43"/>
  <c r="L56" i="67"/>
  <c r="L58" i="67"/>
  <c r="Q60" i="67" s="1"/>
  <c r="I54" i="67"/>
  <c r="J53" i="67"/>
  <c r="F1" i="67" s="1"/>
  <c r="J57" i="67"/>
  <c r="J55" i="67" s="1"/>
  <c r="J58" i="67" s="1"/>
  <c r="Q50" i="67" s="1"/>
  <c r="M23" i="87"/>
  <c r="M23" i="43"/>
  <c r="L19" i="6"/>
  <c r="L27" i="6" s="1"/>
  <c r="AZ107" i="3"/>
  <c r="AZ33" i="3"/>
  <c r="AZ253" i="3"/>
  <c r="AZ189" i="3"/>
  <c r="AZ64" i="3"/>
  <c r="AZ248" i="3"/>
  <c r="AZ466" i="3"/>
  <c r="AZ402" i="3"/>
  <c r="AB9" i="33"/>
  <c r="U9" i="33"/>
  <c r="U39" i="40"/>
  <c r="AB39" i="40"/>
  <c r="S46" i="34"/>
  <c r="AA46" i="34"/>
  <c r="P28" i="87"/>
  <c r="O23" i="87"/>
  <c r="C23" i="87"/>
  <c r="P25" i="87"/>
  <c r="P29" i="87"/>
  <c r="P27" i="87"/>
  <c r="P26" i="87"/>
  <c r="AZ210" i="3"/>
  <c r="G7" i="1"/>
  <c r="AC25" i="37"/>
  <c r="W25" i="37"/>
  <c r="U14" i="21"/>
  <c r="AB14" i="21"/>
  <c r="AB32" i="36"/>
  <c r="U32" i="36"/>
  <c r="F48" i="88"/>
  <c r="C48" i="88"/>
  <c r="C30" i="88"/>
  <c r="AZ81" i="3"/>
  <c r="T36" i="71"/>
  <c r="AZ165" i="3"/>
  <c r="AZ300" i="3"/>
  <c r="AZ129" i="3"/>
  <c r="AZ276" i="3"/>
  <c r="AZ264" i="3"/>
  <c r="AZ234" i="3"/>
  <c r="AZ282" i="3"/>
  <c r="N65" i="71"/>
  <c r="N66" i="71"/>
  <c r="D31" i="71"/>
  <c r="C32" i="71"/>
  <c r="AZ173" i="3"/>
  <c r="AZ480" i="3"/>
  <c r="AZ462" i="3"/>
  <c r="AZ444" i="3"/>
  <c r="E20" i="6"/>
  <c r="G27" i="6"/>
  <c r="U25" i="37"/>
  <c r="AB25" i="37"/>
  <c r="U44" i="21"/>
  <c r="AB44" i="21"/>
  <c r="AB25" i="35"/>
  <c r="U25" i="35"/>
  <c r="J7" i="36"/>
  <c r="AZ96" i="3"/>
  <c r="AZ141" i="3"/>
  <c r="AZ299" i="3"/>
  <c r="AZ261" i="3"/>
  <c r="G31" i="6"/>
  <c r="AZ45" i="3"/>
  <c r="AZ274" i="3"/>
  <c r="AZ251" i="3"/>
  <c r="AZ247" i="3"/>
  <c r="AZ368" i="3"/>
  <c r="AZ353" i="3"/>
  <c r="AZ332" i="3"/>
  <c r="C24" i="12"/>
  <c r="C77" i="85"/>
  <c r="C74" i="85" s="1"/>
  <c r="P67" i="71"/>
  <c r="E66" i="71"/>
  <c r="AZ458" i="3"/>
  <c r="AC23" i="36"/>
  <c r="W23" i="36"/>
  <c r="C28" i="83"/>
  <c r="J33" i="21"/>
  <c r="H33" i="21"/>
  <c r="F33" i="21"/>
  <c r="N94" i="46"/>
  <c r="C26" i="31"/>
  <c r="C30" i="31"/>
  <c r="C34" i="31"/>
  <c r="C38" i="31"/>
  <c r="C42" i="31"/>
  <c r="C50" i="31"/>
  <c r="C54" i="31"/>
  <c r="C58" i="31"/>
  <c r="C62" i="31"/>
  <c r="C66" i="31"/>
  <c r="C70" i="31"/>
  <c r="C74" i="31"/>
  <c r="C78" i="31"/>
  <c r="C82" i="31"/>
  <c r="C86" i="31"/>
  <c r="C90" i="31"/>
  <c r="C94" i="31"/>
  <c r="C98" i="31"/>
  <c r="C102" i="31"/>
  <c r="C27" i="31"/>
  <c r="C31" i="31"/>
  <c r="C35" i="31"/>
  <c r="C39" i="31"/>
  <c r="C43" i="31"/>
  <c r="C47" i="31"/>
  <c r="C51" i="31"/>
  <c r="C55" i="31"/>
  <c r="C59" i="31"/>
  <c r="C63" i="31"/>
  <c r="C67" i="31"/>
  <c r="C71" i="31"/>
  <c r="C75" i="31"/>
  <c r="C79" i="31"/>
  <c r="C83" i="31"/>
  <c r="C87" i="31"/>
  <c r="C91" i="31"/>
  <c r="C95" i="31"/>
  <c r="C99" i="31"/>
  <c r="C28" i="31"/>
  <c r="C32" i="31"/>
  <c r="C36" i="31"/>
  <c r="C40" i="31"/>
  <c r="C44" i="31"/>
  <c r="C48" i="31"/>
  <c r="C52" i="31"/>
  <c r="C56" i="31"/>
  <c r="C60" i="31"/>
  <c r="C64" i="31"/>
  <c r="C68" i="31"/>
  <c r="C76" i="31"/>
  <c r="C80" i="31"/>
  <c r="C84" i="31"/>
  <c r="C88" i="31"/>
  <c r="C92" i="31"/>
  <c r="C96" i="31"/>
  <c r="C100" i="31"/>
  <c r="B22" i="31"/>
  <c r="C25" i="31"/>
  <c r="C29" i="31"/>
  <c r="C33" i="31"/>
  <c r="C37" i="31"/>
  <c r="C41" i="31"/>
  <c r="C45" i="31"/>
  <c r="C49" i="31"/>
  <c r="C53" i="31"/>
  <c r="C57" i="31"/>
  <c r="C61" i="31"/>
  <c r="C65" i="31"/>
  <c r="C69" i="31"/>
  <c r="C73" i="31"/>
  <c r="C77" i="31"/>
  <c r="C81" i="31"/>
  <c r="C85" i="31"/>
  <c r="C89" i="31"/>
  <c r="C93" i="31"/>
  <c r="C97" i="31"/>
  <c r="C101" i="31"/>
  <c r="N370" i="46"/>
  <c r="G26" i="43"/>
  <c r="M11" i="83"/>
  <c r="J10" i="83" s="1"/>
  <c r="F11" i="83"/>
  <c r="E26" i="43"/>
  <c r="E28" i="6"/>
  <c r="K14" i="1" s="1"/>
  <c r="M14" i="1" s="1"/>
  <c r="E59" i="40"/>
  <c r="D20" i="53"/>
  <c r="B40" i="72" s="1"/>
  <c r="F64" i="15"/>
  <c r="F51" i="15"/>
  <c r="F59" i="15" s="1"/>
  <c r="F31" i="15"/>
  <c r="C6" i="15"/>
  <c r="C32" i="15" s="1"/>
  <c r="Q71" i="15"/>
  <c r="F71" i="15"/>
  <c r="J57" i="15"/>
  <c r="J55" i="15" s="1"/>
  <c r="J58" i="15" s="1"/>
  <c r="Q50" i="15" s="1"/>
  <c r="I54" i="15"/>
  <c r="J53" i="15"/>
  <c r="L56" i="15" s="1"/>
  <c r="L59" i="15"/>
  <c r="Q74" i="15" s="1"/>
  <c r="N59" i="15"/>
  <c r="M59" i="15"/>
  <c r="L58" i="15"/>
  <c r="Q60" i="15" s="1"/>
  <c r="F65" i="15"/>
  <c r="C27" i="15"/>
  <c r="D79" i="71"/>
  <c r="C78" i="71"/>
  <c r="D78" i="71" s="1"/>
  <c r="C26" i="71"/>
  <c r="D26" i="71" s="1"/>
  <c r="D27" i="71"/>
  <c r="C56" i="71"/>
  <c r="D55" i="71"/>
  <c r="AZ194" i="3"/>
  <c r="AC9" i="34"/>
  <c r="W9" i="34"/>
  <c r="AB36" i="35"/>
  <c r="U36" i="35"/>
  <c r="J6" i="15"/>
  <c r="J18" i="15" s="1"/>
  <c r="D83" i="71"/>
  <c r="C82" i="71"/>
  <c r="D82" i="71" s="1"/>
  <c r="B19" i="71"/>
  <c r="B18" i="71" s="1"/>
  <c r="B17" i="71" s="1"/>
  <c r="B16" i="71" s="1"/>
  <c r="B15" i="71" s="1"/>
  <c r="B14" i="71" s="1"/>
  <c r="B13" i="71" s="1"/>
  <c r="B12" i="71" s="1"/>
  <c r="S20" i="71"/>
  <c r="D75" i="71"/>
  <c r="C74" i="71"/>
  <c r="D74" i="71" s="1"/>
  <c r="AZ66" i="3"/>
  <c r="T52" i="71"/>
  <c r="D52" i="71"/>
  <c r="AZ121" i="3"/>
  <c r="AZ297" i="3"/>
  <c r="AZ241" i="3"/>
  <c r="AZ223" i="3"/>
  <c r="AZ411" i="3"/>
  <c r="AZ218" i="3"/>
  <c r="AZ111" i="3"/>
  <c r="C40" i="71"/>
  <c r="D39" i="71"/>
  <c r="C22" i="71"/>
  <c r="D23" i="71"/>
  <c r="D67" i="71"/>
  <c r="C66" i="71"/>
  <c r="O67" i="71"/>
  <c r="AZ63" i="3"/>
  <c r="AZ57" i="3"/>
  <c r="AZ51" i="3"/>
  <c r="AZ126" i="3"/>
  <c r="AZ432" i="3"/>
  <c r="AZ417" i="3"/>
  <c r="AA25" i="37"/>
  <c r="S25" i="37"/>
  <c r="AB24" i="36"/>
  <c r="U24" i="36"/>
  <c r="U12" i="36"/>
  <c r="AB12" i="36"/>
  <c r="J6" i="67"/>
  <c r="J18" i="67" s="1"/>
  <c r="G5" i="3"/>
  <c r="B3" i="3" s="1"/>
  <c r="E510" i="3" s="1"/>
  <c r="C70" i="71"/>
  <c r="D70" i="71" s="1"/>
  <c r="D71" i="71"/>
  <c r="AZ58" i="3"/>
  <c r="AZ49" i="3"/>
  <c r="AZ254" i="3"/>
  <c r="AZ408" i="3"/>
  <c r="W12" i="35"/>
  <c r="AC12" i="35"/>
  <c r="AZ422" i="3"/>
  <c r="AZ403" i="3"/>
  <c r="U12" i="34"/>
  <c r="AB12" i="34"/>
  <c r="AC24" i="36"/>
  <c r="W24" i="36"/>
  <c r="AC12" i="36"/>
  <c r="W12" i="36"/>
  <c r="J7" i="37"/>
  <c r="K1" i="73"/>
  <c r="E101" i="3"/>
  <c r="E149" i="3"/>
  <c r="E71" i="3"/>
  <c r="E128" i="3"/>
  <c r="E437" i="3"/>
  <c r="E236" i="3"/>
  <c r="E366" i="3"/>
  <c r="E239" i="3"/>
  <c r="E294" i="3"/>
  <c r="E336" i="3"/>
  <c r="E85" i="3"/>
  <c r="E571" i="3"/>
  <c r="E515" i="3"/>
  <c r="E505" i="3"/>
  <c r="E175" i="3"/>
  <c r="E380" i="3"/>
  <c r="E261" i="3"/>
  <c r="E124" i="3"/>
  <c r="E228" i="3"/>
  <c r="K6" i="3"/>
  <c r="E587" i="3"/>
  <c r="E315" i="3"/>
  <c r="E227" i="3"/>
  <c r="Z6" i="3"/>
  <c r="E28" i="3"/>
  <c r="E211" i="3"/>
  <c r="E217" i="3"/>
  <c r="E431" i="3"/>
  <c r="E247" i="3"/>
  <c r="E570" i="3"/>
  <c r="E215" i="3"/>
  <c r="E69" i="3"/>
  <c r="E445" i="3"/>
  <c r="E263" i="3"/>
  <c r="E423" i="3"/>
  <c r="X6" i="3"/>
  <c r="E296" i="3"/>
  <c r="E275" i="3"/>
  <c r="AA26" i="37"/>
  <c r="S26" i="37"/>
  <c r="BA5" i="3"/>
  <c r="E27" i="6" s="1"/>
  <c r="K26" i="6" s="1"/>
  <c r="M26" i="6" s="1"/>
  <c r="I26" i="6" s="1"/>
  <c r="S26" i="6" s="1"/>
  <c r="AZ5" i="3"/>
  <c r="E487" i="3"/>
  <c r="W40" i="40"/>
  <c r="AC40" i="40"/>
  <c r="AC12" i="21"/>
  <c r="W12" i="21"/>
  <c r="AB12" i="21"/>
  <c r="U12" i="21"/>
  <c r="AA27" i="34"/>
  <c r="S27" i="34"/>
  <c r="AC26" i="37"/>
  <c r="W26" i="37"/>
  <c r="BL5" i="3"/>
  <c r="S16" i="71"/>
  <c r="F7" i="36"/>
  <c r="AA7" i="36" s="1"/>
  <c r="R36" i="36" s="1"/>
  <c r="H7" i="36"/>
  <c r="E94" i="3"/>
  <c r="E118"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P28" i="43"/>
  <c r="B66" i="40" s="1"/>
  <c r="P25" i="43"/>
  <c r="C49" i="67"/>
  <c r="P29" i="43"/>
  <c r="P27" i="43"/>
  <c r="B70" i="39" s="1"/>
  <c r="C32" i="67"/>
  <c r="M11" i="67"/>
  <c r="J10" i="67" s="1"/>
  <c r="F11" i="15"/>
  <c r="M11" i="15"/>
  <c r="J10" i="15" s="1"/>
  <c r="F11" i="67"/>
  <c r="Q61" i="67"/>
  <c r="Q74" i="67"/>
  <c r="AE11" i="1"/>
  <c r="AE9" i="1"/>
  <c r="AE8" i="1"/>
  <c r="AE12" i="1"/>
  <c r="AE10" i="1"/>
  <c r="M8" i="83"/>
  <c r="C76" i="83"/>
  <c r="M24" i="83"/>
  <c r="D9" i="88"/>
  <c r="F37" i="83"/>
  <c r="F6" i="83"/>
  <c r="F16" i="83"/>
  <c r="L48" i="83"/>
  <c r="M26" i="83"/>
  <c r="M28" i="83"/>
  <c r="F27" i="68"/>
  <c r="F9" i="83"/>
  <c r="L47" i="83"/>
  <c r="M9" i="83"/>
  <c r="J15" i="83"/>
  <c r="G1" i="73"/>
  <c r="F36" i="83"/>
  <c r="F13" i="83"/>
  <c r="F8" i="83"/>
  <c r="F7" i="83"/>
  <c r="F40" i="83"/>
  <c r="M22" i="83"/>
  <c r="F42" i="83"/>
  <c r="C36" i="88"/>
  <c r="F26" i="83"/>
  <c r="M6" i="83"/>
  <c r="F38" i="83"/>
  <c r="C16" i="15"/>
  <c r="F27" i="88"/>
  <c r="M23" i="83"/>
  <c r="E131" i="3" l="1"/>
  <c r="E219" i="3"/>
  <c r="E200" i="3"/>
  <c r="E535" i="3"/>
  <c r="M6" i="3"/>
  <c r="E322" i="3"/>
  <c r="E400" i="3"/>
  <c r="E454" i="3"/>
  <c r="E77" i="3"/>
  <c r="E508" i="3"/>
  <c r="E111" i="3"/>
  <c r="E415" i="3"/>
  <c r="E448" i="3"/>
  <c r="E359" i="3"/>
  <c r="Q73" i="67"/>
  <c r="E139" i="3"/>
  <c r="E369" i="3"/>
  <c r="E240" i="3"/>
  <c r="E119" i="3"/>
  <c r="E246" i="3"/>
  <c r="E191" i="3"/>
  <c r="E563" i="3"/>
  <c r="E335" i="3"/>
  <c r="E514" i="3"/>
  <c r="E509" i="3"/>
  <c r="E109" i="3"/>
  <c r="E489" i="3"/>
  <c r="E327" i="3"/>
  <c r="E214" i="3"/>
  <c r="E465" i="3"/>
  <c r="AK6" i="3"/>
  <c r="E301" i="3"/>
  <c r="AR6" i="3"/>
  <c r="E331" i="3"/>
  <c r="E269" i="3"/>
  <c r="E458" i="3"/>
  <c r="E382" i="3"/>
  <c r="E551" i="3"/>
  <c r="E316" i="3"/>
  <c r="E256" i="3"/>
  <c r="E402" i="3"/>
  <c r="E54" i="3"/>
  <c r="E197" i="3"/>
  <c r="E242" i="3"/>
  <c r="E148" i="3"/>
  <c r="E385" i="3"/>
  <c r="E161" i="3"/>
  <c r="E278" i="3"/>
  <c r="E387" i="3"/>
  <c r="E201" i="3"/>
  <c r="AJ6" i="3"/>
  <c r="E273" i="3"/>
  <c r="E345" i="3"/>
  <c r="E368" i="3"/>
  <c r="E106" i="3"/>
  <c r="E560" i="3"/>
  <c r="E568" i="3"/>
  <c r="E503" i="3"/>
  <c r="E337" i="3"/>
  <c r="E27" i="3"/>
  <c r="E318" i="3"/>
  <c r="E45" i="3"/>
  <c r="E117" i="3"/>
  <c r="E229" i="3"/>
  <c r="E444" i="3"/>
  <c r="E429" i="3"/>
  <c r="E237" i="3"/>
  <c r="E413" i="3"/>
  <c r="Q52" i="67"/>
  <c r="C6" i="83"/>
  <c r="F65" i="83"/>
  <c r="C27" i="83"/>
  <c r="Q71" i="83"/>
  <c r="C9" i="88"/>
  <c r="F66" i="83"/>
  <c r="F51" i="83"/>
  <c r="F68" i="83"/>
  <c r="F64" i="83"/>
  <c r="L59" i="83"/>
  <c r="M59" i="83"/>
  <c r="N59" i="83"/>
  <c r="L58" i="83"/>
  <c r="F45" i="88"/>
  <c r="C29" i="88"/>
  <c r="D27" i="88" s="1"/>
  <c r="C47" i="88"/>
  <c r="D45" i="88" s="1"/>
  <c r="F50" i="83"/>
  <c r="M7" i="83"/>
  <c r="J6" i="83" s="1"/>
  <c r="J5" i="83" s="1"/>
  <c r="L60" i="83"/>
  <c r="L56" i="83"/>
  <c r="J57" i="83"/>
  <c r="J55" i="83" s="1"/>
  <c r="J58" i="83" s="1"/>
  <c r="Q50" i="83" s="1"/>
  <c r="I54" i="83"/>
  <c r="J53" i="83"/>
  <c r="P65" i="71"/>
  <c r="P66" i="71"/>
  <c r="M18" i="85"/>
  <c r="B118" i="85" s="1"/>
  <c r="K7" i="1"/>
  <c r="C31" i="35"/>
  <c r="D42" i="87"/>
  <c r="D3" i="35"/>
  <c r="T32" i="71"/>
  <c r="D32" i="71"/>
  <c r="C37" i="87"/>
  <c r="T14" i="87"/>
  <c r="V14" i="87" s="1"/>
  <c r="T7" i="87"/>
  <c r="V7" i="87" s="1"/>
  <c r="T15" i="87"/>
  <c r="V15" i="87" s="1"/>
  <c r="T3" i="87"/>
  <c r="V3" i="87" s="1"/>
  <c r="C42" i="87"/>
  <c r="C41" i="87"/>
  <c r="T9" i="87"/>
  <c r="V9" i="87" s="1"/>
  <c r="C33" i="87"/>
  <c r="T10" i="87"/>
  <c r="V10" i="87" s="1"/>
  <c r="T8" i="87"/>
  <c r="V8" i="87" s="1"/>
  <c r="T16" i="87"/>
  <c r="V16" i="87" s="1"/>
  <c r="C40" i="87"/>
  <c r="C39" i="87"/>
  <c r="T12" i="87"/>
  <c r="V12" i="87" s="1"/>
  <c r="T13" i="87"/>
  <c r="V13" i="87" s="1"/>
  <c r="T5" i="87"/>
  <c r="V5" i="87" s="1"/>
  <c r="T2" i="87"/>
  <c r="V2" i="87" s="1"/>
  <c r="C38" i="87"/>
  <c r="T11" i="87"/>
  <c r="V11" i="87" s="1"/>
  <c r="T6" i="87"/>
  <c r="V6" i="87" s="1"/>
  <c r="T4" i="87"/>
  <c r="V4" i="87" s="1"/>
  <c r="E142" i="3"/>
  <c r="AY6"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30" i="3"/>
  <c r="E121" i="3"/>
  <c r="E558" i="3"/>
  <c r="E164" i="3"/>
  <c r="E580" i="3"/>
  <c r="E73" i="3"/>
  <c r="E424" i="3"/>
  <c r="E177" i="3"/>
  <c r="E238" i="3"/>
  <c r="E17" i="3"/>
  <c r="E506" i="3"/>
  <c r="E426" i="3"/>
  <c r="E196" i="3"/>
  <c r="E157" i="3"/>
  <c r="E163" i="3"/>
  <c r="E51" i="3"/>
  <c r="E108" i="3"/>
  <c r="AB33" i="21"/>
  <c r="U33" i="21"/>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34" i="3"/>
  <c r="E88" i="3"/>
  <c r="P6" i="3"/>
  <c r="E252" i="3"/>
  <c r="E394" i="3"/>
  <c r="E496" i="3"/>
  <c r="E481" i="3"/>
  <c r="E120" i="3"/>
  <c r="E353" i="3"/>
  <c r="E565" i="3"/>
  <c r="S6" i="3"/>
  <c r="E291" i="3"/>
  <c r="E357" i="3"/>
  <c r="E461" i="3"/>
  <c r="E47" i="3"/>
  <c r="E155" i="3"/>
  <c r="E564" i="3"/>
  <c r="AC33" i="21"/>
  <c r="W33" i="21"/>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166" i="3"/>
  <c r="E581" i="3"/>
  <c r="AG6" i="3"/>
  <c r="E32" i="3"/>
  <c r="E203" i="3"/>
  <c r="AE6" i="3"/>
  <c r="E330" i="3"/>
  <c r="E434" i="3"/>
  <c r="E159" i="3"/>
  <c r="E338" i="3"/>
  <c r="O6" i="3"/>
  <c r="E367" i="3"/>
  <c r="E529" i="3"/>
  <c r="E488" i="3"/>
  <c r="E354" i="3"/>
  <c r="E38" i="3"/>
  <c r="E258" i="3"/>
  <c r="D26" i="43"/>
  <c r="C25" i="43" s="1"/>
  <c r="AA33" i="21"/>
  <c r="S33" i="21"/>
  <c r="Q73" i="15"/>
  <c r="C53" i="83"/>
  <c r="C10" i="83"/>
  <c r="C49" i="15"/>
  <c r="Q52" i="15"/>
  <c r="E480" i="3"/>
  <c r="E295" i="3"/>
  <c r="E404" i="3"/>
  <c r="E443" i="3"/>
  <c r="E576" i="3"/>
  <c r="I6" i="3"/>
  <c r="E274" i="3"/>
  <c r="E55" i="3"/>
  <c r="E344" i="3"/>
  <c r="Q6" i="3"/>
  <c r="E262" i="3"/>
  <c r="AA6" i="3"/>
  <c r="E221" i="3"/>
  <c r="E298" i="3"/>
  <c r="E97" i="3"/>
  <c r="E53" i="3"/>
  <c r="U6" i="3"/>
  <c r="W6" i="3"/>
  <c r="E307" i="3"/>
  <c r="E542" i="3"/>
  <c r="E57" i="3"/>
  <c r="E340" i="3"/>
  <c r="E78" i="3"/>
  <c r="E156" i="3"/>
  <c r="AN6" i="3"/>
  <c r="E254" i="3"/>
  <c r="E213" i="3"/>
  <c r="E169" i="3"/>
  <c r="E418" i="3"/>
  <c r="E390" i="3"/>
  <c r="E574" i="3"/>
  <c r="E153" i="3"/>
  <c r="E29" i="3"/>
  <c r="E272" i="3"/>
  <c r="E546" i="3"/>
  <c r="E432" i="3"/>
  <c r="E379" i="3"/>
  <c r="E397" i="3"/>
  <c r="E257" i="3"/>
  <c r="E475" i="3"/>
  <c r="E288" i="3"/>
  <c r="E532" i="3"/>
  <c r="E306" i="3"/>
  <c r="E122" i="3"/>
  <c r="E98" i="3"/>
  <c r="E167" i="3"/>
  <c r="AD6" i="3"/>
  <c r="E462" i="3"/>
  <c r="E373" i="3"/>
  <c r="E297" i="3"/>
  <c r="E323" i="3"/>
  <c r="E209" i="3"/>
  <c r="E500" i="3"/>
  <c r="E24" i="3"/>
  <c r="E460" i="3"/>
  <c r="E365" i="3"/>
  <c r="E112" i="3"/>
  <c r="E473" i="3"/>
  <c r="E401" i="3"/>
  <c r="E223" i="3"/>
  <c r="E225" i="3"/>
  <c r="E86" i="3"/>
  <c r="E499" i="3"/>
  <c r="E501" i="3"/>
  <c r="AM6" i="3"/>
  <c r="E126" i="3"/>
  <c r="E403" i="3"/>
  <c r="E548" i="3"/>
  <c r="E145" i="3"/>
  <c r="E93" i="3"/>
  <c r="E208" i="3"/>
  <c r="E471" i="3"/>
  <c r="E438" i="3"/>
  <c r="E313" i="3"/>
  <c r="E352" i="3"/>
  <c r="E82" i="3"/>
  <c r="E504" i="3"/>
  <c r="E87" i="3"/>
  <c r="E179" i="3"/>
  <c r="E259" i="3"/>
  <c r="E584" i="3"/>
  <c r="E436" i="3"/>
  <c r="E19" i="3"/>
  <c r="E446" i="3"/>
  <c r="E421" i="3"/>
  <c r="E65" i="3"/>
  <c r="E398" i="3"/>
  <c r="E218" i="3"/>
  <c r="E392" i="3"/>
  <c r="L6" i="3"/>
  <c r="AH6" i="3"/>
  <c r="E326" i="3"/>
  <c r="E470" i="3"/>
  <c r="E494" i="3"/>
  <c r="E280" i="3"/>
  <c r="E303" i="3"/>
  <c r="E302" i="3"/>
  <c r="E304" i="3"/>
  <c r="E321" i="3"/>
  <c r="E523" i="3"/>
  <c r="E285" i="3"/>
  <c r="E328" i="3"/>
  <c r="E319" i="3"/>
  <c r="E317" i="3"/>
  <c r="E92" i="3"/>
  <c r="E547" i="3"/>
  <c r="E411" i="3"/>
  <c r="E207" i="3"/>
  <c r="E14" i="3"/>
  <c r="E168" i="3"/>
  <c r="E537" i="3"/>
  <c r="E474" i="3"/>
  <c r="E224" i="3"/>
  <c r="E136" i="3"/>
  <c r="E127" i="3"/>
  <c r="E187" i="3"/>
  <c r="E195" i="3"/>
  <c r="Y6" i="3"/>
  <c r="E374" i="3"/>
  <c r="E266" i="3"/>
  <c r="E582" i="3"/>
  <c r="E48" i="3"/>
  <c r="E110" i="3"/>
  <c r="E244" i="3"/>
  <c r="E58" i="3"/>
  <c r="E141" i="3"/>
  <c r="E62" i="3"/>
  <c r="E234" i="3"/>
  <c r="E276" i="3"/>
  <c r="E422" i="3"/>
  <c r="E35" i="3"/>
  <c r="E512" i="3"/>
  <c r="E310" i="3"/>
  <c r="E416" i="3"/>
  <c r="E222" i="3"/>
  <c r="E386" i="3"/>
  <c r="E348" i="3"/>
  <c r="E566" i="3"/>
  <c r="E165" i="3"/>
  <c r="E265" i="3"/>
  <c r="E20" i="3"/>
  <c r="E289" i="3"/>
  <c r="E36" i="3"/>
  <c r="E325" i="3"/>
  <c r="E194" i="3"/>
  <c r="E79" i="3"/>
  <c r="E540" i="3"/>
  <c r="E372" i="3"/>
  <c r="E226" i="3"/>
  <c r="E25" i="3"/>
  <c r="E419" i="3"/>
  <c r="E376" i="3"/>
  <c r="E507" i="3"/>
  <c r="E493" i="3"/>
  <c r="E188" i="3"/>
  <c r="E80" i="3"/>
  <c r="E342" i="3"/>
  <c r="E412" i="3"/>
  <c r="E41" i="3"/>
  <c r="E13" i="3"/>
  <c r="E456" i="3"/>
  <c r="E205" i="3"/>
  <c r="E174" i="3"/>
  <c r="E283" i="3"/>
  <c r="E160" i="3"/>
  <c r="E479" i="3"/>
  <c r="E536" i="3"/>
  <c r="E50" i="3"/>
  <c r="E147" i="3"/>
  <c r="E52" i="3"/>
  <c r="E339" i="3"/>
  <c r="E137" i="3"/>
  <c r="E455" i="3"/>
  <c r="E43" i="3"/>
  <c r="E333" i="3"/>
  <c r="E202" i="3"/>
  <c r="E40" i="3"/>
  <c r="E498" i="3"/>
  <c r="E490" i="3"/>
  <c r="E486" i="3"/>
  <c r="E393" i="3"/>
  <c r="E329" i="3"/>
  <c r="E370" i="3"/>
  <c r="E324" i="3"/>
  <c r="E356" i="3"/>
  <c r="E104" i="3"/>
  <c r="E556" i="3"/>
  <c r="T6" i="3"/>
  <c r="E308" i="3"/>
  <c r="E482" i="3"/>
  <c r="E68" i="3"/>
  <c r="E484" i="3"/>
  <c r="E55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116" i="3"/>
  <c r="E83" i="3"/>
  <c r="E232" i="3"/>
  <c r="E190" i="3"/>
  <c r="E243" i="3"/>
  <c r="E26" i="3"/>
  <c r="E451" i="3"/>
  <c r="E525" i="3"/>
  <c r="AF6" i="3"/>
  <c r="E391" i="3"/>
  <c r="E33" i="3"/>
  <c r="E389" i="3"/>
  <c r="E430" i="3"/>
  <c r="E543" i="3"/>
  <c r="E105" i="3"/>
  <c r="E16" i="3"/>
  <c r="E158" i="3"/>
  <c r="E49" i="3"/>
  <c r="E220" i="3"/>
  <c r="E428" i="3"/>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E452" i="3"/>
  <c r="E360" i="3"/>
  <c r="E469" i="3"/>
  <c r="E534" i="3"/>
  <c r="E140" i="3"/>
  <c r="E287" i="3"/>
  <c r="E251" i="3"/>
  <c r="E522" i="3"/>
  <c r="E129" i="3"/>
  <c r="E75" i="3"/>
  <c r="E332" i="3"/>
  <c r="E21" i="3"/>
  <c r="E264" i="3"/>
  <c r="E355" i="3"/>
  <c r="E67" i="3"/>
  <c r="E371" i="3"/>
  <c r="E46" i="3"/>
  <c r="E409" i="3"/>
  <c r="E349" i="3"/>
  <c r="E152" i="3"/>
  <c r="E417" i="3"/>
  <c r="AP6" i="3"/>
  <c r="E466" i="3"/>
  <c r="E575" i="3"/>
  <c r="E539" i="3"/>
  <c r="E113" i="3"/>
  <c r="E206" i="3"/>
  <c r="E383" i="3"/>
  <c r="E96" i="3"/>
  <c r="E42" i="3"/>
  <c r="E281" i="3"/>
  <c r="E513" i="3"/>
  <c r="E81" i="3"/>
  <c r="E233" i="3"/>
  <c r="E84" i="3"/>
  <c r="E249" i="3"/>
  <c r="E64" i="3"/>
  <c r="E59" i="3"/>
  <c r="E292" i="3"/>
  <c r="E95" i="3"/>
  <c r="E491" i="3"/>
  <c r="E255" i="3"/>
  <c r="E442" i="3"/>
  <c r="E286" i="3"/>
  <c r="Q61" i="15"/>
  <c r="F1" i="15"/>
  <c r="J5" i="67"/>
  <c r="J24" i="67" s="1"/>
  <c r="J5" i="15"/>
  <c r="J24" i="15" s="1"/>
  <c r="O65" i="71"/>
  <c r="D66" i="71"/>
  <c r="O66" i="71"/>
  <c r="C21" i="71"/>
  <c r="D22" i="71"/>
  <c r="E3" i="6"/>
  <c r="D37" i="11" s="1"/>
  <c r="T40" i="71"/>
  <c r="D40" i="71"/>
  <c r="D56" i="71"/>
  <c r="T56" i="71"/>
  <c r="E381" i="3"/>
  <c r="E144" i="3"/>
  <c r="E23" i="3"/>
  <c r="E300" i="3"/>
  <c r="E103" i="3"/>
  <c r="E425" i="3"/>
  <c r="E76" i="3"/>
  <c r="E363" i="3"/>
  <c r="E192" i="3"/>
  <c r="E56" i="3"/>
  <c r="E435" i="3"/>
  <c r="I3" i="6"/>
  <c r="E541" i="3"/>
  <c r="R6" i="3"/>
  <c r="E199" i="3"/>
  <c r="B40" i="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48" i="67" s="1"/>
  <c r="C10" i="67"/>
  <c r="C5" i="67" s="1"/>
  <c r="C38" i="67" s="1"/>
  <c r="C53" i="15"/>
  <c r="C10" i="15"/>
  <c r="C5" i="15" s="1"/>
  <c r="C38" i="15" s="1"/>
  <c r="M29" i="67"/>
  <c r="M27" i="15"/>
  <c r="M29" i="83"/>
  <c r="F43" i="67"/>
  <c r="AE6" i="1"/>
  <c r="F43" i="83"/>
  <c r="M27" i="67"/>
  <c r="M27" i="83"/>
  <c r="D3" i="34" l="1"/>
  <c r="E6" i="6"/>
  <c r="C5" i="83"/>
  <c r="J24" i="83"/>
  <c r="J26" i="83"/>
  <c r="F71" i="67"/>
  <c r="F71" i="83"/>
  <c r="G40" i="87"/>
  <c r="I40" i="87" s="1"/>
  <c r="E40" i="87"/>
  <c r="C34" i="87"/>
  <c r="E34" i="87" s="1"/>
  <c r="E33" i="87"/>
  <c r="G37" i="87"/>
  <c r="I37" i="87" s="1"/>
  <c r="E37" i="87"/>
  <c r="H42" i="87"/>
  <c r="D1" i="87"/>
  <c r="F1" i="83"/>
  <c r="Q52" i="83"/>
  <c r="Q66" i="83"/>
  <c r="Q57" i="83"/>
  <c r="D3" i="33"/>
  <c r="F31" i="35"/>
  <c r="J31" i="35"/>
  <c r="H31" i="35"/>
  <c r="J18" i="83"/>
  <c r="J19" i="83"/>
  <c r="Q61" i="83"/>
  <c r="Q74" i="83"/>
  <c r="C49" i="83"/>
  <c r="C61" i="83" s="1"/>
  <c r="C17" i="4"/>
  <c r="B4" i="52" s="1"/>
  <c r="B43" i="72" s="1"/>
  <c r="E38" i="87"/>
  <c r="G38" i="87"/>
  <c r="I38" i="87" s="1"/>
  <c r="G41" i="87"/>
  <c r="I41" i="87" s="1"/>
  <c r="E41" i="87"/>
  <c r="Q16" i="1"/>
  <c r="M7" i="1"/>
  <c r="G16" i="1"/>
  <c r="H16" i="1"/>
  <c r="Q73" i="83"/>
  <c r="Q60" i="83"/>
  <c r="D14" i="12"/>
  <c r="D17" i="12" s="1"/>
  <c r="C17" i="12" s="1"/>
  <c r="D19" i="11"/>
  <c r="C19" i="11" s="1"/>
  <c r="H6" i="3"/>
  <c r="E39" i="87"/>
  <c r="G39" i="87"/>
  <c r="I39" i="87" s="1"/>
  <c r="G42" i="87"/>
  <c r="E42" i="87"/>
  <c r="K16" i="1"/>
  <c r="C33" i="83"/>
  <c r="C32" i="83"/>
  <c r="L36" i="87"/>
  <c r="L37" i="87" s="1"/>
  <c r="F22" i="88"/>
  <c r="C48" i="15"/>
  <c r="C66" i="15" s="1"/>
  <c r="L36" i="43"/>
  <c r="L37" i="43" s="1"/>
  <c r="P37" i="43" s="1"/>
  <c r="F24" i="83"/>
  <c r="C38" i="83"/>
  <c r="AC6" i="3"/>
  <c r="D116" i="43"/>
  <c r="F22" i="68"/>
  <c r="C44" i="68" s="1"/>
  <c r="D41" i="68" s="1"/>
  <c r="F25" i="12"/>
  <c r="C26" i="12" s="1"/>
  <c r="D25" i="12" s="1"/>
  <c r="D21" i="71"/>
  <c r="C20" i="71"/>
  <c r="F22" i="11"/>
  <c r="C23" i="11" s="1"/>
  <c r="F24" i="67"/>
  <c r="C24" i="67" s="1"/>
  <c r="F24" i="15"/>
  <c r="C24" i="15" s="1"/>
  <c r="F22" i="69"/>
  <c r="F41" i="69" s="1"/>
  <c r="E49" i="34"/>
  <c r="M21" i="6"/>
  <c r="I21" i="6" s="1"/>
  <c r="S21" i="6" s="1"/>
  <c r="E6" i="70"/>
  <c r="C34" i="43"/>
  <c r="E34" i="43" s="1"/>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C14" i="67"/>
  <c r="C16" i="67"/>
  <c r="D10" i="68"/>
  <c r="C17" i="15"/>
  <c r="C16" i="83"/>
  <c r="C17" i="67"/>
  <c r="D10" i="88"/>
  <c r="C17" i="83"/>
  <c r="AE7" i="1"/>
  <c r="F41" i="15"/>
  <c r="C30" i="87" l="1"/>
  <c r="B2" i="87" s="1"/>
  <c r="F69" i="15"/>
  <c r="E6" i="3"/>
  <c r="B3" i="87"/>
  <c r="C6" i="88"/>
  <c r="F27" i="69"/>
  <c r="F28" i="12"/>
  <c r="C29" i="12" s="1"/>
  <c r="D28" i="12" s="1"/>
  <c r="F27" i="11"/>
  <c r="AB31" i="35"/>
  <c r="U31" i="35"/>
  <c r="C48" i="83"/>
  <c r="C28" i="11"/>
  <c r="C27" i="11" s="1"/>
  <c r="W31" i="35"/>
  <c r="AC31" i="35"/>
  <c r="I42" i="87"/>
  <c r="C31" i="87" s="1"/>
  <c r="F10" i="39"/>
  <c r="H10" i="40"/>
  <c r="J10" i="39"/>
  <c r="J10" i="40"/>
  <c r="F10" i="40"/>
  <c r="H10" i="39"/>
  <c r="S31" i="35"/>
  <c r="AA31" i="35"/>
  <c r="M16" i="1"/>
  <c r="C10" i="88"/>
  <c r="C8" i="88" s="1"/>
  <c r="D19" i="88"/>
  <c r="D37" i="88" s="1"/>
  <c r="C37" i="88" s="1"/>
  <c r="E7" i="70"/>
  <c r="S20" i="6"/>
  <c r="L18" i="85"/>
  <c r="M19" i="85"/>
  <c r="C118" i="85" s="1"/>
  <c r="M36" i="87"/>
  <c r="Q36" i="87"/>
  <c r="N36" i="87"/>
  <c r="O36" i="87"/>
  <c r="P36" i="87"/>
  <c r="F41" i="88"/>
  <c r="C26" i="88"/>
  <c r="D22" i="88" s="1"/>
  <c r="C24" i="88"/>
  <c r="C44" i="88"/>
  <c r="D41" i="88" s="1"/>
  <c r="N37" i="87"/>
  <c r="Q37" i="87"/>
  <c r="M37" i="87"/>
  <c r="P37" i="87"/>
  <c r="O37" i="87"/>
  <c r="C60" i="15"/>
  <c r="O36" i="43"/>
  <c r="O37" i="43"/>
  <c r="Q37" i="43"/>
  <c r="P36" i="43"/>
  <c r="M36" i="43"/>
  <c r="F41" i="68"/>
  <c r="M37" i="43"/>
  <c r="N36" i="43"/>
  <c r="N37" i="43"/>
  <c r="Q36" i="43"/>
  <c r="C24" i="83"/>
  <c r="C26" i="68"/>
  <c r="D22" i="68" s="1"/>
  <c r="C26" i="11"/>
  <c r="D22" i="11" s="1"/>
  <c r="C44" i="11"/>
  <c r="D41" i="11" s="1"/>
  <c r="C19" i="71"/>
  <c r="T20" i="71"/>
  <c r="D20" i="71"/>
  <c r="U20" i="71" s="1"/>
  <c r="C25" i="11"/>
  <c r="C24" i="11"/>
  <c r="C44" i="69"/>
  <c r="D41" i="69" s="1"/>
  <c r="C26" i="69"/>
  <c r="D22" i="69"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F41" i="67"/>
  <c r="C14" i="15"/>
  <c r="B6" i="76"/>
  <c r="E6" i="76"/>
  <c r="C34" i="88"/>
  <c r="F41" i="83"/>
  <c r="C34" i="68"/>
  <c r="C14" i="83"/>
  <c r="F69" i="83" l="1"/>
  <c r="J29" i="83"/>
  <c r="F69" i="67"/>
  <c r="W10" i="39"/>
  <c r="AC10" i="39"/>
  <c r="C47" i="69"/>
  <c r="D45" i="69" s="1"/>
  <c r="F45" i="69"/>
  <c r="C29" i="69"/>
  <c r="D27" i="69" s="1"/>
  <c r="L19" i="85"/>
  <c r="U10" i="39"/>
  <c r="AB10" i="39"/>
  <c r="AB10" i="40"/>
  <c r="U10" i="40"/>
  <c r="N16" i="1"/>
  <c r="L16" i="1"/>
  <c r="S10" i="40"/>
  <c r="AA10" i="40"/>
  <c r="AA10" i="39"/>
  <c r="S10" i="39"/>
  <c r="C29" i="11"/>
  <c r="D27" i="11" s="1"/>
  <c r="C47" i="11"/>
  <c r="D45" i="11" s="1"/>
  <c r="AC10" i="40"/>
  <c r="W10" i="40"/>
  <c r="C66" i="83"/>
  <c r="C60" i="83"/>
  <c r="C15" i="83"/>
  <c r="C18" i="83"/>
  <c r="C35" i="88"/>
  <c r="C38" i="88"/>
  <c r="C7" i="88"/>
  <c r="C5" i="88" s="1"/>
  <c r="B3" i="43"/>
  <c r="C18" i="71"/>
  <c r="D19" i="71"/>
  <c r="C22" i="1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1" i="11" l="1"/>
  <c r="F50" i="88"/>
  <c r="F50" i="69"/>
  <c r="F50" i="11"/>
  <c r="F50" i="68"/>
  <c r="C19" i="83"/>
  <c r="C20" i="83" s="1"/>
  <c r="C33" i="88"/>
  <c r="C39" i="88" s="1"/>
  <c r="C43" i="88" s="1"/>
  <c r="C20" i="88"/>
  <c r="C25" i="88" s="1"/>
  <c r="C23" i="88"/>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42" i="88" l="1"/>
  <c r="C41" i="88" s="1"/>
  <c r="C46" i="88"/>
  <c r="C45" i="88" s="1"/>
  <c r="C26" i="83"/>
  <c r="C23" i="83"/>
  <c r="C22" i="88"/>
  <c r="C28" i="88"/>
  <c r="C27" i="88"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83"/>
  <c r="M21" i="67"/>
  <c r="F35" i="67"/>
  <c r="M21" i="15"/>
  <c r="M21" i="83"/>
  <c r="F35" i="15"/>
  <c r="C49" i="88" l="1"/>
  <c r="C51" i="88" s="1"/>
  <c r="C29" i="83"/>
  <c r="C36" i="83" s="1"/>
  <c r="C31" i="88"/>
  <c r="E48" i="21"/>
  <c r="E53" i="21" s="1"/>
  <c r="F53" i="21" s="1"/>
  <c r="J20" i="83"/>
  <c r="J17" i="83" s="1"/>
  <c r="C34" i="83"/>
  <c r="C31" i="83" s="1"/>
  <c r="F63" i="83"/>
  <c r="C62" i="83" s="1"/>
  <c r="C59" i="83" s="1"/>
  <c r="T16" i="71"/>
  <c r="D16" i="71"/>
  <c r="U16" i="71" s="1"/>
  <c r="C15" i="7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G43" i="35" l="1"/>
  <c r="H43" i="35" s="1"/>
  <c r="I53" i="21"/>
  <c r="J53" i="21" s="1"/>
  <c r="E52" i="21"/>
  <c r="F52" i="21" s="1"/>
  <c r="C57" i="83"/>
  <c r="C64" i="83" s="1"/>
  <c r="J59" i="83"/>
  <c r="J60" i="83" s="1"/>
  <c r="Q48" i="83" s="1"/>
  <c r="C52" i="88"/>
  <c r="C57" i="88" s="1"/>
  <c r="C56" i="88" s="1"/>
  <c r="Q49" i="83"/>
  <c r="C13" i="83"/>
  <c r="Q70" i="83" s="1"/>
  <c r="J14" i="83"/>
  <c r="J22" i="83"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46" i="83" l="1"/>
  <c r="B2" i="88"/>
  <c r="C37" i="83"/>
  <c r="C30" i="83" s="1"/>
  <c r="C39" i="83" s="1"/>
  <c r="Q69" i="83" s="1"/>
  <c r="Q68" i="83" s="1"/>
  <c r="C75" i="83"/>
  <c r="J13" i="83"/>
  <c r="J23" i="83" s="1"/>
  <c r="J16" i="83" s="1"/>
  <c r="J25" i="83" s="1"/>
  <c r="C56" i="83"/>
  <c r="C65" i="83" s="1"/>
  <c r="C58" i="83" s="1"/>
  <c r="C67" i="83" s="1"/>
  <c r="C68" i="83" s="1"/>
  <c r="C71" i="83" s="1"/>
  <c r="Q69" i="67"/>
  <c r="Q68" i="67" s="1"/>
  <c r="H41" i="67"/>
  <c r="L57" i="83"/>
  <c r="D14" i="71"/>
  <c r="C13" i="71"/>
  <c r="C80" i="67"/>
  <c r="C79" i="67" s="1"/>
  <c r="C40" i="67"/>
  <c r="C45" i="67" s="1"/>
  <c r="C56" i="11"/>
  <c r="C57" i="11" s="1"/>
  <c r="B2" i="2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3" i="88"/>
  <c r="L51" i="67"/>
  <c r="D2" i="33"/>
  <c r="C19" i="9"/>
  <c r="L51" i="83"/>
  <c r="H41" i="83" l="1"/>
  <c r="C40" i="83"/>
  <c r="B2" i="83" s="1"/>
  <c r="B3" i="83" s="1"/>
  <c r="C80" i="83"/>
  <c r="C79" i="83" s="1"/>
  <c r="Q67" i="83"/>
  <c r="C102" i="9"/>
  <c r="C21" i="9"/>
  <c r="B3" i="21"/>
  <c r="Q69" i="15"/>
  <c r="Q68" i="15" s="1"/>
  <c r="H41" i="15"/>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C20" i="9"/>
  <c r="D2" i="34"/>
  <c r="C43" i="83" l="1"/>
  <c r="Q47" i="83"/>
  <c r="Q53" i="83" s="1"/>
  <c r="C83" i="83"/>
  <c r="C82" i="83" s="1"/>
  <c r="Q56" i="83"/>
  <c r="Q62" i="83" s="1"/>
  <c r="C46" i="83"/>
  <c r="Q65" i="83"/>
  <c r="Q75" i="83" s="1"/>
  <c r="C103" i="9"/>
  <c r="D12" i="71"/>
  <c r="U12" i="71" s="1"/>
  <c r="C11" i="71"/>
  <c r="T12"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9" i="1"/>
  <c r="AO11" i="1"/>
  <c r="AO10" i="1"/>
  <c r="AO8" i="1"/>
  <c r="AO12" i="1"/>
  <c r="R48" i="39" l="1"/>
  <c r="C48" i="39" s="1"/>
  <c r="B3" i="35"/>
  <c r="C10" i="71"/>
  <c r="D11" i="7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47" i="39" l="1"/>
  <c r="C6" i="68" s="1"/>
  <c r="C7" i="68" s="1"/>
  <c r="C5" i="68" s="1"/>
  <c r="B6" i="70"/>
  <c r="B2" i="70" s="1"/>
  <c r="B3" i="15"/>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85"/>
  <c r="F65" i="39" l="1"/>
  <c r="B2" i="39" s="1"/>
  <c r="B3" i="39" s="1"/>
  <c r="C23" i="68"/>
  <c r="C20" i="68"/>
  <c r="D102" i="85"/>
  <c r="D21" i="85"/>
  <c r="B3" i="70"/>
  <c r="D9" i="71"/>
  <c r="C8" i="71"/>
  <c r="C42" i="40"/>
  <c r="C43" i="40"/>
  <c r="E47" i="40"/>
  <c r="F47" i="40" s="1"/>
  <c r="E46" i="40"/>
  <c r="F46" i="40" s="1"/>
  <c r="I47" i="40"/>
  <c r="J47" i="40" s="1"/>
  <c r="D20" i="85"/>
  <c r="C28" i="68" l="1"/>
  <c r="C27" i="68" s="1"/>
  <c r="C25" i="68"/>
  <c r="C22" i="68" s="1"/>
  <c r="D103" i="85"/>
  <c r="C35" i="9"/>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31" i="68" l="1"/>
  <c r="C52" i="68" s="1"/>
  <c r="B2" i="68" s="1"/>
  <c r="C34" i="9"/>
  <c r="D7" i="71"/>
  <c r="C6" i="71"/>
  <c r="D19" i="9"/>
  <c r="B3" i="68"/>
  <c r="C57" i="68" l="1"/>
  <c r="C56" i="68" s="1"/>
  <c r="D22" i="9"/>
  <c r="D21" i="9"/>
  <c r="G19" i="9"/>
  <c r="G21" i="9" s="1"/>
  <c r="D102" i="9"/>
  <c r="D6" i="71"/>
  <c r="C5" i="71"/>
  <c r="G118" i="9"/>
  <c r="F118" i="9" s="1"/>
  <c r="D20" i="9"/>
  <c r="G20" i="9" l="1"/>
  <c r="C32" i="9" s="1"/>
  <c r="I118" i="9" s="1"/>
  <c r="H102" i="9" s="1"/>
  <c r="D103" i="9"/>
  <c r="D5" i="71"/>
  <c r="M24" i="43" s="1"/>
  <c r="M24" i="87"/>
  <c r="G4" i="52"/>
  <c r="B52" i="72" s="1"/>
  <c r="F119" i="9"/>
  <c r="F5" i="52" s="1"/>
  <c r="B53" i="72" s="1"/>
  <c r="F4" i="52"/>
  <c r="B51" i="72" s="1"/>
  <c r="D34" i="9" l="1"/>
  <c r="D35" i="9"/>
  <c r="D7" i="53"/>
  <c r="B21" i="72" s="1"/>
  <c r="E118" i="9"/>
  <c r="C105" i="9"/>
  <c r="I4" i="52"/>
  <c r="R24" i="31"/>
  <c r="H118" i="9"/>
  <c r="S24" i="31" l="1"/>
  <c r="R33" i="31"/>
  <c r="S33" i="31" s="1"/>
  <c r="R65" i="31"/>
  <c r="S65" i="31" s="1"/>
  <c r="R97" i="31"/>
  <c r="S97" i="31" s="1"/>
  <c r="R91" i="31"/>
  <c r="S91" i="31" s="1"/>
  <c r="R54" i="31"/>
  <c r="S54" i="31" s="1"/>
  <c r="R86" i="31"/>
  <c r="S86" i="31" s="1"/>
  <c r="R63" i="31"/>
  <c r="S63" i="31" s="1"/>
  <c r="R44" i="31"/>
  <c r="S44" i="31" s="1"/>
  <c r="R76" i="31"/>
  <c r="S76" i="31" s="1"/>
  <c r="R47" i="31"/>
  <c r="S47" i="31" s="1"/>
  <c r="R53" i="31"/>
  <c r="S53" i="31" s="1"/>
  <c r="R85" i="31"/>
  <c r="S85" i="31" s="1"/>
  <c r="R59" i="31"/>
  <c r="S59" i="31" s="1"/>
  <c r="R42" i="31"/>
  <c r="S42" i="31" s="1"/>
  <c r="R74" i="31"/>
  <c r="S74" i="31" s="1"/>
  <c r="R31" i="31"/>
  <c r="S31" i="31" s="1"/>
  <c r="R32" i="31"/>
  <c r="S32" i="31" s="1"/>
  <c r="R64" i="31"/>
  <c r="S64" i="31" s="1"/>
  <c r="R96" i="31"/>
  <c r="S96" i="31" s="1"/>
  <c r="R25" i="31"/>
  <c r="S25" i="31" s="1"/>
  <c r="R57" i="31"/>
  <c r="S57" i="31" s="1"/>
  <c r="R89" i="31"/>
  <c r="S89" i="31" s="1"/>
  <c r="R71" i="31"/>
  <c r="S71" i="31" s="1"/>
  <c r="R46" i="31"/>
  <c r="S46" i="31" s="1"/>
  <c r="R78" i="31"/>
  <c r="S78" i="31" s="1"/>
  <c r="R43" i="31"/>
  <c r="S43" i="31" s="1"/>
  <c r="R36" i="31"/>
  <c r="S36" i="31" s="1"/>
  <c r="R68" i="31"/>
  <c r="S68" i="31" s="1"/>
  <c r="R100" i="31"/>
  <c r="S100" i="31" s="1"/>
  <c r="R29" i="31"/>
  <c r="S29" i="31" s="1"/>
  <c r="R61" i="31"/>
  <c r="S61" i="31" s="1"/>
  <c r="R93" i="31"/>
  <c r="S93" i="31" s="1"/>
  <c r="R79" i="31"/>
  <c r="S79" i="31" s="1"/>
  <c r="R50" i="31"/>
  <c r="S50" i="31" s="1"/>
  <c r="R82" i="31"/>
  <c r="S82" i="31" s="1"/>
  <c r="R55" i="31"/>
  <c r="S55" i="31" s="1"/>
  <c r="R40" i="31"/>
  <c r="S40" i="31" s="1"/>
  <c r="R72" i="31"/>
  <c r="S72" i="31" s="1"/>
  <c r="R35" i="31"/>
  <c r="S35" i="31" s="1"/>
  <c r="R98" i="31"/>
  <c r="S98" i="31" s="1"/>
  <c r="R56" i="31"/>
  <c r="S56" i="31" s="1"/>
  <c r="R95" i="31"/>
  <c r="S95" i="31" s="1"/>
  <c r="R49" i="31"/>
  <c r="S49" i="31" s="1"/>
  <c r="R81" i="31"/>
  <c r="S81" i="31" s="1"/>
  <c r="R51" i="31"/>
  <c r="S51" i="31" s="1"/>
  <c r="R38" i="31"/>
  <c r="S38" i="31" s="1"/>
  <c r="R70" i="31"/>
  <c r="S70" i="31" s="1"/>
  <c r="R102" i="31"/>
  <c r="S102" i="31" s="1"/>
  <c r="R28" i="31"/>
  <c r="S28" i="31" s="1"/>
  <c r="R60" i="31"/>
  <c r="S60" i="31" s="1"/>
  <c r="R92" i="31"/>
  <c r="S92" i="31" s="1"/>
  <c r="R37" i="31"/>
  <c r="S37" i="31" s="1"/>
  <c r="R69" i="31"/>
  <c r="S69" i="31" s="1"/>
  <c r="R101" i="31"/>
  <c r="S101" i="31" s="1"/>
  <c r="R26" i="31"/>
  <c r="S26" i="31" s="1"/>
  <c r="R58" i="31"/>
  <c r="S58" i="31" s="1"/>
  <c r="R90" i="31"/>
  <c r="S90" i="31" s="1"/>
  <c r="R75" i="31"/>
  <c r="S75" i="31" s="1"/>
  <c r="R48" i="31"/>
  <c r="S48" i="31" s="1"/>
  <c r="R80" i="31"/>
  <c r="S80" i="31" s="1"/>
  <c r="R67" i="31"/>
  <c r="S67" i="31" s="1"/>
  <c r="R41" i="31"/>
  <c r="S41" i="31" s="1"/>
  <c r="R73" i="31"/>
  <c r="S73" i="31" s="1"/>
  <c r="R27" i="31"/>
  <c r="S27" i="31" s="1"/>
  <c r="R30" i="31"/>
  <c r="S30" i="31" s="1"/>
  <c r="R62" i="31"/>
  <c r="S62" i="31" s="1"/>
  <c r="R94" i="31"/>
  <c r="S94" i="31" s="1"/>
  <c r="R87" i="31"/>
  <c r="S87" i="31" s="1"/>
  <c r="R52" i="31"/>
  <c r="S52" i="31" s="1"/>
  <c r="R84" i="31"/>
  <c r="S84" i="31" s="1"/>
  <c r="R83" i="31"/>
  <c r="S83" i="31" s="1"/>
  <c r="R45" i="31"/>
  <c r="S45" i="31" s="1"/>
  <c r="R77" i="31"/>
  <c r="S77" i="31" s="1"/>
  <c r="R39" i="31"/>
  <c r="S39" i="31" s="1"/>
  <c r="R34" i="31"/>
  <c r="S34" i="31" s="1"/>
  <c r="R66" i="31"/>
  <c r="S66" i="31" s="1"/>
  <c r="R99" i="31"/>
  <c r="S99" i="31" s="1"/>
  <c r="R88" i="31"/>
  <c r="S88" i="31" s="1"/>
  <c r="H101" i="9"/>
  <c r="H119" i="9"/>
  <c r="H5" i="52" s="1"/>
  <c r="H4" i="52"/>
  <c r="C104" i="9"/>
  <c r="E4" i="52"/>
  <c r="B48" i="72" s="1"/>
  <c r="D118" i="9"/>
  <c r="S22" i="31" l="1"/>
  <c r="D5" i="53"/>
  <c r="H107" i="9"/>
  <c r="D119" i="9"/>
  <c r="D5" i="52" s="1"/>
  <c r="B49" i="72" s="1"/>
  <c r="D4" i="52"/>
  <c r="B47" i="72" s="1"/>
  <c r="K8" i="74" l="1"/>
  <c r="M48" i="9"/>
  <c r="R22" i="31"/>
  <c r="K9" i="74" s="1"/>
  <c r="B20" i="31"/>
  <c r="B21" i="31" s="1"/>
  <c r="D13" i="53"/>
  <c r="H108" i="9"/>
  <c r="D122" i="9"/>
  <c r="D6" i="53"/>
  <c r="B22" i="72" s="1"/>
  <c r="B20" i="72"/>
  <c r="C20" i="85"/>
  <c r="C19" i="85"/>
  <c r="M49" i="9" l="1"/>
  <c r="L68" i="9" s="1"/>
  <c r="M68" i="9" s="1"/>
  <c r="D45" i="9"/>
  <c r="C102" i="85"/>
  <c r="G19" i="85"/>
  <c r="D22" i="85"/>
  <c r="C21" i="85"/>
  <c r="G20" i="85"/>
  <c r="R24" i="95" s="1"/>
  <c r="C103" i="85"/>
  <c r="D123" i="9"/>
  <c r="D9" i="52" s="1"/>
  <c r="D8" i="52"/>
  <c r="D15" i="53"/>
  <c r="B31" i="72" s="1"/>
  <c r="D14" i="53"/>
  <c r="B32" i="72" s="1"/>
  <c r="B30" i="72"/>
  <c r="R526" i="95" l="1"/>
  <c r="S526" i="95" s="1"/>
  <c r="R542" i="95"/>
  <c r="S542" i="95" s="1"/>
  <c r="R558" i="95"/>
  <c r="S558" i="95" s="1"/>
  <c r="R574" i="95"/>
  <c r="S574" i="95" s="1"/>
  <c r="R590" i="95"/>
  <c r="S590" i="95" s="1"/>
  <c r="R606" i="95"/>
  <c r="S606" i="95" s="1"/>
  <c r="R622" i="95"/>
  <c r="S622" i="95" s="1"/>
  <c r="R638" i="95"/>
  <c r="S638" i="95" s="1"/>
  <c r="R654" i="95"/>
  <c r="S654" i="95" s="1"/>
  <c r="R670" i="95"/>
  <c r="S670" i="95" s="1"/>
  <c r="R686" i="95"/>
  <c r="S686" i="95" s="1"/>
  <c r="R535" i="95"/>
  <c r="S535" i="95" s="1"/>
  <c r="R551" i="95"/>
  <c r="S551" i="95" s="1"/>
  <c r="R567" i="95"/>
  <c r="S567" i="95" s="1"/>
  <c r="R583" i="95"/>
  <c r="S583" i="95" s="1"/>
  <c r="R599" i="95"/>
  <c r="S599" i="95" s="1"/>
  <c r="R615" i="95"/>
  <c r="S615" i="95" s="1"/>
  <c r="R540" i="95"/>
  <c r="S540" i="95" s="1"/>
  <c r="R556" i="95"/>
  <c r="S556" i="95" s="1"/>
  <c r="R572" i="95"/>
  <c r="S572" i="95" s="1"/>
  <c r="R588" i="95"/>
  <c r="S588" i="95" s="1"/>
  <c r="R604" i="95"/>
  <c r="S604" i="95" s="1"/>
  <c r="R620" i="95"/>
  <c r="S620" i="95" s="1"/>
  <c r="R636" i="95"/>
  <c r="S636" i="95" s="1"/>
  <c r="R668" i="95"/>
  <c r="S668" i="95" s="1"/>
  <c r="R529" i="95"/>
  <c r="S529" i="95" s="1"/>
  <c r="R561" i="95"/>
  <c r="S561" i="95" s="1"/>
  <c r="R593" i="95"/>
  <c r="S593" i="95" s="1"/>
  <c r="R619" i="95"/>
  <c r="S619" i="95" s="1"/>
  <c r="R627" i="95"/>
  <c r="S627" i="95" s="1"/>
  <c r="R635" i="95"/>
  <c r="S635" i="95" s="1"/>
  <c r="R647" i="95"/>
  <c r="S647" i="95" s="1"/>
  <c r="R663" i="95"/>
  <c r="S663" i="95" s="1"/>
  <c r="R679" i="95"/>
  <c r="S679" i="95" s="1"/>
  <c r="R694" i="95"/>
  <c r="S694" i="95" s="1"/>
  <c r="R710" i="95"/>
  <c r="S710" i="95" s="1"/>
  <c r="R648" i="95"/>
  <c r="S648" i="95" s="1"/>
  <c r="R680" i="95"/>
  <c r="S680" i="95" s="1"/>
  <c r="R703" i="95"/>
  <c r="S703" i="95" s="1"/>
  <c r="R719" i="95"/>
  <c r="S719" i="95" s="1"/>
  <c r="R735" i="95"/>
  <c r="S735" i="95" s="1"/>
  <c r="R549" i="95"/>
  <c r="S549" i="95" s="1"/>
  <c r="R581" i="95"/>
  <c r="S581" i="95" s="1"/>
  <c r="R613" i="95"/>
  <c r="S613" i="95" s="1"/>
  <c r="R651" i="95"/>
  <c r="S651" i="95" s="1"/>
  <c r="R667" i="95"/>
  <c r="S667" i="95" s="1"/>
  <c r="R683" i="95"/>
  <c r="S683" i="95" s="1"/>
  <c r="R700" i="95"/>
  <c r="S700" i="95" s="1"/>
  <c r="R716" i="95"/>
  <c r="S716" i="95" s="1"/>
  <c r="R732" i="95"/>
  <c r="S732" i="95" s="1"/>
  <c r="R730" i="95"/>
  <c r="S730" i="95" s="1"/>
  <c r="R746" i="95"/>
  <c r="S746" i="95" s="1"/>
  <c r="R762" i="95"/>
  <c r="S762" i="95" s="1"/>
  <c r="R778" i="95"/>
  <c r="S778" i="95" s="1"/>
  <c r="R794" i="95"/>
  <c r="S794" i="95" s="1"/>
  <c r="R810" i="95"/>
  <c r="S810" i="95" s="1"/>
  <c r="R826" i="95"/>
  <c r="S826" i="95" s="1"/>
  <c r="R842" i="95"/>
  <c r="S842" i="95" s="1"/>
  <c r="R858" i="95"/>
  <c r="S858" i="95" s="1"/>
  <c r="R874" i="95"/>
  <c r="S874" i="95" s="1"/>
  <c r="R890" i="95"/>
  <c r="S890" i="95" s="1"/>
  <c r="R701" i="95"/>
  <c r="S701" i="95" s="1"/>
  <c r="R743" i="95"/>
  <c r="S743" i="95" s="1"/>
  <c r="R759" i="95"/>
  <c r="S759" i="95" s="1"/>
  <c r="R775" i="95"/>
  <c r="S775" i="95" s="1"/>
  <c r="R791" i="95"/>
  <c r="S791" i="95" s="1"/>
  <c r="R807" i="95"/>
  <c r="S807" i="95" s="1"/>
  <c r="R823" i="95"/>
  <c r="S823" i="95" s="1"/>
  <c r="R839" i="95"/>
  <c r="S839" i="95" s="1"/>
  <c r="R855" i="95"/>
  <c r="S855" i="95" s="1"/>
  <c r="R871" i="95"/>
  <c r="S871" i="95" s="1"/>
  <c r="R748" i="95"/>
  <c r="S748" i="95" s="1"/>
  <c r="R764" i="95"/>
  <c r="S764" i="95" s="1"/>
  <c r="R780" i="95"/>
  <c r="S780" i="95" s="1"/>
  <c r="R796" i="95"/>
  <c r="S796" i="95" s="1"/>
  <c r="R812" i="95"/>
  <c r="S812" i="95" s="1"/>
  <c r="R828" i="95"/>
  <c r="S828" i="95" s="1"/>
  <c r="R844" i="95"/>
  <c r="S844" i="95" s="1"/>
  <c r="R860" i="95"/>
  <c r="S860" i="95" s="1"/>
  <c r="R876" i="95"/>
  <c r="S876" i="95" s="1"/>
  <c r="R892" i="95"/>
  <c r="S892" i="95" s="1"/>
  <c r="R697" i="95"/>
  <c r="S697" i="95" s="1"/>
  <c r="R725" i="95"/>
  <c r="S725" i="95" s="1"/>
  <c r="R741" i="95"/>
  <c r="S741" i="95" s="1"/>
  <c r="R757" i="95"/>
  <c r="S757" i="95" s="1"/>
  <c r="R530" i="95"/>
  <c r="S530" i="95" s="1"/>
  <c r="R546" i="95"/>
  <c r="S546" i="95" s="1"/>
  <c r="R562" i="95"/>
  <c r="S562" i="95" s="1"/>
  <c r="R578" i="95"/>
  <c r="S578" i="95" s="1"/>
  <c r="R594" i="95"/>
  <c r="S594" i="95" s="1"/>
  <c r="R610" i="95"/>
  <c r="S610" i="95" s="1"/>
  <c r="R626" i="95"/>
  <c r="S626" i="95" s="1"/>
  <c r="R642" i="95"/>
  <c r="S642" i="95" s="1"/>
  <c r="R658" i="95"/>
  <c r="S658" i="95" s="1"/>
  <c r="R674" i="95"/>
  <c r="S674" i="95" s="1"/>
  <c r="R690" i="95"/>
  <c r="S690" i="95" s="1"/>
  <c r="R539" i="95"/>
  <c r="S539" i="95" s="1"/>
  <c r="R555" i="95"/>
  <c r="S555" i="95" s="1"/>
  <c r="R571" i="95"/>
  <c r="S571" i="95" s="1"/>
  <c r="R587" i="95"/>
  <c r="S587" i="95" s="1"/>
  <c r="R603" i="95"/>
  <c r="S603" i="95" s="1"/>
  <c r="R528" i="95"/>
  <c r="S528" i="95" s="1"/>
  <c r="R544" i="95"/>
  <c r="S544" i="95" s="1"/>
  <c r="R560" i="95"/>
  <c r="S560" i="95" s="1"/>
  <c r="R576" i="95"/>
  <c r="S576" i="95" s="1"/>
  <c r="R592" i="95"/>
  <c r="S592" i="95" s="1"/>
  <c r="R608" i="95"/>
  <c r="S608" i="95" s="1"/>
  <c r="R624" i="95"/>
  <c r="S624" i="95" s="1"/>
  <c r="R644" i="95"/>
  <c r="S644" i="95" s="1"/>
  <c r="R676" i="95"/>
  <c r="S676" i="95" s="1"/>
  <c r="R537" i="95"/>
  <c r="S537" i="95" s="1"/>
  <c r="R569" i="95"/>
  <c r="S569" i="95" s="1"/>
  <c r="R601" i="95"/>
  <c r="S601" i="95" s="1"/>
  <c r="R621" i="95"/>
  <c r="S621" i="95" s="1"/>
  <c r="R629" i="95"/>
  <c r="S629" i="95" s="1"/>
  <c r="R637" i="95"/>
  <c r="S637" i="95" s="1"/>
  <c r="R653" i="95"/>
  <c r="S653" i="95" s="1"/>
  <c r="R669" i="95"/>
  <c r="S669" i="95" s="1"/>
  <c r="R685" i="95"/>
  <c r="S685" i="95" s="1"/>
  <c r="R698" i="95"/>
  <c r="S698" i="95" s="1"/>
  <c r="R714" i="95"/>
  <c r="S714" i="95" s="1"/>
  <c r="R656" i="95"/>
  <c r="S656" i="95" s="1"/>
  <c r="R688" i="95"/>
  <c r="S688" i="95" s="1"/>
  <c r="R707" i="95"/>
  <c r="S707" i="95" s="1"/>
  <c r="R723" i="95"/>
  <c r="S723" i="95" s="1"/>
  <c r="R525" i="95"/>
  <c r="S525" i="95" s="1"/>
  <c r="R557" i="95"/>
  <c r="S557" i="95" s="1"/>
  <c r="R589" i="95"/>
  <c r="S589" i="95" s="1"/>
  <c r="R641" i="95"/>
  <c r="S641" i="95" s="1"/>
  <c r="R657" i="95"/>
  <c r="S657" i="95" s="1"/>
  <c r="R673" i="95"/>
  <c r="S673" i="95" s="1"/>
  <c r="R689" i="95"/>
  <c r="S689" i="95" s="1"/>
  <c r="R704" i="95"/>
  <c r="S704" i="95" s="1"/>
  <c r="R720" i="95"/>
  <c r="S720" i="95" s="1"/>
  <c r="R736" i="95"/>
  <c r="S736" i="95" s="1"/>
  <c r="R734" i="95"/>
  <c r="S734" i="95" s="1"/>
  <c r="R750" i="95"/>
  <c r="S750" i="95" s="1"/>
  <c r="R766" i="95"/>
  <c r="S766" i="95" s="1"/>
  <c r="R782" i="95"/>
  <c r="S782" i="95" s="1"/>
  <c r="R798" i="95"/>
  <c r="S798" i="95" s="1"/>
  <c r="R814" i="95"/>
  <c r="S814" i="95" s="1"/>
  <c r="R830" i="95"/>
  <c r="S830" i="95" s="1"/>
  <c r="R846" i="95"/>
  <c r="S846" i="95" s="1"/>
  <c r="R862" i="95"/>
  <c r="S862" i="95" s="1"/>
  <c r="R878" i="95"/>
  <c r="S878" i="95" s="1"/>
  <c r="R894" i="95"/>
  <c r="S894" i="95" s="1"/>
  <c r="R709" i="95"/>
  <c r="S709" i="95" s="1"/>
  <c r="R747" i="95"/>
  <c r="S747" i="95" s="1"/>
  <c r="R763" i="95"/>
  <c r="S763" i="95" s="1"/>
  <c r="R779" i="95"/>
  <c r="S779" i="95" s="1"/>
  <c r="R795" i="95"/>
  <c r="S795" i="95" s="1"/>
  <c r="R811" i="95"/>
  <c r="S811" i="95" s="1"/>
  <c r="R827" i="95"/>
  <c r="S827" i="95" s="1"/>
  <c r="R843" i="95"/>
  <c r="S843" i="95" s="1"/>
  <c r="R859" i="95"/>
  <c r="S859" i="95" s="1"/>
  <c r="R875" i="95"/>
  <c r="S875" i="95" s="1"/>
  <c r="R752" i="95"/>
  <c r="S752" i="95" s="1"/>
  <c r="R768" i="95"/>
  <c r="S768" i="95" s="1"/>
  <c r="R784" i="95"/>
  <c r="S784" i="95" s="1"/>
  <c r="R800" i="95"/>
  <c r="S800" i="95" s="1"/>
  <c r="R816" i="95"/>
  <c r="S816" i="95" s="1"/>
  <c r="R832" i="95"/>
  <c r="S832" i="95" s="1"/>
  <c r="R848" i="95"/>
  <c r="S848" i="95" s="1"/>
  <c r="R864" i="95"/>
  <c r="S864" i="95" s="1"/>
  <c r="R880" i="95"/>
  <c r="S880" i="95" s="1"/>
  <c r="R896" i="95"/>
  <c r="S896" i="95" s="1"/>
  <c r="R705" i="95"/>
  <c r="S705" i="95" s="1"/>
  <c r="R729" i="95"/>
  <c r="S729" i="95" s="1"/>
  <c r="R745" i="95"/>
  <c r="S745" i="95" s="1"/>
  <c r="R761" i="95"/>
  <c r="S761" i="95" s="1"/>
  <c r="R534" i="95"/>
  <c r="S534" i="95" s="1"/>
  <c r="R550" i="95"/>
  <c r="S550" i="95" s="1"/>
  <c r="R566" i="95"/>
  <c r="S566" i="95" s="1"/>
  <c r="R582" i="95"/>
  <c r="S582" i="95" s="1"/>
  <c r="R598" i="95"/>
  <c r="S598" i="95" s="1"/>
  <c r="R614" i="95"/>
  <c r="S614" i="95" s="1"/>
  <c r="R630" i="95"/>
  <c r="S630" i="95" s="1"/>
  <c r="R646" i="95"/>
  <c r="S646" i="95" s="1"/>
  <c r="R662" i="95"/>
  <c r="S662" i="95" s="1"/>
  <c r="R678" i="95"/>
  <c r="S678" i="95" s="1"/>
  <c r="R527" i="95"/>
  <c r="S527" i="95" s="1"/>
  <c r="R543" i="95"/>
  <c r="S543" i="95" s="1"/>
  <c r="R559" i="95"/>
  <c r="S559" i="95" s="1"/>
  <c r="R575" i="95"/>
  <c r="S575" i="95" s="1"/>
  <c r="R591" i="95"/>
  <c r="S591" i="95" s="1"/>
  <c r="R607" i="95"/>
  <c r="S607" i="95" s="1"/>
  <c r="R532" i="95"/>
  <c r="S532" i="95" s="1"/>
  <c r="R548" i="95"/>
  <c r="S548" i="95" s="1"/>
  <c r="R564" i="95"/>
  <c r="S564" i="95" s="1"/>
  <c r="R580" i="95"/>
  <c r="S580" i="95" s="1"/>
  <c r="R596" i="95"/>
  <c r="S596" i="95" s="1"/>
  <c r="R612" i="95"/>
  <c r="S612" i="95" s="1"/>
  <c r="R628" i="95"/>
  <c r="S628" i="95" s="1"/>
  <c r="R652" i="95"/>
  <c r="S652" i="95" s="1"/>
  <c r="R684" i="95"/>
  <c r="S684" i="95" s="1"/>
  <c r="R545" i="95"/>
  <c r="S545" i="95" s="1"/>
  <c r="R577" i="95"/>
  <c r="S577" i="95" s="1"/>
  <c r="R609" i="95"/>
  <c r="S609" i="95" s="1"/>
  <c r="R623" i="95"/>
  <c r="S623" i="95" s="1"/>
  <c r="R631" i="95"/>
  <c r="S631" i="95" s="1"/>
  <c r="R639" i="95"/>
  <c r="S639" i="95" s="1"/>
  <c r="R655" i="95"/>
  <c r="S655" i="95" s="1"/>
  <c r="R671" i="95"/>
  <c r="S671" i="95" s="1"/>
  <c r="R687" i="95"/>
  <c r="S687" i="95" s="1"/>
  <c r="R702" i="95"/>
  <c r="S702" i="95" s="1"/>
  <c r="R718" i="95"/>
  <c r="S718" i="95" s="1"/>
  <c r="R664" i="95"/>
  <c r="S664" i="95" s="1"/>
  <c r="R695" i="95"/>
  <c r="S695" i="95" s="1"/>
  <c r="R711" i="95"/>
  <c r="S711" i="95" s="1"/>
  <c r="R727" i="95"/>
  <c r="S727" i="95" s="1"/>
  <c r="R533" i="95"/>
  <c r="S533" i="95" s="1"/>
  <c r="R565" i="95"/>
  <c r="S565" i="95" s="1"/>
  <c r="R597" i="95"/>
  <c r="S597" i="95" s="1"/>
  <c r="R643" i="95"/>
  <c r="S643" i="95" s="1"/>
  <c r="R659" i="95"/>
  <c r="S659" i="95" s="1"/>
  <c r="R675" i="95"/>
  <c r="S675" i="95" s="1"/>
  <c r="R691" i="95"/>
  <c r="S691" i="95" s="1"/>
  <c r="R708" i="95"/>
  <c r="S708" i="95" s="1"/>
  <c r="R724" i="95"/>
  <c r="S724" i="95" s="1"/>
  <c r="R722" i="95"/>
  <c r="S722" i="95" s="1"/>
  <c r="R738" i="95"/>
  <c r="S738" i="95" s="1"/>
  <c r="R754" i="95"/>
  <c r="S754" i="95" s="1"/>
  <c r="R770" i="95"/>
  <c r="S770" i="95" s="1"/>
  <c r="R786" i="95"/>
  <c r="S786" i="95" s="1"/>
  <c r="R802" i="95"/>
  <c r="S802" i="95" s="1"/>
  <c r="R818" i="95"/>
  <c r="S818" i="95" s="1"/>
  <c r="R834" i="95"/>
  <c r="S834" i="95" s="1"/>
  <c r="R850" i="95"/>
  <c r="S850" i="95" s="1"/>
  <c r="R866" i="95"/>
  <c r="S866" i="95" s="1"/>
  <c r="R882" i="95"/>
  <c r="S882" i="95" s="1"/>
  <c r="R898" i="95"/>
  <c r="S898" i="95" s="1"/>
  <c r="R717" i="95"/>
  <c r="S717" i="95" s="1"/>
  <c r="R751" i="95"/>
  <c r="S751" i="95" s="1"/>
  <c r="R767" i="95"/>
  <c r="S767" i="95" s="1"/>
  <c r="R783" i="95"/>
  <c r="S783" i="95" s="1"/>
  <c r="R799" i="95"/>
  <c r="S799" i="95" s="1"/>
  <c r="R815" i="95"/>
  <c r="S815" i="95" s="1"/>
  <c r="R831" i="95"/>
  <c r="S831" i="95" s="1"/>
  <c r="R847" i="95"/>
  <c r="S847" i="95" s="1"/>
  <c r="R863" i="95"/>
  <c r="S863" i="95" s="1"/>
  <c r="R740" i="95"/>
  <c r="S740" i="95" s="1"/>
  <c r="R756" i="95"/>
  <c r="S756" i="95" s="1"/>
  <c r="R772" i="95"/>
  <c r="S772" i="95" s="1"/>
  <c r="R788" i="95"/>
  <c r="S788" i="95" s="1"/>
  <c r="R804" i="95"/>
  <c r="S804" i="95" s="1"/>
  <c r="R820" i="95"/>
  <c r="S820" i="95" s="1"/>
  <c r="R836" i="95"/>
  <c r="S836" i="95" s="1"/>
  <c r="R852" i="95"/>
  <c r="S852" i="95" s="1"/>
  <c r="R868" i="95"/>
  <c r="S868" i="95" s="1"/>
  <c r="R884" i="95"/>
  <c r="S884" i="95" s="1"/>
  <c r="R900" i="95"/>
  <c r="S900" i="95" s="1"/>
  <c r="R713" i="95"/>
  <c r="S713" i="95" s="1"/>
  <c r="R733" i="95"/>
  <c r="S733" i="95" s="1"/>
  <c r="R749" i="95"/>
  <c r="S749" i="95" s="1"/>
  <c r="R765" i="95"/>
  <c r="S765" i="95" s="1"/>
  <c r="R538" i="95"/>
  <c r="S538" i="95" s="1"/>
  <c r="R554" i="95"/>
  <c r="S554" i="95" s="1"/>
  <c r="R570" i="95"/>
  <c r="S570" i="95" s="1"/>
  <c r="R586" i="95"/>
  <c r="S586" i="95" s="1"/>
  <c r="R602" i="95"/>
  <c r="S602" i="95" s="1"/>
  <c r="R618" i="95"/>
  <c r="S618" i="95" s="1"/>
  <c r="R634" i="95"/>
  <c r="S634" i="95" s="1"/>
  <c r="R650" i="95"/>
  <c r="S650" i="95" s="1"/>
  <c r="R666" i="95"/>
  <c r="S666" i="95" s="1"/>
  <c r="R682" i="95"/>
  <c r="S682" i="95" s="1"/>
  <c r="R531" i="95"/>
  <c r="S531" i="95" s="1"/>
  <c r="R547" i="95"/>
  <c r="S547" i="95" s="1"/>
  <c r="R563" i="95"/>
  <c r="S563" i="95" s="1"/>
  <c r="R579" i="95"/>
  <c r="S579" i="95" s="1"/>
  <c r="R595" i="95"/>
  <c r="S595" i="95" s="1"/>
  <c r="R611" i="95"/>
  <c r="S611" i="95" s="1"/>
  <c r="R536" i="95"/>
  <c r="S536" i="95" s="1"/>
  <c r="R552" i="95"/>
  <c r="S552" i="95" s="1"/>
  <c r="R568" i="95"/>
  <c r="S568" i="95" s="1"/>
  <c r="R584" i="95"/>
  <c r="S584" i="95" s="1"/>
  <c r="R600" i="95"/>
  <c r="S600" i="95" s="1"/>
  <c r="R616" i="95"/>
  <c r="S616" i="95" s="1"/>
  <c r="R632" i="95"/>
  <c r="S632" i="95" s="1"/>
  <c r="R660" i="95"/>
  <c r="S660" i="95" s="1"/>
  <c r="R692" i="95"/>
  <c r="S692" i="95" s="1"/>
  <c r="R553" i="95"/>
  <c r="S553" i="95" s="1"/>
  <c r="R585" i="95"/>
  <c r="S585" i="95" s="1"/>
  <c r="R617" i="95"/>
  <c r="S617" i="95" s="1"/>
  <c r="R625" i="95"/>
  <c r="S625" i="95" s="1"/>
  <c r="R633" i="95"/>
  <c r="S633" i="95" s="1"/>
  <c r="R645" i="95"/>
  <c r="S645" i="95" s="1"/>
  <c r="R661" i="95"/>
  <c r="S661" i="95" s="1"/>
  <c r="R677" i="95"/>
  <c r="S677" i="95" s="1"/>
  <c r="R693" i="95"/>
  <c r="S693" i="95" s="1"/>
  <c r="R706" i="95"/>
  <c r="S706" i="95" s="1"/>
  <c r="R640" i="95"/>
  <c r="S640" i="95" s="1"/>
  <c r="R672" i="95"/>
  <c r="S672" i="95" s="1"/>
  <c r="R699" i="95"/>
  <c r="S699" i="95" s="1"/>
  <c r="R715" i="95"/>
  <c r="S715" i="95" s="1"/>
  <c r="R731" i="95"/>
  <c r="S731" i="95" s="1"/>
  <c r="R541" i="95"/>
  <c r="S541" i="95" s="1"/>
  <c r="R573" i="95"/>
  <c r="S573" i="95" s="1"/>
  <c r="R605" i="95"/>
  <c r="S605" i="95" s="1"/>
  <c r="R649" i="95"/>
  <c r="S649" i="95" s="1"/>
  <c r="R665" i="95"/>
  <c r="S665" i="95" s="1"/>
  <c r="R681" i="95"/>
  <c r="S681" i="95" s="1"/>
  <c r="R696" i="95"/>
  <c r="S696" i="95" s="1"/>
  <c r="R712" i="95"/>
  <c r="S712" i="95" s="1"/>
  <c r="R728" i="95"/>
  <c r="S728" i="95" s="1"/>
  <c r="R726" i="95"/>
  <c r="S726" i="95" s="1"/>
  <c r="R742" i="95"/>
  <c r="S742" i="95" s="1"/>
  <c r="R758" i="95"/>
  <c r="S758" i="95" s="1"/>
  <c r="R774" i="95"/>
  <c r="S774" i="95" s="1"/>
  <c r="R790" i="95"/>
  <c r="S790" i="95" s="1"/>
  <c r="R806" i="95"/>
  <c r="S806" i="95" s="1"/>
  <c r="R822" i="95"/>
  <c r="S822" i="95" s="1"/>
  <c r="R838" i="95"/>
  <c r="S838" i="95" s="1"/>
  <c r="R854" i="95"/>
  <c r="S854" i="95" s="1"/>
  <c r="R870" i="95"/>
  <c r="S870" i="95" s="1"/>
  <c r="R886" i="95"/>
  <c r="S886" i="95" s="1"/>
  <c r="R902" i="95"/>
  <c r="S902" i="95" s="1"/>
  <c r="R739" i="95"/>
  <c r="S739" i="95" s="1"/>
  <c r="R755" i="95"/>
  <c r="S755" i="95" s="1"/>
  <c r="R771" i="95"/>
  <c r="S771" i="95" s="1"/>
  <c r="R787" i="95"/>
  <c r="S787" i="95" s="1"/>
  <c r="R803" i="95"/>
  <c r="S803" i="95" s="1"/>
  <c r="R819" i="95"/>
  <c r="S819" i="95" s="1"/>
  <c r="R835" i="95"/>
  <c r="S835" i="95" s="1"/>
  <c r="R851" i="95"/>
  <c r="S851" i="95" s="1"/>
  <c r="R867" i="95"/>
  <c r="S867" i="95" s="1"/>
  <c r="R744" i="95"/>
  <c r="S744" i="95" s="1"/>
  <c r="R760" i="95"/>
  <c r="S760" i="95" s="1"/>
  <c r="R776" i="95"/>
  <c r="S776" i="95" s="1"/>
  <c r="R792" i="95"/>
  <c r="S792" i="95" s="1"/>
  <c r="R808" i="95"/>
  <c r="S808" i="95" s="1"/>
  <c r="R824" i="95"/>
  <c r="S824" i="95" s="1"/>
  <c r="R840" i="95"/>
  <c r="S840" i="95" s="1"/>
  <c r="R856" i="95"/>
  <c r="S856" i="95" s="1"/>
  <c r="R872" i="95"/>
  <c r="S872" i="95" s="1"/>
  <c r="R888" i="95"/>
  <c r="S888" i="95" s="1"/>
  <c r="R904" i="95"/>
  <c r="S904" i="95" s="1"/>
  <c r="R721" i="95"/>
  <c r="S721" i="95" s="1"/>
  <c r="R737" i="95"/>
  <c r="S737" i="95" s="1"/>
  <c r="R753" i="95"/>
  <c r="S753" i="95" s="1"/>
  <c r="R769" i="95"/>
  <c r="S769" i="95" s="1"/>
  <c r="R773" i="95"/>
  <c r="S773" i="95" s="1"/>
  <c r="R789" i="95"/>
  <c r="S789" i="95" s="1"/>
  <c r="R805" i="95"/>
  <c r="S805" i="95" s="1"/>
  <c r="R821" i="95"/>
  <c r="S821" i="95" s="1"/>
  <c r="R837" i="95"/>
  <c r="S837" i="95" s="1"/>
  <c r="R853" i="95"/>
  <c r="S853" i="95" s="1"/>
  <c r="R913" i="95"/>
  <c r="S913" i="95" s="1"/>
  <c r="R929" i="95"/>
  <c r="S929" i="95" s="1"/>
  <c r="R945" i="95"/>
  <c r="S945" i="95" s="1"/>
  <c r="R961" i="95"/>
  <c r="S961" i="95" s="1"/>
  <c r="R977" i="95"/>
  <c r="S977" i="95" s="1"/>
  <c r="R993" i="95"/>
  <c r="S993" i="95" s="1"/>
  <c r="R1009" i="95"/>
  <c r="S1009" i="95" s="1"/>
  <c r="R1025" i="95"/>
  <c r="S1025" i="95" s="1"/>
  <c r="R1041" i="95"/>
  <c r="S1041" i="95" s="1"/>
  <c r="R1057" i="95"/>
  <c r="S1057" i="95" s="1"/>
  <c r="R1073" i="95"/>
  <c r="S1073" i="95" s="1"/>
  <c r="R1089" i="95"/>
  <c r="S1089" i="95" s="1"/>
  <c r="R1105" i="95"/>
  <c r="S1105" i="95" s="1"/>
  <c r="R879" i="95"/>
  <c r="S879" i="95" s="1"/>
  <c r="R887" i="95"/>
  <c r="S887" i="95" s="1"/>
  <c r="R895" i="95"/>
  <c r="S895" i="95" s="1"/>
  <c r="R903" i="95"/>
  <c r="S903" i="95" s="1"/>
  <c r="R918" i="95"/>
  <c r="S918" i="95" s="1"/>
  <c r="R934" i="95"/>
  <c r="S934" i="95" s="1"/>
  <c r="R950" i="95"/>
  <c r="S950" i="95" s="1"/>
  <c r="R966" i="95"/>
  <c r="S966" i="95" s="1"/>
  <c r="R982" i="95"/>
  <c r="S982" i="95" s="1"/>
  <c r="R998" i="95"/>
  <c r="S998" i="95" s="1"/>
  <c r="R1014" i="95"/>
  <c r="S1014" i="95" s="1"/>
  <c r="R1030" i="95"/>
  <c r="S1030" i="95" s="1"/>
  <c r="R1046" i="95"/>
  <c r="S1046" i="95" s="1"/>
  <c r="R1062" i="95"/>
  <c r="S1062" i="95" s="1"/>
  <c r="R915" i="95"/>
  <c r="S915" i="95" s="1"/>
  <c r="R931" i="95"/>
  <c r="S931" i="95" s="1"/>
  <c r="R947" i="95"/>
  <c r="S947" i="95" s="1"/>
  <c r="R963" i="95"/>
  <c r="S963" i="95" s="1"/>
  <c r="R979" i="95"/>
  <c r="S979" i="95" s="1"/>
  <c r="R995" i="95"/>
  <c r="S995" i="95" s="1"/>
  <c r="R1011" i="95"/>
  <c r="S1011" i="95" s="1"/>
  <c r="R1027" i="95"/>
  <c r="S1027" i="95" s="1"/>
  <c r="R1043" i="95"/>
  <c r="S1043" i="95" s="1"/>
  <c r="R1059" i="95"/>
  <c r="S1059" i="95" s="1"/>
  <c r="R1075" i="95"/>
  <c r="S1075" i="95" s="1"/>
  <c r="R1091" i="95"/>
  <c r="S1091" i="95" s="1"/>
  <c r="R1107" i="95"/>
  <c r="S1107" i="95" s="1"/>
  <c r="R1123" i="95"/>
  <c r="S1123" i="95" s="1"/>
  <c r="R908" i="95"/>
  <c r="S908" i="95" s="1"/>
  <c r="R924" i="95"/>
  <c r="S924" i="95" s="1"/>
  <c r="R940" i="95"/>
  <c r="S940" i="95" s="1"/>
  <c r="R956" i="95"/>
  <c r="S956" i="95" s="1"/>
  <c r="R972" i="95"/>
  <c r="S972" i="95" s="1"/>
  <c r="R988" i="95"/>
  <c r="S988" i="95" s="1"/>
  <c r="R1004" i="95"/>
  <c r="S1004" i="95" s="1"/>
  <c r="R1020" i="95"/>
  <c r="S1020" i="95" s="1"/>
  <c r="R1036" i="95"/>
  <c r="S1036" i="95" s="1"/>
  <c r="R1052" i="95"/>
  <c r="S1052" i="95" s="1"/>
  <c r="R1068" i="95"/>
  <c r="S1068" i="95" s="1"/>
  <c r="R1076" i="95"/>
  <c r="S1076" i="95" s="1"/>
  <c r="R1084" i="95"/>
  <c r="S1084" i="95" s="1"/>
  <c r="R1092" i="95"/>
  <c r="S1092" i="95" s="1"/>
  <c r="R1100" i="95"/>
  <c r="S1100" i="95" s="1"/>
  <c r="R1108" i="95"/>
  <c r="S1108" i="95" s="1"/>
  <c r="R1120" i="95"/>
  <c r="S1120" i="95" s="1"/>
  <c r="R1138" i="95"/>
  <c r="S1138" i="95" s="1"/>
  <c r="R1154" i="95"/>
  <c r="S1154" i="95" s="1"/>
  <c r="R1113" i="95"/>
  <c r="S1113" i="95" s="1"/>
  <c r="R1135" i="95"/>
  <c r="S1135" i="95" s="1"/>
  <c r="R1151" i="95"/>
  <c r="S1151" i="95" s="1"/>
  <c r="R1167" i="95"/>
  <c r="S1167" i="95" s="1"/>
  <c r="R1152" i="95"/>
  <c r="S1152" i="95" s="1"/>
  <c r="R1114" i="95"/>
  <c r="S1114" i="95" s="1"/>
  <c r="R1128" i="95"/>
  <c r="S1128" i="95" s="1"/>
  <c r="R1169" i="95"/>
  <c r="S1169" i="95" s="1"/>
  <c r="R1129" i="95"/>
  <c r="S1129" i="95" s="1"/>
  <c r="R1145" i="95"/>
  <c r="S1145" i="95" s="1"/>
  <c r="R1161" i="95"/>
  <c r="S1161" i="95" s="1"/>
  <c r="R777" i="95"/>
  <c r="S777" i="95" s="1"/>
  <c r="R793" i="95"/>
  <c r="S793" i="95" s="1"/>
  <c r="R809" i="95"/>
  <c r="S809" i="95" s="1"/>
  <c r="R825" i="95"/>
  <c r="S825" i="95" s="1"/>
  <c r="R841" i="95"/>
  <c r="S841" i="95" s="1"/>
  <c r="R857" i="95"/>
  <c r="S857" i="95" s="1"/>
  <c r="R917" i="95"/>
  <c r="S917" i="95" s="1"/>
  <c r="R933" i="95"/>
  <c r="S933" i="95" s="1"/>
  <c r="R949" i="95"/>
  <c r="S949" i="95" s="1"/>
  <c r="R965" i="95"/>
  <c r="S965" i="95" s="1"/>
  <c r="R981" i="95"/>
  <c r="S981" i="95" s="1"/>
  <c r="R997" i="95"/>
  <c r="S997" i="95" s="1"/>
  <c r="R1013" i="95"/>
  <c r="S1013" i="95" s="1"/>
  <c r="R1029" i="95"/>
  <c r="S1029" i="95" s="1"/>
  <c r="R1045" i="95"/>
  <c r="S1045" i="95" s="1"/>
  <c r="R1061" i="95"/>
  <c r="S1061" i="95" s="1"/>
  <c r="R1077" i="95"/>
  <c r="S1077" i="95" s="1"/>
  <c r="R1093" i="95"/>
  <c r="S1093" i="95" s="1"/>
  <c r="R1109" i="95"/>
  <c r="S1109" i="95" s="1"/>
  <c r="R881" i="95"/>
  <c r="S881" i="95" s="1"/>
  <c r="R889" i="95"/>
  <c r="S889" i="95" s="1"/>
  <c r="R897" i="95"/>
  <c r="S897" i="95" s="1"/>
  <c r="R905" i="95"/>
  <c r="S905" i="95" s="1"/>
  <c r="R922" i="95"/>
  <c r="S922" i="95" s="1"/>
  <c r="R938" i="95"/>
  <c r="S938" i="95" s="1"/>
  <c r="R954" i="95"/>
  <c r="S954" i="95" s="1"/>
  <c r="R970" i="95"/>
  <c r="S970" i="95" s="1"/>
  <c r="R986" i="95"/>
  <c r="S986" i="95" s="1"/>
  <c r="R1002" i="95"/>
  <c r="S1002" i="95" s="1"/>
  <c r="R1018" i="95"/>
  <c r="S1018" i="95" s="1"/>
  <c r="R1034" i="95"/>
  <c r="S1034" i="95" s="1"/>
  <c r="R1050" i="95"/>
  <c r="S1050" i="95" s="1"/>
  <c r="R1066" i="95"/>
  <c r="S1066" i="95" s="1"/>
  <c r="R919" i="95"/>
  <c r="S919" i="95" s="1"/>
  <c r="R935" i="95"/>
  <c r="S935" i="95" s="1"/>
  <c r="R951" i="95"/>
  <c r="S951" i="95" s="1"/>
  <c r="R967" i="95"/>
  <c r="S967" i="95" s="1"/>
  <c r="R983" i="95"/>
  <c r="S983" i="95" s="1"/>
  <c r="R999" i="95"/>
  <c r="S999" i="95" s="1"/>
  <c r="R1015" i="95"/>
  <c r="S1015" i="95" s="1"/>
  <c r="R1031" i="95"/>
  <c r="S1031" i="95" s="1"/>
  <c r="R1047" i="95"/>
  <c r="S1047" i="95" s="1"/>
  <c r="R1063" i="95"/>
  <c r="S1063" i="95" s="1"/>
  <c r="R1079" i="95"/>
  <c r="S1079" i="95" s="1"/>
  <c r="R1095" i="95"/>
  <c r="S1095" i="95" s="1"/>
  <c r="R1111" i="95"/>
  <c r="S1111" i="95" s="1"/>
  <c r="R865" i="95"/>
  <c r="S865" i="95" s="1"/>
  <c r="R912" i="95"/>
  <c r="S912" i="95" s="1"/>
  <c r="R928" i="95"/>
  <c r="S928" i="95" s="1"/>
  <c r="R944" i="95"/>
  <c r="S944" i="95" s="1"/>
  <c r="R960" i="95"/>
  <c r="S960" i="95" s="1"/>
  <c r="R976" i="95"/>
  <c r="S976" i="95" s="1"/>
  <c r="R992" i="95"/>
  <c r="S992" i="95" s="1"/>
  <c r="R1008" i="95"/>
  <c r="S1008" i="95" s="1"/>
  <c r="R1024" i="95"/>
  <c r="S1024" i="95" s="1"/>
  <c r="R1040" i="95"/>
  <c r="S1040" i="95" s="1"/>
  <c r="R1056" i="95"/>
  <c r="S1056" i="95" s="1"/>
  <c r="R1070" i="95"/>
  <c r="S1070" i="95" s="1"/>
  <c r="R1078" i="95"/>
  <c r="S1078" i="95" s="1"/>
  <c r="R1086" i="95"/>
  <c r="S1086" i="95" s="1"/>
  <c r="R1094" i="95"/>
  <c r="S1094" i="95" s="1"/>
  <c r="R1102" i="95"/>
  <c r="S1102" i="95" s="1"/>
  <c r="R1110" i="95"/>
  <c r="S1110" i="95" s="1"/>
  <c r="R1126" i="95"/>
  <c r="S1126" i="95" s="1"/>
  <c r="R1142" i="95"/>
  <c r="S1142" i="95" s="1"/>
  <c r="R1158" i="95"/>
  <c r="S1158" i="95" s="1"/>
  <c r="R1121" i="95"/>
  <c r="S1121" i="95" s="1"/>
  <c r="R1139" i="95"/>
  <c r="S1139" i="95" s="1"/>
  <c r="R1155" i="95"/>
  <c r="S1155" i="95" s="1"/>
  <c r="R1136" i="95"/>
  <c r="S1136" i="95" s="1"/>
  <c r="R1156" i="95"/>
  <c r="S1156" i="95" s="1"/>
  <c r="R1116" i="95"/>
  <c r="S1116" i="95" s="1"/>
  <c r="R1132" i="95"/>
  <c r="S1132" i="95" s="1"/>
  <c r="R1170" i="95"/>
  <c r="S1170" i="95" s="1"/>
  <c r="R1133" i="95"/>
  <c r="S1133" i="95" s="1"/>
  <c r="R1149" i="95"/>
  <c r="S1149" i="95" s="1"/>
  <c r="R1165" i="95"/>
  <c r="S1165" i="95" s="1"/>
  <c r="R781" i="95"/>
  <c r="S781" i="95" s="1"/>
  <c r="R797" i="95"/>
  <c r="S797" i="95" s="1"/>
  <c r="R813" i="95"/>
  <c r="S813" i="95" s="1"/>
  <c r="R829" i="95"/>
  <c r="S829" i="95" s="1"/>
  <c r="R845" i="95"/>
  <c r="S845" i="95" s="1"/>
  <c r="R861" i="95"/>
  <c r="S861" i="95" s="1"/>
  <c r="R921" i="95"/>
  <c r="S921" i="95" s="1"/>
  <c r="R937" i="95"/>
  <c r="S937" i="95" s="1"/>
  <c r="R953" i="95"/>
  <c r="S953" i="95" s="1"/>
  <c r="R969" i="95"/>
  <c r="S969" i="95" s="1"/>
  <c r="R985" i="95"/>
  <c r="S985" i="95" s="1"/>
  <c r="R1001" i="95"/>
  <c r="S1001" i="95" s="1"/>
  <c r="R1017" i="95"/>
  <c r="S1017" i="95" s="1"/>
  <c r="R1033" i="95"/>
  <c r="S1033" i="95" s="1"/>
  <c r="R1049" i="95"/>
  <c r="S1049" i="95" s="1"/>
  <c r="R1065" i="95"/>
  <c r="S1065" i="95" s="1"/>
  <c r="R1081" i="95"/>
  <c r="S1081" i="95" s="1"/>
  <c r="R1097" i="95"/>
  <c r="S1097" i="95" s="1"/>
  <c r="R869" i="95"/>
  <c r="S869" i="95" s="1"/>
  <c r="R883" i="95"/>
  <c r="S883" i="95" s="1"/>
  <c r="R891" i="95"/>
  <c r="S891" i="95" s="1"/>
  <c r="R899" i="95"/>
  <c r="S899" i="95" s="1"/>
  <c r="R910" i="95"/>
  <c r="S910" i="95" s="1"/>
  <c r="R926" i="95"/>
  <c r="S926" i="95" s="1"/>
  <c r="R942" i="95"/>
  <c r="S942" i="95" s="1"/>
  <c r="R958" i="95"/>
  <c r="S958" i="95" s="1"/>
  <c r="R974" i="95"/>
  <c r="S974" i="95" s="1"/>
  <c r="R990" i="95"/>
  <c r="S990" i="95" s="1"/>
  <c r="R1006" i="95"/>
  <c r="S1006" i="95" s="1"/>
  <c r="R1022" i="95"/>
  <c r="S1022" i="95" s="1"/>
  <c r="R1038" i="95"/>
  <c r="S1038" i="95" s="1"/>
  <c r="R1054" i="95"/>
  <c r="S1054" i="95" s="1"/>
  <c r="R906" i="95"/>
  <c r="S906" i="95" s="1"/>
  <c r="R923" i="95"/>
  <c r="S923" i="95" s="1"/>
  <c r="R939" i="95"/>
  <c r="S939" i="95" s="1"/>
  <c r="R955" i="95"/>
  <c r="S955" i="95" s="1"/>
  <c r="R971" i="95"/>
  <c r="S971" i="95" s="1"/>
  <c r="R987" i="95"/>
  <c r="S987" i="95" s="1"/>
  <c r="R1003" i="95"/>
  <c r="S1003" i="95" s="1"/>
  <c r="R1019" i="95"/>
  <c r="S1019" i="95" s="1"/>
  <c r="R1035" i="95"/>
  <c r="S1035" i="95" s="1"/>
  <c r="R1051" i="95"/>
  <c r="S1051" i="95" s="1"/>
  <c r="R1067" i="95"/>
  <c r="S1067" i="95" s="1"/>
  <c r="R1083" i="95"/>
  <c r="S1083" i="95" s="1"/>
  <c r="R1099" i="95"/>
  <c r="S1099" i="95" s="1"/>
  <c r="R1115" i="95"/>
  <c r="S1115" i="95" s="1"/>
  <c r="R873" i="95"/>
  <c r="S873" i="95" s="1"/>
  <c r="R916" i="95"/>
  <c r="S916" i="95" s="1"/>
  <c r="R932" i="95"/>
  <c r="S932" i="95" s="1"/>
  <c r="R948" i="95"/>
  <c r="S948" i="95" s="1"/>
  <c r="R964" i="95"/>
  <c r="S964" i="95" s="1"/>
  <c r="R980" i="95"/>
  <c r="S980" i="95" s="1"/>
  <c r="R996" i="95"/>
  <c r="S996" i="95" s="1"/>
  <c r="R1012" i="95"/>
  <c r="S1012" i="95" s="1"/>
  <c r="R1028" i="95"/>
  <c r="S1028" i="95" s="1"/>
  <c r="R1044" i="95"/>
  <c r="S1044" i="95" s="1"/>
  <c r="R1060" i="95"/>
  <c r="S1060" i="95" s="1"/>
  <c r="R1072" i="95"/>
  <c r="S1072" i="95" s="1"/>
  <c r="R1080" i="95"/>
  <c r="S1080" i="95" s="1"/>
  <c r="R1088" i="95"/>
  <c r="S1088" i="95" s="1"/>
  <c r="R1096" i="95"/>
  <c r="S1096" i="95" s="1"/>
  <c r="R1104" i="95"/>
  <c r="S1104" i="95" s="1"/>
  <c r="R1112" i="95"/>
  <c r="S1112" i="95" s="1"/>
  <c r="R1130" i="95"/>
  <c r="S1130" i="95" s="1"/>
  <c r="R1146" i="95"/>
  <c r="S1146" i="95" s="1"/>
  <c r="R1162" i="95"/>
  <c r="S1162" i="95" s="1"/>
  <c r="R1127" i="95"/>
  <c r="S1127" i="95" s="1"/>
  <c r="R1143" i="95"/>
  <c r="S1143" i="95" s="1"/>
  <c r="R1159" i="95"/>
  <c r="S1159" i="95" s="1"/>
  <c r="R1144" i="95"/>
  <c r="S1144" i="95" s="1"/>
  <c r="R1160" i="95"/>
  <c r="S1160" i="95" s="1"/>
  <c r="R1122" i="95"/>
  <c r="S1122" i="95" s="1"/>
  <c r="R1140" i="95"/>
  <c r="S1140" i="95" s="1"/>
  <c r="R1117" i="95"/>
  <c r="S1117" i="95" s="1"/>
  <c r="R1137" i="95"/>
  <c r="S1137" i="95" s="1"/>
  <c r="R1153" i="95"/>
  <c r="S1153" i="95" s="1"/>
  <c r="R785" i="95"/>
  <c r="S785" i="95" s="1"/>
  <c r="R801" i="95"/>
  <c r="S801" i="95" s="1"/>
  <c r="R817" i="95"/>
  <c r="S817" i="95" s="1"/>
  <c r="R833" i="95"/>
  <c r="S833" i="95" s="1"/>
  <c r="R849" i="95"/>
  <c r="S849" i="95" s="1"/>
  <c r="R909" i="95"/>
  <c r="S909" i="95" s="1"/>
  <c r="R925" i="95"/>
  <c r="S925" i="95" s="1"/>
  <c r="R941" i="95"/>
  <c r="S941" i="95" s="1"/>
  <c r="R957" i="95"/>
  <c r="S957" i="95" s="1"/>
  <c r="R973" i="95"/>
  <c r="S973" i="95" s="1"/>
  <c r="R989" i="95"/>
  <c r="S989" i="95" s="1"/>
  <c r="R1005" i="95"/>
  <c r="S1005" i="95" s="1"/>
  <c r="R1021" i="95"/>
  <c r="S1021" i="95" s="1"/>
  <c r="R1037" i="95"/>
  <c r="S1037" i="95" s="1"/>
  <c r="R1053" i="95"/>
  <c r="S1053" i="95" s="1"/>
  <c r="R1069" i="95"/>
  <c r="S1069" i="95" s="1"/>
  <c r="R1085" i="95"/>
  <c r="S1085" i="95" s="1"/>
  <c r="R1101" i="95"/>
  <c r="S1101" i="95" s="1"/>
  <c r="R877" i="95"/>
  <c r="S877" i="95" s="1"/>
  <c r="R885" i="95"/>
  <c r="S885" i="95" s="1"/>
  <c r="R893" i="95"/>
  <c r="S893" i="95" s="1"/>
  <c r="R901" i="95"/>
  <c r="S901" i="95" s="1"/>
  <c r="R914" i="95"/>
  <c r="S914" i="95" s="1"/>
  <c r="R930" i="95"/>
  <c r="S930" i="95" s="1"/>
  <c r="R946" i="95"/>
  <c r="S946" i="95" s="1"/>
  <c r="R962" i="95"/>
  <c r="S962" i="95" s="1"/>
  <c r="R978" i="95"/>
  <c r="S978" i="95" s="1"/>
  <c r="R994" i="95"/>
  <c r="S994" i="95" s="1"/>
  <c r="R1010" i="95"/>
  <c r="S1010" i="95" s="1"/>
  <c r="R1026" i="95"/>
  <c r="S1026" i="95" s="1"/>
  <c r="R1042" i="95"/>
  <c r="S1042" i="95" s="1"/>
  <c r="R1058" i="95"/>
  <c r="S1058" i="95" s="1"/>
  <c r="R911" i="95"/>
  <c r="S911" i="95" s="1"/>
  <c r="R927" i="95"/>
  <c r="S927" i="95" s="1"/>
  <c r="R943" i="95"/>
  <c r="S943" i="95" s="1"/>
  <c r="R959" i="95"/>
  <c r="S959" i="95" s="1"/>
  <c r="R975" i="95"/>
  <c r="S975" i="95" s="1"/>
  <c r="R991" i="95"/>
  <c r="S991" i="95" s="1"/>
  <c r="R1007" i="95"/>
  <c r="S1007" i="95" s="1"/>
  <c r="R1023" i="95"/>
  <c r="S1023" i="95" s="1"/>
  <c r="R1039" i="95"/>
  <c r="S1039" i="95" s="1"/>
  <c r="R1055" i="95"/>
  <c r="S1055" i="95" s="1"/>
  <c r="R1071" i="95"/>
  <c r="S1071" i="95" s="1"/>
  <c r="R1087" i="95"/>
  <c r="S1087" i="95" s="1"/>
  <c r="R1103" i="95"/>
  <c r="S1103" i="95" s="1"/>
  <c r="R1119" i="95"/>
  <c r="S1119" i="95" s="1"/>
  <c r="R907" i="95"/>
  <c r="S907" i="95" s="1"/>
  <c r="R920" i="95"/>
  <c r="S920" i="95" s="1"/>
  <c r="R936" i="95"/>
  <c r="S936" i="95" s="1"/>
  <c r="R952" i="95"/>
  <c r="S952" i="95" s="1"/>
  <c r="R968" i="95"/>
  <c r="S968" i="95" s="1"/>
  <c r="R984" i="95"/>
  <c r="S984" i="95" s="1"/>
  <c r="R1000" i="95"/>
  <c r="S1000" i="95" s="1"/>
  <c r="R1016" i="95"/>
  <c r="S1016" i="95" s="1"/>
  <c r="R1032" i="95"/>
  <c r="S1032" i="95" s="1"/>
  <c r="R1048" i="95"/>
  <c r="S1048" i="95" s="1"/>
  <c r="R1064" i="95"/>
  <c r="S1064" i="95" s="1"/>
  <c r="R1074" i="95"/>
  <c r="S1074" i="95" s="1"/>
  <c r="R1082" i="95"/>
  <c r="S1082" i="95" s="1"/>
  <c r="R1090" i="95"/>
  <c r="S1090" i="95" s="1"/>
  <c r="R1098" i="95"/>
  <c r="S1098" i="95" s="1"/>
  <c r="R1106" i="95"/>
  <c r="S1106" i="95" s="1"/>
  <c r="R1118" i="95"/>
  <c r="S1118" i="95" s="1"/>
  <c r="R1134" i="95"/>
  <c r="S1134" i="95" s="1"/>
  <c r="R1150" i="95"/>
  <c r="S1150" i="95" s="1"/>
  <c r="R1166" i="95"/>
  <c r="S1166" i="95" s="1"/>
  <c r="R1131" i="95"/>
  <c r="S1131" i="95" s="1"/>
  <c r="R1147" i="95"/>
  <c r="S1147" i="95" s="1"/>
  <c r="R1163" i="95"/>
  <c r="S1163" i="95" s="1"/>
  <c r="R1148" i="95"/>
  <c r="S1148" i="95" s="1"/>
  <c r="R1168" i="95"/>
  <c r="S1168" i="95" s="1"/>
  <c r="R1124" i="95"/>
  <c r="S1124" i="95" s="1"/>
  <c r="R1164" i="95"/>
  <c r="S1164" i="95" s="1"/>
  <c r="R1125" i="95"/>
  <c r="S1125" i="95" s="1"/>
  <c r="R1141" i="95"/>
  <c r="S1141" i="95" s="1"/>
  <c r="R1157" i="95"/>
  <c r="S1157" i="95" s="1"/>
  <c r="R523" i="95"/>
  <c r="S523" i="95" s="1"/>
  <c r="R507" i="95"/>
  <c r="S507" i="95" s="1"/>
  <c r="R491" i="95"/>
  <c r="S491" i="95" s="1"/>
  <c r="R475" i="95"/>
  <c r="S475" i="95" s="1"/>
  <c r="R459" i="95"/>
  <c r="S459" i="95" s="1"/>
  <c r="R443" i="95"/>
  <c r="S443" i="95" s="1"/>
  <c r="R427" i="95"/>
  <c r="S427" i="95" s="1"/>
  <c r="R411" i="95"/>
  <c r="S411" i="95" s="1"/>
  <c r="R395" i="95"/>
  <c r="S395" i="95" s="1"/>
  <c r="R379" i="95"/>
  <c r="S379" i="95" s="1"/>
  <c r="R363" i="95"/>
  <c r="S363" i="95" s="1"/>
  <c r="R347" i="95"/>
  <c r="S347" i="95" s="1"/>
  <c r="R331" i="95"/>
  <c r="S331" i="95" s="1"/>
  <c r="R315" i="95"/>
  <c r="S315" i="95" s="1"/>
  <c r="R299" i="95"/>
  <c r="S299" i="95" s="1"/>
  <c r="R283" i="95"/>
  <c r="S283" i="95" s="1"/>
  <c r="R267" i="95"/>
  <c r="S267" i="95" s="1"/>
  <c r="R251" i="95"/>
  <c r="S251" i="95" s="1"/>
  <c r="R235" i="95"/>
  <c r="S235" i="95" s="1"/>
  <c r="R219" i="95"/>
  <c r="S219" i="95" s="1"/>
  <c r="R203" i="95"/>
  <c r="S203" i="95" s="1"/>
  <c r="R187" i="95"/>
  <c r="S187" i="95" s="1"/>
  <c r="R510" i="95"/>
  <c r="S510" i="95" s="1"/>
  <c r="R494" i="95"/>
  <c r="S494" i="95" s="1"/>
  <c r="R478" i="95"/>
  <c r="S478" i="95" s="1"/>
  <c r="R462" i="95"/>
  <c r="S462" i="95" s="1"/>
  <c r="R446" i="95"/>
  <c r="S446" i="95" s="1"/>
  <c r="R430" i="95"/>
  <c r="S430" i="95" s="1"/>
  <c r="R414" i="95"/>
  <c r="S414" i="95" s="1"/>
  <c r="R398" i="95"/>
  <c r="S398" i="95" s="1"/>
  <c r="R382" i="95"/>
  <c r="S382" i="95" s="1"/>
  <c r="R366" i="95"/>
  <c r="S366" i="95" s="1"/>
  <c r="R350" i="95"/>
  <c r="S350" i="95" s="1"/>
  <c r="R334" i="95"/>
  <c r="S334" i="95" s="1"/>
  <c r="R318" i="95"/>
  <c r="S318" i="95" s="1"/>
  <c r="R302" i="95"/>
  <c r="S302" i="95" s="1"/>
  <c r="R286" i="95"/>
  <c r="S286" i="95" s="1"/>
  <c r="R270" i="95"/>
  <c r="S270" i="95" s="1"/>
  <c r="R254" i="95"/>
  <c r="S254" i="95" s="1"/>
  <c r="R238" i="95"/>
  <c r="S238" i="95" s="1"/>
  <c r="R222" i="95"/>
  <c r="S222" i="95" s="1"/>
  <c r="R206" i="95"/>
  <c r="S206" i="95" s="1"/>
  <c r="R190" i="95"/>
  <c r="S190" i="95" s="1"/>
  <c r="R513" i="95"/>
  <c r="S513" i="95" s="1"/>
  <c r="R497" i="95"/>
  <c r="S497" i="95" s="1"/>
  <c r="R481" i="95"/>
  <c r="S481" i="95" s="1"/>
  <c r="R465" i="95"/>
  <c r="S465" i="95" s="1"/>
  <c r="R449" i="95"/>
  <c r="S449" i="95" s="1"/>
  <c r="R433" i="95"/>
  <c r="S433" i="95" s="1"/>
  <c r="R417" i="95"/>
  <c r="S417" i="95" s="1"/>
  <c r="R520" i="95"/>
  <c r="S520" i="95" s="1"/>
  <c r="R456" i="95"/>
  <c r="S456" i="95" s="1"/>
  <c r="R397" i="95"/>
  <c r="S397" i="95" s="1"/>
  <c r="R365" i="95"/>
  <c r="S365" i="95" s="1"/>
  <c r="R333" i="95"/>
  <c r="S333" i="95" s="1"/>
  <c r="R301" i="95"/>
  <c r="S301" i="95" s="1"/>
  <c r="R269" i="95"/>
  <c r="S269" i="95" s="1"/>
  <c r="R237" i="95"/>
  <c r="S237" i="95" s="1"/>
  <c r="R205" i="95"/>
  <c r="S205" i="95" s="1"/>
  <c r="R179" i="95"/>
  <c r="S179" i="95" s="1"/>
  <c r="R163" i="95"/>
  <c r="S163" i="95" s="1"/>
  <c r="R147" i="95"/>
  <c r="S147" i="95" s="1"/>
  <c r="R131" i="95"/>
  <c r="S131" i="95" s="1"/>
  <c r="R115" i="95"/>
  <c r="S115" i="95" s="1"/>
  <c r="R46" i="95"/>
  <c r="S46" i="95" s="1"/>
  <c r="R384" i="95"/>
  <c r="S384" i="95" s="1"/>
  <c r="R304" i="95"/>
  <c r="S304" i="95" s="1"/>
  <c r="R192" i="95"/>
  <c r="S192" i="95" s="1"/>
  <c r="R132" i="95"/>
  <c r="S132" i="95" s="1"/>
  <c r="R72" i="95"/>
  <c r="S72" i="95" s="1"/>
  <c r="R468" i="95"/>
  <c r="S468" i="95" s="1"/>
  <c r="R404" i="95"/>
  <c r="S404" i="95" s="1"/>
  <c r="R372" i="95"/>
  <c r="S372" i="95" s="1"/>
  <c r="R340" i="95"/>
  <c r="S340" i="95" s="1"/>
  <c r="R308" i="95"/>
  <c r="S308" i="95" s="1"/>
  <c r="R276" i="95"/>
  <c r="S276" i="95" s="1"/>
  <c r="R244" i="95"/>
  <c r="S244" i="95" s="1"/>
  <c r="R212" i="95"/>
  <c r="S212" i="95" s="1"/>
  <c r="R182" i="95"/>
  <c r="S182" i="95" s="1"/>
  <c r="R166" i="95"/>
  <c r="S166" i="95" s="1"/>
  <c r="R150" i="95"/>
  <c r="S150" i="95" s="1"/>
  <c r="R134" i="95"/>
  <c r="S134" i="95" s="1"/>
  <c r="R118" i="95"/>
  <c r="S118" i="95" s="1"/>
  <c r="R476" i="95"/>
  <c r="S476" i="95" s="1"/>
  <c r="R360" i="95"/>
  <c r="S360" i="95" s="1"/>
  <c r="R519" i="95"/>
  <c r="S519" i="95" s="1"/>
  <c r="R503" i="95"/>
  <c r="S503" i="95" s="1"/>
  <c r="R487" i="95"/>
  <c r="S487" i="95" s="1"/>
  <c r="R471" i="95"/>
  <c r="S471" i="95" s="1"/>
  <c r="R455" i="95"/>
  <c r="S455" i="95" s="1"/>
  <c r="R439" i="95"/>
  <c r="S439" i="95" s="1"/>
  <c r="R423" i="95"/>
  <c r="S423" i="95" s="1"/>
  <c r="R407" i="95"/>
  <c r="S407" i="95" s="1"/>
  <c r="R391" i="95"/>
  <c r="S391" i="95" s="1"/>
  <c r="R375" i="95"/>
  <c r="S375" i="95" s="1"/>
  <c r="R359" i="95"/>
  <c r="S359" i="95" s="1"/>
  <c r="R343" i="95"/>
  <c r="S343" i="95" s="1"/>
  <c r="R327" i="95"/>
  <c r="S327" i="95" s="1"/>
  <c r="R311" i="95"/>
  <c r="S311" i="95" s="1"/>
  <c r="R295" i="95"/>
  <c r="S295" i="95" s="1"/>
  <c r="R279" i="95"/>
  <c r="S279" i="95" s="1"/>
  <c r="R263" i="95"/>
  <c r="S263" i="95" s="1"/>
  <c r="R247" i="95"/>
  <c r="S247" i="95" s="1"/>
  <c r="R231" i="95"/>
  <c r="S231" i="95" s="1"/>
  <c r="R215" i="95"/>
  <c r="S215" i="95" s="1"/>
  <c r="R199" i="95"/>
  <c r="S199" i="95" s="1"/>
  <c r="R522" i="95"/>
  <c r="S522" i="95" s="1"/>
  <c r="R506" i="95"/>
  <c r="S506" i="95" s="1"/>
  <c r="R490" i="95"/>
  <c r="S490" i="95" s="1"/>
  <c r="R474" i="95"/>
  <c r="S474" i="95" s="1"/>
  <c r="R458" i="95"/>
  <c r="S458" i="95" s="1"/>
  <c r="R442" i="95"/>
  <c r="S442" i="95" s="1"/>
  <c r="R426" i="95"/>
  <c r="S426" i="95" s="1"/>
  <c r="R410" i="95"/>
  <c r="S410" i="95" s="1"/>
  <c r="R394" i="95"/>
  <c r="S394" i="95" s="1"/>
  <c r="R378" i="95"/>
  <c r="S378" i="95" s="1"/>
  <c r="R362" i="95"/>
  <c r="S362" i="95" s="1"/>
  <c r="R346" i="95"/>
  <c r="S346" i="95" s="1"/>
  <c r="R330" i="95"/>
  <c r="S330" i="95" s="1"/>
  <c r="R314" i="95"/>
  <c r="S314" i="95" s="1"/>
  <c r="R298" i="95"/>
  <c r="S298" i="95" s="1"/>
  <c r="R282" i="95"/>
  <c r="S282" i="95" s="1"/>
  <c r="R266" i="95"/>
  <c r="S266" i="95" s="1"/>
  <c r="R250" i="95"/>
  <c r="S250" i="95" s="1"/>
  <c r="R234" i="95"/>
  <c r="S234" i="95" s="1"/>
  <c r="R218" i="95"/>
  <c r="S218" i="95" s="1"/>
  <c r="R202" i="95"/>
  <c r="S202" i="95" s="1"/>
  <c r="R186" i="95"/>
  <c r="S186" i="95" s="1"/>
  <c r="R509" i="95"/>
  <c r="S509" i="95" s="1"/>
  <c r="R493" i="95"/>
  <c r="S493" i="95" s="1"/>
  <c r="R477" i="95"/>
  <c r="S477" i="95" s="1"/>
  <c r="R461" i="95"/>
  <c r="S461" i="95" s="1"/>
  <c r="R445" i="95"/>
  <c r="S445" i="95" s="1"/>
  <c r="R429" i="95"/>
  <c r="S429" i="95" s="1"/>
  <c r="R413" i="95"/>
  <c r="S413" i="95" s="1"/>
  <c r="R504" i="95"/>
  <c r="S504" i="95" s="1"/>
  <c r="R440" i="95"/>
  <c r="S440" i="95" s="1"/>
  <c r="R389" i="95"/>
  <c r="S389" i="95" s="1"/>
  <c r="R357" i="95"/>
  <c r="S357" i="95" s="1"/>
  <c r="R325" i="95"/>
  <c r="S325" i="95" s="1"/>
  <c r="R293" i="95"/>
  <c r="S293" i="95" s="1"/>
  <c r="R261" i="95"/>
  <c r="S261" i="95" s="1"/>
  <c r="R229" i="95"/>
  <c r="S229" i="95" s="1"/>
  <c r="R197" i="95"/>
  <c r="S197" i="95" s="1"/>
  <c r="R175" i="95"/>
  <c r="S175" i="95" s="1"/>
  <c r="R159" i="95"/>
  <c r="S159" i="95" s="1"/>
  <c r="R143" i="95"/>
  <c r="S143" i="95" s="1"/>
  <c r="R127" i="95"/>
  <c r="S127" i="95" s="1"/>
  <c r="R111" i="95"/>
  <c r="S111" i="95" s="1"/>
  <c r="R508" i="95"/>
  <c r="S508" i="95" s="1"/>
  <c r="R376" i="95"/>
  <c r="S376" i="95" s="1"/>
  <c r="R280" i="95"/>
  <c r="S280" i="95" s="1"/>
  <c r="R176" i="95"/>
  <c r="S176" i="95" s="1"/>
  <c r="R124" i="95"/>
  <c r="S124" i="95" s="1"/>
  <c r="R516" i="95"/>
  <c r="S516" i="95" s="1"/>
  <c r="R452" i="95"/>
  <c r="S452" i="95" s="1"/>
  <c r="R396" i="95"/>
  <c r="S396" i="95" s="1"/>
  <c r="R364" i="95"/>
  <c r="S364" i="95" s="1"/>
  <c r="R332" i="95"/>
  <c r="S332" i="95" s="1"/>
  <c r="R300" i="95"/>
  <c r="S300" i="95" s="1"/>
  <c r="R268" i="95"/>
  <c r="S268" i="95" s="1"/>
  <c r="R236" i="95"/>
  <c r="S236" i="95" s="1"/>
  <c r="R204" i="95"/>
  <c r="S204" i="95" s="1"/>
  <c r="R178" i="95"/>
  <c r="S178" i="95" s="1"/>
  <c r="R162" i="95"/>
  <c r="S162" i="95" s="1"/>
  <c r="R146" i="95"/>
  <c r="S146" i="95" s="1"/>
  <c r="R130" i="95"/>
  <c r="S130" i="95" s="1"/>
  <c r="R114" i="95"/>
  <c r="S114" i="95" s="1"/>
  <c r="R460" i="95"/>
  <c r="S460" i="95" s="1"/>
  <c r="R352" i="95"/>
  <c r="S352" i="95" s="1"/>
  <c r="R515" i="95"/>
  <c r="S515" i="95" s="1"/>
  <c r="R499" i="95"/>
  <c r="S499" i="95" s="1"/>
  <c r="R483" i="95"/>
  <c r="S483" i="95" s="1"/>
  <c r="R467" i="95"/>
  <c r="S467" i="95" s="1"/>
  <c r="R451" i="95"/>
  <c r="S451" i="95" s="1"/>
  <c r="R435" i="95"/>
  <c r="S435" i="95" s="1"/>
  <c r="R419" i="95"/>
  <c r="S419" i="95" s="1"/>
  <c r="R403" i="95"/>
  <c r="S403" i="95" s="1"/>
  <c r="R387" i="95"/>
  <c r="S387" i="95" s="1"/>
  <c r="R371" i="95"/>
  <c r="S371" i="95" s="1"/>
  <c r="R355" i="95"/>
  <c r="S355" i="95" s="1"/>
  <c r="R339" i="95"/>
  <c r="S339" i="95" s="1"/>
  <c r="R323" i="95"/>
  <c r="S323" i="95" s="1"/>
  <c r="R307" i="95"/>
  <c r="S307" i="95" s="1"/>
  <c r="R291" i="95"/>
  <c r="S291" i="95" s="1"/>
  <c r="R275" i="95"/>
  <c r="S275" i="95" s="1"/>
  <c r="R259" i="95"/>
  <c r="S259" i="95" s="1"/>
  <c r="R243" i="95"/>
  <c r="S243" i="95" s="1"/>
  <c r="R227" i="95"/>
  <c r="S227" i="95" s="1"/>
  <c r="R211" i="95"/>
  <c r="S211" i="95" s="1"/>
  <c r="R195" i="95"/>
  <c r="S195" i="95" s="1"/>
  <c r="R518" i="95"/>
  <c r="S518" i="95" s="1"/>
  <c r="R502" i="95"/>
  <c r="S502" i="95" s="1"/>
  <c r="R486" i="95"/>
  <c r="S486" i="95" s="1"/>
  <c r="R470" i="95"/>
  <c r="S470" i="95" s="1"/>
  <c r="R454" i="95"/>
  <c r="S454" i="95" s="1"/>
  <c r="R438" i="95"/>
  <c r="S438" i="95" s="1"/>
  <c r="R422" i="95"/>
  <c r="S422" i="95" s="1"/>
  <c r="R406" i="95"/>
  <c r="S406" i="95" s="1"/>
  <c r="R390" i="95"/>
  <c r="S390" i="95" s="1"/>
  <c r="R374" i="95"/>
  <c r="S374" i="95" s="1"/>
  <c r="R358" i="95"/>
  <c r="S358" i="95" s="1"/>
  <c r="R342" i="95"/>
  <c r="S342" i="95" s="1"/>
  <c r="R326" i="95"/>
  <c r="S326" i="95" s="1"/>
  <c r="R310" i="95"/>
  <c r="S310" i="95" s="1"/>
  <c r="R294" i="95"/>
  <c r="S294" i="95" s="1"/>
  <c r="R278" i="95"/>
  <c r="S278" i="95" s="1"/>
  <c r="R262" i="95"/>
  <c r="S262" i="95" s="1"/>
  <c r="R246" i="95"/>
  <c r="S246" i="95" s="1"/>
  <c r="R230" i="95"/>
  <c r="S230" i="95" s="1"/>
  <c r="R214" i="95"/>
  <c r="S214" i="95" s="1"/>
  <c r="R198" i="95"/>
  <c r="S198" i="95" s="1"/>
  <c r="R521" i="95"/>
  <c r="S521" i="95" s="1"/>
  <c r="R505" i="95"/>
  <c r="S505" i="95" s="1"/>
  <c r="R489" i="95"/>
  <c r="S489" i="95" s="1"/>
  <c r="R473" i="95"/>
  <c r="S473" i="95" s="1"/>
  <c r="R457" i="95"/>
  <c r="S457" i="95" s="1"/>
  <c r="R441" i="95"/>
  <c r="S441" i="95" s="1"/>
  <c r="R425" i="95"/>
  <c r="S425" i="95" s="1"/>
  <c r="R409" i="95"/>
  <c r="S409" i="95" s="1"/>
  <c r="R488" i="95"/>
  <c r="S488" i="95" s="1"/>
  <c r="R424" i="95"/>
  <c r="S424" i="95" s="1"/>
  <c r="R381" i="95"/>
  <c r="S381" i="95" s="1"/>
  <c r="R349" i="95"/>
  <c r="S349" i="95" s="1"/>
  <c r="R317" i="95"/>
  <c r="S317" i="95" s="1"/>
  <c r="R285" i="95"/>
  <c r="S285" i="95" s="1"/>
  <c r="R253" i="95"/>
  <c r="S253" i="95" s="1"/>
  <c r="R221" i="95"/>
  <c r="S221" i="95" s="1"/>
  <c r="R189" i="95"/>
  <c r="S189" i="95" s="1"/>
  <c r="R171" i="95"/>
  <c r="S171" i="95" s="1"/>
  <c r="R155" i="95"/>
  <c r="S155" i="95" s="1"/>
  <c r="R139" i="95"/>
  <c r="S139" i="95" s="1"/>
  <c r="R123" i="95"/>
  <c r="S123" i="95" s="1"/>
  <c r="R107" i="95"/>
  <c r="S107" i="95" s="1"/>
  <c r="R492" i="95"/>
  <c r="S492" i="95" s="1"/>
  <c r="R336" i="95"/>
  <c r="S336" i="95" s="1"/>
  <c r="R240" i="95"/>
  <c r="S240" i="95" s="1"/>
  <c r="R152" i="95"/>
  <c r="S152" i="95" s="1"/>
  <c r="R116" i="95"/>
  <c r="S116" i="95" s="1"/>
  <c r="R500" i="95"/>
  <c r="S500" i="95" s="1"/>
  <c r="R436" i="95"/>
  <c r="S436" i="95" s="1"/>
  <c r="R388" i="95"/>
  <c r="S388" i="95" s="1"/>
  <c r="R356" i="95"/>
  <c r="S356" i="95" s="1"/>
  <c r="R324" i="95"/>
  <c r="S324" i="95" s="1"/>
  <c r="R292" i="95"/>
  <c r="S292" i="95" s="1"/>
  <c r="R260" i="95"/>
  <c r="S260" i="95" s="1"/>
  <c r="R228" i="95"/>
  <c r="S228" i="95" s="1"/>
  <c r="R196" i="95"/>
  <c r="S196" i="95" s="1"/>
  <c r="R174" i="95"/>
  <c r="S174" i="95" s="1"/>
  <c r="R158" i="95"/>
  <c r="S158" i="95" s="1"/>
  <c r="R142" i="95"/>
  <c r="S142" i="95" s="1"/>
  <c r="R126" i="95"/>
  <c r="S126" i="95" s="1"/>
  <c r="R110" i="95"/>
  <c r="S110" i="95" s="1"/>
  <c r="R412" i="95"/>
  <c r="S412" i="95" s="1"/>
  <c r="R312" i="95"/>
  <c r="S312" i="95" s="1"/>
  <c r="R511" i="95"/>
  <c r="S511" i="95" s="1"/>
  <c r="R495" i="95"/>
  <c r="S495" i="95" s="1"/>
  <c r="R479" i="95"/>
  <c r="S479" i="95" s="1"/>
  <c r="R463" i="95"/>
  <c r="S463" i="95" s="1"/>
  <c r="R447" i="95"/>
  <c r="S447" i="95" s="1"/>
  <c r="R431" i="95"/>
  <c r="S431" i="95" s="1"/>
  <c r="R415" i="95"/>
  <c r="S415" i="95" s="1"/>
  <c r="R399" i="95"/>
  <c r="S399" i="95" s="1"/>
  <c r="R383" i="95"/>
  <c r="S383" i="95" s="1"/>
  <c r="R367" i="95"/>
  <c r="S367" i="95" s="1"/>
  <c r="R351" i="95"/>
  <c r="S351" i="95" s="1"/>
  <c r="R335" i="95"/>
  <c r="S335" i="95" s="1"/>
  <c r="R319" i="95"/>
  <c r="S319" i="95" s="1"/>
  <c r="R303" i="95"/>
  <c r="S303" i="95" s="1"/>
  <c r="R287" i="95"/>
  <c r="S287" i="95" s="1"/>
  <c r="R271" i="95"/>
  <c r="S271" i="95" s="1"/>
  <c r="R255" i="95"/>
  <c r="S255" i="95" s="1"/>
  <c r="R239" i="95"/>
  <c r="S239" i="95" s="1"/>
  <c r="R223" i="95"/>
  <c r="S223" i="95" s="1"/>
  <c r="R207" i="95"/>
  <c r="S207" i="95" s="1"/>
  <c r="R191" i="95"/>
  <c r="S191" i="95" s="1"/>
  <c r="R514" i="95"/>
  <c r="S514" i="95" s="1"/>
  <c r="R498" i="95"/>
  <c r="S498" i="95" s="1"/>
  <c r="R482" i="95"/>
  <c r="S482" i="95" s="1"/>
  <c r="R466" i="95"/>
  <c r="S466" i="95" s="1"/>
  <c r="R450" i="95"/>
  <c r="S450" i="95" s="1"/>
  <c r="R434" i="95"/>
  <c r="S434" i="95" s="1"/>
  <c r="R418" i="95"/>
  <c r="S418" i="95" s="1"/>
  <c r="R402" i="95"/>
  <c r="S402" i="95" s="1"/>
  <c r="R386" i="95"/>
  <c r="S386" i="95" s="1"/>
  <c r="R370" i="95"/>
  <c r="S370" i="95" s="1"/>
  <c r="R354" i="95"/>
  <c r="S354" i="95" s="1"/>
  <c r="R338" i="95"/>
  <c r="S338" i="95" s="1"/>
  <c r="R322" i="95"/>
  <c r="S322" i="95" s="1"/>
  <c r="R306" i="95"/>
  <c r="S306" i="95" s="1"/>
  <c r="R290" i="95"/>
  <c r="S290" i="95" s="1"/>
  <c r="R274" i="95"/>
  <c r="S274" i="95" s="1"/>
  <c r="R258" i="95"/>
  <c r="S258" i="95" s="1"/>
  <c r="R242" i="95"/>
  <c r="S242" i="95" s="1"/>
  <c r="R226" i="95"/>
  <c r="S226" i="95" s="1"/>
  <c r="R210" i="95"/>
  <c r="S210" i="95" s="1"/>
  <c r="R194" i="95"/>
  <c r="S194" i="95" s="1"/>
  <c r="R517" i="95"/>
  <c r="S517" i="95" s="1"/>
  <c r="R501" i="95"/>
  <c r="S501" i="95" s="1"/>
  <c r="R485" i="95"/>
  <c r="S485" i="95" s="1"/>
  <c r="R469" i="95"/>
  <c r="S469" i="95" s="1"/>
  <c r="R453" i="95"/>
  <c r="S453" i="95" s="1"/>
  <c r="R437" i="95"/>
  <c r="S437" i="95" s="1"/>
  <c r="R421" i="95"/>
  <c r="S421" i="95" s="1"/>
  <c r="R405" i="95"/>
  <c r="S405" i="95" s="1"/>
  <c r="R472" i="95"/>
  <c r="S472" i="95" s="1"/>
  <c r="R408" i="95"/>
  <c r="S408" i="95" s="1"/>
  <c r="R373" i="95"/>
  <c r="S373" i="95" s="1"/>
  <c r="R341" i="95"/>
  <c r="S341" i="95" s="1"/>
  <c r="R309" i="95"/>
  <c r="S309" i="95" s="1"/>
  <c r="R277" i="95"/>
  <c r="S277" i="95" s="1"/>
  <c r="R245" i="95"/>
  <c r="S245" i="95" s="1"/>
  <c r="R213" i="95"/>
  <c r="S213" i="95" s="1"/>
  <c r="R183" i="95"/>
  <c r="S183" i="95" s="1"/>
  <c r="R167" i="95"/>
  <c r="S167" i="95" s="1"/>
  <c r="R151" i="95"/>
  <c r="S151" i="95" s="1"/>
  <c r="R135" i="95"/>
  <c r="S135" i="95" s="1"/>
  <c r="R119" i="95"/>
  <c r="S119" i="95" s="1"/>
  <c r="R103" i="95"/>
  <c r="S103" i="95" s="1"/>
  <c r="R444" i="95"/>
  <c r="S444" i="95" s="1"/>
  <c r="R328" i="95"/>
  <c r="S328" i="95" s="1"/>
  <c r="R232" i="95"/>
  <c r="S232" i="95" s="1"/>
  <c r="R140" i="95"/>
  <c r="S140" i="95" s="1"/>
  <c r="R108" i="95"/>
  <c r="S108" i="95" s="1"/>
  <c r="R484" i="95"/>
  <c r="S484" i="95" s="1"/>
  <c r="R420" i="95"/>
  <c r="S420" i="95" s="1"/>
  <c r="R380" i="95"/>
  <c r="S380" i="95" s="1"/>
  <c r="R348" i="95"/>
  <c r="S348" i="95" s="1"/>
  <c r="R316" i="95"/>
  <c r="S316" i="95" s="1"/>
  <c r="R284" i="95"/>
  <c r="S284" i="95" s="1"/>
  <c r="R252" i="95"/>
  <c r="S252" i="95" s="1"/>
  <c r="R220" i="95"/>
  <c r="S220" i="95" s="1"/>
  <c r="R188" i="95"/>
  <c r="S188" i="95" s="1"/>
  <c r="R170" i="95"/>
  <c r="S170" i="95" s="1"/>
  <c r="R154" i="95"/>
  <c r="S154" i="95" s="1"/>
  <c r="R138" i="95"/>
  <c r="S138" i="95" s="1"/>
  <c r="R122" i="95"/>
  <c r="S122" i="95" s="1"/>
  <c r="R106" i="95"/>
  <c r="S106" i="95" s="1"/>
  <c r="R400" i="95"/>
  <c r="S400" i="95" s="1"/>
  <c r="R288" i="95"/>
  <c r="S288" i="95" s="1"/>
  <c r="R264" i="95"/>
  <c r="S264" i="95" s="1"/>
  <c r="R208" i="95"/>
  <c r="S208" i="95" s="1"/>
  <c r="R160" i="95"/>
  <c r="S160" i="95" s="1"/>
  <c r="R120" i="95"/>
  <c r="S120" i="95" s="1"/>
  <c r="R496" i="95"/>
  <c r="S496" i="95" s="1"/>
  <c r="R432" i="95"/>
  <c r="S432" i="95" s="1"/>
  <c r="R385" i="95"/>
  <c r="S385" i="95" s="1"/>
  <c r="R353" i="95"/>
  <c r="S353" i="95" s="1"/>
  <c r="R321" i="95"/>
  <c r="S321" i="95" s="1"/>
  <c r="R289" i="95"/>
  <c r="S289" i="95" s="1"/>
  <c r="R257" i="95"/>
  <c r="S257" i="95" s="1"/>
  <c r="R225" i="95"/>
  <c r="S225" i="95" s="1"/>
  <c r="R193" i="95"/>
  <c r="S193" i="95" s="1"/>
  <c r="R173" i="95"/>
  <c r="S173" i="95" s="1"/>
  <c r="R157" i="95"/>
  <c r="S157" i="95" s="1"/>
  <c r="R141" i="95"/>
  <c r="S141" i="95" s="1"/>
  <c r="R125" i="95"/>
  <c r="S125" i="95" s="1"/>
  <c r="R109" i="95"/>
  <c r="S109" i="95" s="1"/>
  <c r="R392" i="95"/>
  <c r="S392" i="95" s="1"/>
  <c r="R296" i="95"/>
  <c r="S296" i="95" s="1"/>
  <c r="R180" i="95"/>
  <c r="S180" i="95" s="1"/>
  <c r="R96" i="95"/>
  <c r="S96" i="95" s="1"/>
  <c r="R93" i="95"/>
  <c r="S93" i="95" s="1"/>
  <c r="R89" i="95"/>
  <c r="S89" i="95" s="1"/>
  <c r="R85" i="95"/>
  <c r="S85" i="95" s="1"/>
  <c r="R29" i="95"/>
  <c r="S29" i="95" s="1"/>
  <c r="R43" i="95"/>
  <c r="S43" i="95" s="1"/>
  <c r="R33" i="95"/>
  <c r="S33" i="95" s="1"/>
  <c r="R75" i="95"/>
  <c r="S75" i="95" s="1"/>
  <c r="R61" i="95"/>
  <c r="S61" i="95" s="1"/>
  <c r="R74" i="95"/>
  <c r="S74" i="95" s="1"/>
  <c r="R54" i="95"/>
  <c r="S54" i="95" s="1"/>
  <c r="R92" i="95"/>
  <c r="S92" i="95" s="1"/>
  <c r="R82" i="95"/>
  <c r="S82" i="95" s="1"/>
  <c r="R67" i="95"/>
  <c r="S67" i="95" s="1"/>
  <c r="R86" i="95"/>
  <c r="S86" i="95" s="1"/>
  <c r="R60" i="95"/>
  <c r="S60" i="95" s="1"/>
  <c r="R57" i="95"/>
  <c r="S57" i="95" s="1"/>
  <c r="R71" i="95"/>
  <c r="S71" i="95" s="1"/>
  <c r="R38" i="95"/>
  <c r="S38" i="95" s="1"/>
  <c r="R56" i="95"/>
  <c r="S56" i="95" s="1"/>
  <c r="R256" i="95"/>
  <c r="S256" i="95" s="1"/>
  <c r="R184" i="95"/>
  <c r="S184" i="95" s="1"/>
  <c r="R148" i="95"/>
  <c r="S148" i="95" s="1"/>
  <c r="R112" i="95"/>
  <c r="S112" i="95" s="1"/>
  <c r="R480" i="95"/>
  <c r="S480" i="95" s="1"/>
  <c r="R416" i="95"/>
  <c r="S416" i="95" s="1"/>
  <c r="R377" i="95"/>
  <c r="S377" i="95" s="1"/>
  <c r="R345" i="95"/>
  <c r="S345" i="95" s="1"/>
  <c r="R313" i="95"/>
  <c r="S313" i="95" s="1"/>
  <c r="R281" i="95"/>
  <c r="S281" i="95" s="1"/>
  <c r="R249" i="95"/>
  <c r="S249" i="95" s="1"/>
  <c r="R217" i="95"/>
  <c r="S217" i="95" s="1"/>
  <c r="R185" i="95"/>
  <c r="S185" i="95" s="1"/>
  <c r="R169" i="95"/>
  <c r="S169" i="95" s="1"/>
  <c r="R153" i="95"/>
  <c r="S153" i="95" s="1"/>
  <c r="R137" i="95"/>
  <c r="S137" i="95" s="1"/>
  <c r="R121" i="95"/>
  <c r="S121" i="95" s="1"/>
  <c r="R105" i="95"/>
  <c r="S105" i="95" s="1"/>
  <c r="R368" i="95"/>
  <c r="S368" i="95" s="1"/>
  <c r="R272" i="95"/>
  <c r="S272" i="95" s="1"/>
  <c r="R168" i="95"/>
  <c r="S168" i="95" s="1"/>
  <c r="R97" i="95"/>
  <c r="S97" i="95" s="1"/>
  <c r="R88" i="95"/>
  <c r="S88" i="95" s="1"/>
  <c r="R73" i="95"/>
  <c r="S73" i="95" s="1"/>
  <c r="R80" i="95"/>
  <c r="S80" i="95" s="1"/>
  <c r="R31" i="95"/>
  <c r="S31" i="95" s="1"/>
  <c r="R35" i="95"/>
  <c r="S35" i="95" s="1"/>
  <c r="R25" i="95"/>
  <c r="S25" i="95" s="1"/>
  <c r="R91" i="95"/>
  <c r="S91" i="95" s="1"/>
  <c r="R68" i="95"/>
  <c r="S68" i="95" s="1"/>
  <c r="R90" i="95"/>
  <c r="S90" i="95" s="1"/>
  <c r="R58" i="95"/>
  <c r="S58" i="95" s="1"/>
  <c r="R26" i="95"/>
  <c r="S26" i="95" s="1"/>
  <c r="R98" i="95"/>
  <c r="S98" i="95" s="1"/>
  <c r="R78" i="95"/>
  <c r="S78" i="95" s="1"/>
  <c r="R59" i="95"/>
  <c r="S59" i="95" s="1"/>
  <c r="R34" i="95"/>
  <c r="S34" i="95" s="1"/>
  <c r="R69" i="95"/>
  <c r="S69" i="95" s="1"/>
  <c r="R94" i="95"/>
  <c r="S94" i="95" s="1"/>
  <c r="R83" i="95"/>
  <c r="S83" i="95" s="1"/>
  <c r="R224" i="95"/>
  <c r="S224" i="95" s="1"/>
  <c r="R172" i="95"/>
  <c r="S172" i="95" s="1"/>
  <c r="R136" i="95"/>
  <c r="S136" i="95" s="1"/>
  <c r="R104" i="95"/>
  <c r="S104" i="95" s="1"/>
  <c r="R464" i="95"/>
  <c r="S464" i="95" s="1"/>
  <c r="R401" i="95"/>
  <c r="S401" i="95" s="1"/>
  <c r="R369" i="95"/>
  <c r="S369" i="95" s="1"/>
  <c r="R337" i="95"/>
  <c r="S337" i="95" s="1"/>
  <c r="R305" i="95"/>
  <c r="S305" i="95" s="1"/>
  <c r="R273" i="95"/>
  <c r="S273" i="95" s="1"/>
  <c r="R241" i="95"/>
  <c r="S241" i="95" s="1"/>
  <c r="R209" i="95"/>
  <c r="S209" i="95" s="1"/>
  <c r="R181" i="95"/>
  <c r="S181" i="95" s="1"/>
  <c r="R165" i="95"/>
  <c r="S165" i="95" s="1"/>
  <c r="R149" i="95"/>
  <c r="S149" i="95" s="1"/>
  <c r="R133" i="95"/>
  <c r="S133" i="95" s="1"/>
  <c r="R117" i="95"/>
  <c r="S117" i="95" s="1"/>
  <c r="R524" i="95"/>
  <c r="S524" i="95" s="1"/>
  <c r="R344" i="95"/>
  <c r="S344" i="95" s="1"/>
  <c r="R248" i="95"/>
  <c r="S248" i="95" s="1"/>
  <c r="R156" i="95"/>
  <c r="S156" i="95" s="1"/>
  <c r="R81" i="95"/>
  <c r="S81" i="95" s="1"/>
  <c r="R79" i="95"/>
  <c r="S79" i="95" s="1"/>
  <c r="R101" i="95"/>
  <c r="S101" i="95" s="1"/>
  <c r="R45" i="95"/>
  <c r="S45" i="95" s="1"/>
  <c r="R27" i="95"/>
  <c r="S27" i="95" s="1"/>
  <c r="S24" i="95"/>
  <c r="R36" i="95"/>
  <c r="S36" i="95" s="1"/>
  <c r="R42" i="95"/>
  <c r="S42" i="95" s="1"/>
  <c r="R102" i="95"/>
  <c r="S102" i="95" s="1"/>
  <c r="R70" i="95"/>
  <c r="S70" i="95" s="1"/>
  <c r="R62" i="95"/>
  <c r="S62" i="95" s="1"/>
  <c r="R49" i="95"/>
  <c r="S49" i="95" s="1"/>
  <c r="R64" i="95"/>
  <c r="S64" i="95" s="1"/>
  <c r="R32" i="95"/>
  <c r="S32" i="95" s="1"/>
  <c r="R48" i="95"/>
  <c r="S48" i="95" s="1"/>
  <c r="R84" i="95"/>
  <c r="S84" i="95" s="1"/>
  <c r="R47" i="95"/>
  <c r="S47" i="95" s="1"/>
  <c r="R28" i="95"/>
  <c r="S28" i="95" s="1"/>
  <c r="R99" i="95"/>
  <c r="S99" i="95" s="1"/>
  <c r="R216" i="95"/>
  <c r="S216" i="95" s="1"/>
  <c r="R164" i="95"/>
  <c r="S164" i="95" s="1"/>
  <c r="R128" i="95"/>
  <c r="S128" i="95" s="1"/>
  <c r="R512" i="95"/>
  <c r="S512" i="95" s="1"/>
  <c r="R448" i="95"/>
  <c r="S448" i="95" s="1"/>
  <c r="R393" i="95"/>
  <c r="S393" i="95" s="1"/>
  <c r="R361" i="95"/>
  <c r="S361" i="95" s="1"/>
  <c r="R329" i="95"/>
  <c r="S329" i="95" s="1"/>
  <c r="R297" i="95"/>
  <c r="S297" i="95" s="1"/>
  <c r="R265" i="95"/>
  <c r="S265" i="95" s="1"/>
  <c r="R233" i="95"/>
  <c r="S233" i="95" s="1"/>
  <c r="R201" i="95"/>
  <c r="S201" i="95" s="1"/>
  <c r="R177" i="95"/>
  <c r="S177" i="95" s="1"/>
  <c r="R161" i="95"/>
  <c r="S161" i="95" s="1"/>
  <c r="R145" i="95"/>
  <c r="S145" i="95" s="1"/>
  <c r="R129" i="95"/>
  <c r="S129" i="95" s="1"/>
  <c r="R113" i="95"/>
  <c r="S113" i="95" s="1"/>
  <c r="R428" i="95"/>
  <c r="S428" i="95" s="1"/>
  <c r="R320" i="95"/>
  <c r="S320" i="95" s="1"/>
  <c r="R200" i="95"/>
  <c r="S200" i="95" s="1"/>
  <c r="R144" i="95"/>
  <c r="S144" i="95" s="1"/>
  <c r="R95" i="95"/>
  <c r="S95" i="95" s="1"/>
  <c r="R77" i="95"/>
  <c r="S77" i="95" s="1"/>
  <c r="R87" i="95"/>
  <c r="S87" i="95" s="1"/>
  <c r="R37" i="95"/>
  <c r="S37" i="95" s="1"/>
  <c r="R39" i="95"/>
  <c r="S39" i="95" s="1"/>
  <c r="R41" i="95"/>
  <c r="S41" i="95" s="1"/>
  <c r="R30" i="95"/>
  <c r="S30" i="95" s="1"/>
  <c r="R40" i="95"/>
  <c r="S40" i="95" s="1"/>
  <c r="R51" i="95"/>
  <c r="S51" i="95" s="1"/>
  <c r="R50" i="95"/>
  <c r="S50" i="95" s="1"/>
  <c r="R76" i="95"/>
  <c r="S76" i="95" s="1"/>
  <c r="R65" i="95"/>
  <c r="S65" i="95" s="1"/>
  <c r="R55" i="95"/>
  <c r="S55" i="95" s="1"/>
  <c r="R66" i="95"/>
  <c r="S66" i="95" s="1"/>
  <c r="R52" i="95"/>
  <c r="S52" i="95" s="1"/>
  <c r="R100" i="95"/>
  <c r="S100" i="95" s="1"/>
  <c r="R63" i="95"/>
  <c r="S63" i="95" s="1"/>
  <c r="R44" i="95"/>
  <c r="S44" i="95" s="1"/>
  <c r="R53" i="95"/>
  <c r="S53" i="95" s="1"/>
  <c r="L63" i="9"/>
  <c r="M63" i="9" s="1"/>
  <c r="L65" i="9"/>
  <c r="M65" i="9" s="1"/>
  <c r="L67" i="9"/>
  <c r="M67" i="9" s="1"/>
  <c r="L66" i="9"/>
  <c r="M66" i="9" s="1"/>
  <c r="L64" i="9"/>
  <c r="M64" i="9" s="1"/>
  <c r="D52" i="9"/>
  <c r="C93" i="9"/>
  <c r="C86" i="9" s="1"/>
  <c r="C64" i="9"/>
  <c r="C63" i="9" s="1"/>
  <c r="C67" i="9" s="1"/>
  <c r="D55" i="9"/>
  <c r="M53" i="9" s="1"/>
  <c r="D53" i="9"/>
  <c r="D48" i="9" s="1"/>
  <c r="M52" i="9" s="1"/>
  <c r="C78" i="9"/>
  <c r="C73" i="9" s="1"/>
  <c r="C72" i="9"/>
  <c r="C85" i="9"/>
  <c r="C32" i="85"/>
  <c r="D35" i="85" s="1"/>
  <c r="G21" i="85"/>
  <c r="C35" i="85"/>
  <c r="S22" i="95" l="1"/>
  <c r="C95" i="9"/>
  <c r="C96" i="9" s="1"/>
  <c r="E96" i="9" s="1"/>
  <c r="E97" i="9" s="1"/>
  <c r="M69" i="9"/>
  <c r="N69" i="9" s="1"/>
  <c r="C79" i="9"/>
  <c r="C80" i="9" s="1"/>
  <c r="E80" i="9" s="1"/>
  <c r="E81" i="9" s="1"/>
  <c r="C68" i="9"/>
  <c r="D54" i="9" s="1"/>
  <c r="D59" i="9"/>
  <c r="M55" i="9" s="1"/>
  <c r="C34" i="85"/>
  <c r="D34" i="85"/>
  <c r="L8" i="74" l="1"/>
  <c r="M8" i="74" s="1"/>
  <c r="D14" i="74" s="1"/>
  <c r="K5" i="74" s="1"/>
  <c r="D45" i="85"/>
  <c r="B20" i="95"/>
  <c r="B21" i="95" s="1"/>
  <c r="R22" i="95"/>
  <c r="L9" i="74" s="1"/>
  <c r="C97" i="9"/>
  <c r="D58" i="9" s="1"/>
  <c r="D56" i="9" s="1"/>
  <c r="M54" i="9" s="1"/>
  <c r="N57" i="9" s="1"/>
  <c r="P57" i="9" s="1"/>
  <c r="C81" i="9"/>
  <c r="G118" i="85"/>
  <c r="F118" i="85" s="1"/>
  <c r="F119" i="85" s="1"/>
  <c r="I118" i="85"/>
  <c r="H102" i="85" s="1"/>
  <c r="F14" i="74" l="1"/>
  <c r="E14" i="74"/>
  <c r="G14" i="74"/>
  <c r="B6" i="74" s="1"/>
  <c r="B5" i="74"/>
  <c r="D5" i="74" s="1"/>
  <c r="M48" i="85"/>
  <c r="M49" i="85"/>
  <c r="N58" i="9"/>
  <c r="N59" i="9"/>
  <c r="H118" i="85"/>
  <c r="H119" i="85" s="1"/>
  <c r="C105" i="85"/>
  <c r="E118" i="85"/>
  <c r="D118" i="85" s="1"/>
  <c r="D119" i="85" s="1"/>
  <c r="C5" i="74" l="1"/>
  <c r="C6" i="74"/>
  <c r="D6" i="74"/>
  <c r="N61" i="9"/>
  <c r="N60" i="9"/>
  <c r="C104" i="85"/>
  <c r="H101" i="85"/>
  <c r="H107" i="85" s="1"/>
  <c r="C64" i="85" l="1"/>
  <c r="C63" i="85" s="1"/>
  <c r="C67" i="85" s="1"/>
  <c r="C78" i="85"/>
  <c r="C73" i="85" s="1"/>
  <c r="D52" i="85"/>
  <c r="C93" i="85"/>
  <c r="C86" i="85" s="1"/>
  <c r="D55" i="85"/>
  <c r="M53" i="85" s="1"/>
  <c r="C72" i="85"/>
  <c r="D53" i="85"/>
  <c r="D48" i="85" s="1"/>
  <c r="M52" i="85" s="1"/>
  <c r="C85" i="85"/>
  <c r="D122" i="85"/>
  <c r="D123" i="85" s="1"/>
  <c r="H108" i="85"/>
  <c r="C79" i="85" l="1"/>
  <c r="C95" i="85"/>
  <c r="C96" i="85" s="1"/>
  <c r="E96" i="85" s="1"/>
  <c r="E97" i="85" s="1"/>
  <c r="L63" i="85"/>
  <c r="M63" i="85" s="1"/>
  <c r="L64" i="85"/>
  <c r="M64" i="85" s="1"/>
  <c r="L65" i="85"/>
  <c r="M65" i="85" s="1"/>
  <c r="L66" i="85"/>
  <c r="M66" i="85" s="1"/>
  <c r="L68" i="85"/>
  <c r="M68" i="85" s="1"/>
  <c r="L67" i="85"/>
  <c r="M67" i="85" s="1"/>
  <c r="C80" i="85"/>
  <c r="E80" i="85" s="1"/>
  <c r="E81" i="85" s="1"/>
  <c r="C68" i="85"/>
  <c r="D54" i="85" s="1"/>
  <c r="D59" i="85"/>
  <c r="M55" i="85" s="1"/>
  <c r="M69" i="85" l="1"/>
  <c r="N69" i="85" s="1"/>
  <c r="C81" i="85"/>
  <c r="C97" i="85"/>
  <c r="D58" i="85" s="1"/>
  <c r="D56" i="85" s="1"/>
  <c r="M54" i="85" s="1"/>
  <c r="N57" i="85" s="1"/>
  <c r="P57" i="85" l="1"/>
  <c r="N58" i="85"/>
  <c r="N59" i="85"/>
  <c r="I14" i="74" s="1"/>
  <c r="B7" i="74" l="1"/>
  <c r="B8" i="74"/>
  <c r="C7" i="74"/>
  <c r="D7" i="74"/>
  <c r="N61" i="85"/>
  <c r="N60" i="85"/>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8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800-000003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C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C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C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C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ADDE2FA-1784-4B0D-B643-308616A74454}">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9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9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在建项目均选择“是”</t>
        </r>
      </text>
    </comment>
    <comment ref="F59" authorId="1" shapeId="0" xr:uid="{00000000-0006-0000-2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A00-000006000000}">
      <text>
        <r>
          <rPr>
            <sz val="10"/>
            <color indexed="81"/>
            <rFont val="宋体"/>
            <family val="3"/>
            <charset val="134"/>
          </rPr>
          <t xml:space="preserve">在建
</t>
        </r>
      </text>
    </comment>
    <comment ref="N59" authorId="0" shapeId="0" xr:uid="{00000000-0006-0000-2A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<sst xmlns="http://schemas.openxmlformats.org/spreadsheetml/2006/main" count="21224" uniqueCount="6390">
  <si>
    <t>——</t>
    <phoneticPr fontId="6" type="noConversion"/>
  </si>
  <si>
    <t>——</t>
    <phoneticPr fontId="6" type="noConversion"/>
  </si>
  <si>
    <t>——</t>
    <phoneticPr fontId="6"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</si>
  <si>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</si>
  <si>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</si>
  <si>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</si>
  <si>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</si>
  <si>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</si>
  <si>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</si>
  <si>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</si>
  <si>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</si>
  <si>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</si>
  <si>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</si>
  <si>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</si>
  <si>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</si>
  <si>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</si>
  <si>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</si>
  <si>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</si>
  <si>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</si>
  <si>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</si>
  <si>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</si>
  <si>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办公</t>
  </si>
  <si>
    <t>-</t>
    <phoneticPr fontId="33" type="noConversion"/>
  </si>
  <si>
    <t>-</t>
    <phoneticPr fontId="33" type="noConversion"/>
  </si>
  <si>
    <t>五级</t>
    <phoneticPr fontId="6" type="noConversion"/>
  </si>
  <si>
    <t>六级</t>
    <phoneticPr fontId="6" type="noConversion"/>
  </si>
  <si>
    <t>——</t>
    <phoneticPr fontId="40" type="noConversion"/>
  </si>
  <si>
    <t>——</t>
    <phoneticPr fontId="27" type="noConversion"/>
  </si>
  <si>
    <t>——</t>
    <phoneticPr fontId="1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</si>
  <si>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</si>
  <si>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</si>
  <si>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</si>
  <si>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</si>
  <si>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</si>
  <si>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</si>
  <si>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</si>
  <si>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</si>
  <si>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</si>
  <si>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</si>
  <si>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</si>
  <si>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</si>
  <si>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</si>
  <si>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</si>
  <si>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</si>
  <si>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</si>
  <si>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</si>
  <si>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</si>
  <si>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</si>
  <si>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</si>
  <si>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</si>
  <si>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</si>
  <si>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</si>
  <si>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</si>
  <si>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</si>
  <si>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</si>
  <si>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</si>
  <si>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</si>
  <si>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</si>
  <si>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</si>
  <si>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</si>
  <si>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</si>
  <si>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</si>
  <si>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</si>
  <si>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</si>
  <si>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</si>
  <si>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</si>
  <si>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</si>
  <si>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</si>
  <si>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</si>
  <si>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</si>
  <si>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</si>
  <si>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</si>
  <si>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</si>
  <si>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</si>
  <si>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</si>
  <si>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</si>
  <si>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</si>
  <si>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</si>
  <si>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</si>
  <si>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</si>
  <si>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</si>
  <si>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</si>
  <si>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</si>
  <si>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</si>
  <si>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</si>
  <si>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</si>
  <si>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</si>
  <si>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</si>
  <si>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</si>
  <si>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</si>
  <si>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</si>
  <si>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</si>
  <si>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</si>
  <si>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</si>
  <si>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</si>
  <si>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</si>
  <si>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</si>
  <si>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</si>
  <si>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</si>
  <si>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</si>
  <si>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</si>
  <si>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</si>
  <si>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</si>
  <si>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</si>
  <si>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</si>
  <si>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</si>
  <si>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</si>
  <si>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</si>
  <si>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</si>
  <si>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</si>
  <si>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</si>
  <si>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</si>
  <si>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</si>
  <si>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</si>
  <si>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</si>
  <si>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</si>
  <si>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</si>
  <si>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</si>
  <si>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</si>
  <si>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</si>
  <si>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</si>
  <si>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</si>
  <si>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</si>
  <si>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</si>
  <si>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</si>
  <si>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</si>
  <si>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</si>
  <si>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</si>
  <si>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</si>
  <si>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</si>
  <si>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</si>
  <si>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</si>
  <si>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</si>
  <si>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</si>
  <si>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</si>
  <si>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</si>
  <si>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</si>
  <si>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</si>
  <si>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</si>
  <si>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</si>
  <si>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</si>
  <si>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</si>
  <si>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</si>
  <si>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</si>
  <si>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</si>
  <si>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</si>
  <si>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</si>
  <si>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</si>
  <si>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</si>
  <si>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</si>
  <si>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</si>
  <si>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</si>
  <si>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</si>
  <si>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</si>
  <si>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</si>
  <si>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</si>
  <si>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</si>
  <si>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</si>
  <si>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</si>
  <si>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</si>
  <si>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</si>
  <si>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</si>
  <si>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</si>
  <si>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</si>
  <si>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</si>
  <si>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</si>
  <si>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</si>
  <si>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</si>
  <si>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</si>
  <si>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</si>
  <si>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</si>
  <si>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</si>
  <si>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</si>
  <si>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</si>
  <si>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</si>
  <si>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</si>
  <si>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</si>
  <si>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</si>
  <si>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</si>
  <si>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</si>
  <si>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</si>
  <si>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</si>
  <si>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</si>
  <si>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</si>
  <si>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</si>
  <si>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</si>
  <si>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</si>
  <si>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</si>
  <si>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</si>
  <si>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</si>
  <si>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</si>
  <si>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</si>
  <si>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</si>
  <si>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</si>
  <si>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</si>
  <si>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</si>
  <si>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</si>
  <si>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</si>
  <si>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</si>
  <si>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</si>
  <si>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</si>
  <si>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</si>
  <si>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</si>
  <si>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</si>
  <si>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</si>
  <si>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</si>
  <si>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</si>
  <si>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</si>
  <si>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</si>
  <si>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</si>
  <si>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</si>
  <si>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</si>
  <si>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</si>
  <si>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</si>
  <si>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</si>
  <si>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</si>
  <si>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</si>
  <si>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</si>
  <si>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</si>
  <si>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</si>
  <si>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</si>
  <si>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</si>
  <si>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</si>
  <si>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</si>
  <si>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</si>
  <si>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</si>
  <si>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</si>
  <si>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</si>
  <si>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</si>
  <si>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</si>
  <si>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</si>
  <si>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</si>
  <si>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</si>
  <si>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</si>
  <si>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</si>
  <si>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</si>
  <si>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</si>
  <si>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</si>
  <si>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</si>
  <si>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</si>
  <si>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</si>
  <si>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</si>
  <si>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</si>
  <si>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</si>
  <si>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</si>
  <si>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</si>
  <si>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</si>
  <si>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</si>
  <si>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</si>
  <si>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</si>
  <si>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</si>
  <si>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</si>
  <si>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</si>
  <si>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</si>
  <si>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</si>
  <si>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</si>
  <si>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</si>
  <si>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</si>
  <si>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</si>
  <si>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</si>
  <si>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</si>
  <si>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</si>
  <si>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</si>
  <si>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</si>
  <si>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</si>
  <si>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</si>
  <si>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</si>
  <si>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</si>
  <si>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</si>
  <si>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</si>
  <si>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</si>
  <si>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</si>
  <si>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</si>
  <si>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</si>
  <si>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</si>
  <si>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</si>
  <si>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</si>
  <si>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</si>
  <si>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</si>
  <si>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</si>
  <si>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</si>
  <si>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</si>
  <si>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</si>
  <si>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</si>
  <si>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</si>
  <si>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</si>
  <si>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</si>
  <si>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</si>
  <si>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</si>
  <si>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</si>
  <si>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</si>
  <si>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</si>
  <si>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</si>
  <si>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</si>
  <si>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</si>
  <si>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</si>
  <si>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</si>
  <si>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</si>
  <si>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</si>
  <si>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</si>
  <si>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</si>
  <si>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</si>
  <si>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</si>
  <si>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</si>
  <si>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</si>
  <si>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</si>
  <si>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</si>
  <si>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</si>
  <si>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6" type="noConversion"/>
  </si>
  <si>
    <t>区域土地利用方向</t>
    <phoneticPr fontId="46" type="noConversion"/>
  </si>
  <si>
    <r>
      <rPr>
        <sz val="10"/>
        <color indexed="8"/>
        <rFont val="宋体"/>
        <family val="3"/>
        <charset val="134"/>
      </rPr>
      <t>修正系数</t>
    </r>
    <phoneticPr fontId="79" type="noConversion"/>
  </si>
  <si>
    <t>五等判定</t>
    <phoneticPr fontId="19" type="noConversion"/>
  </si>
  <si>
    <t>基准地价修正</t>
    <phoneticPr fontId="19" type="noConversion"/>
  </si>
  <si>
    <t>*</t>
    <phoneticPr fontId="19"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</si>
  <si>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</si>
  <si>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</si>
  <si>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</si>
  <si>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</si>
  <si>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</si>
  <si>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</si>
  <si>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</si>
  <si>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</si>
  <si>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</si>
  <si>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</si>
  <si>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</si>
  <si>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</si>
  <si>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</si>
  <si>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</si>
  <si>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</si>
  <si>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</si>
  <si>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</si>
  <si>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</si>
  <si>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</si>
  <si>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</si>
  <si>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</si>
  <si>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</si>
  <si>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</si>
  <si>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</si>
  <si>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</si>
  <si>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</si>
  <si>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</si>
  <si>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</si>
  <si>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</si>
  <si>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</si>
  <si>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</si>
  <si>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</si>
  <si>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</si>
  <si>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</si>
  <si>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</si>
  <si>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</si>
  <si>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</si>
  <si>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</si>
  <si>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</si>
  <si>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</si>
  <si>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</si>
  <si>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</si>
  <si>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</si>
  <si>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</si>
  <si>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</si>
  <si>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</si>
  <si>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</si>
  <si>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</si>
  <si>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79" type="noConversion"/>
  </si>
  <si>
    <t>2.</t>
    <phoneticPr fontId="79" type="noConversion"/>
  </si>
  <si>
    <t>3.</t>
    <phoneticPr fontId="79" type="noConversion"/>
  </si>
  <si>
    <t>4.</t>
    <phoneticPr fontId="6" type="noConversion"/>
  </si>
  <si>
    <t>5.</t>
    <phoneticPr fontId="6" type="noConversion"/>
  </si>
  <si>
    <t>6.</t>
    <phoneticPr fontId="6" type="noConversion"/>
  </si>
  <si>
    <t>7.</t>
    <phoneticPr fontId="6" type="noConversion"/>
  </si>
  <si>
    <t>十一级</t>
  </si>
  <si>
    <t>十二级</t>
  </si>
  <si>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</si>
  <si>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</si>
  <si>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</si>
  <si>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</si>
  <si>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</si>
  <si>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</si>
  <si>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</si>
  <si>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</si>
  <si>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</si>
  <si>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</si>
  <si>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</si>
  <si>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</si>
  <si>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</si>
  <si>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</si>
  <si>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</si>
  <si>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</si>
  <si>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</si>
  <si>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</si>
  <si>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9" type="noConversion"/>
  </si>
  <si>
    <t>XX</t>
  </si>
  <si>
    <t>附表：</t>
    <phoneticPr fontId="94"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</si>
  <si>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</si>
  <si>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</si>
  <si>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</si>
  <si>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</si>
  <si>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</si>
  <si>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</si>
  <si>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</si>
  <si>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</si>
  <si>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</si>
  <si>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</si>
  <si>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</si>
  <si>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</si>
  <si>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</si>
  <si>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</si>
  <si>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</si>
  <si>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</si>
  <si>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</si>
  <si>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</si>
  <si>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</si>
  <si>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</si>
  <si>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</si>
  <si>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</si>
  <si>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</si>
  <si>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</si>
  <si>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</si>
  <si>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</si>
  <si>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</si>
  <si>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</si>
  <si>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</si>
  <si>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</si>
  <si>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</si>
  <si>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</si>
  <si>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</si>
  <si>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</si>
  <si>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</si>
  <si>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</si>
  <si>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</si>
  <si>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</si>
  <si>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</si>
  <si>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</si>
  <si>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</si>
  <si>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</si>
  <si>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</si>
  <si>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</si>
  <si>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</si>
  <si>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</si>
  <si>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</si>
  <si>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</si>
  <si>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</si>
  <si>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</si>
  <si>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</si>
  <si>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</si>
  <si>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</si>
  <si>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</si>
  <si>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</si>
  <si>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</si>
  <si>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</si>
  <si>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</si>
  <si>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</si>
  <si>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</si>
  <si>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</si>
  <si>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</si>
  <si>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</si>
  <si>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</si>
  <si>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</si>
  <si>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</si>
  <si>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</si>
  <si>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</si>
  <si>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</si>
  <si>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</si>
  <si>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</si>
  <si>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</si>
  <si>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37"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</si>
  <si>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</si>
  <si>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</si>
  <si>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</si>
  <si>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</si>
  <si>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</si>
  <si>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</si>
  <si>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</si>
  <si>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</si>
  <si>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</si>
  <si>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</si>
  <si>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</si>
  <si>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</si>
  <si>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</si>
  <si>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</si>
  <si>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</si>
  <si>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</si>
  <si>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</si>
  <si>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</si>
  <si>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</si>
  <si>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</si>
  <si>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</si>
  <si>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</si>
  <si>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</si>
  <si>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</si>
  <si>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</si>
  <si>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</si>
  <si>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</si>
  <si>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</si>
  <si>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</si>
  <si>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</si>
  <si>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</si>
  <si>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</si>
  <si>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</si>
  <si>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</si>
  <si>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</si>
  <si>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</si>
  <si>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</si>
  <si>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</si>
  <si>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</si>
  <si>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</si>
  <si>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</si>
  <si>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</si>
  <si>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</si>
  <si>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</si>
  <si>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</si>
  <si>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</si>
  <si>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</si>
  <si>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</si>
  <si>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</si>
  <si>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</si>
  <si>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</si>
  <si>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</si>
  <si>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</si>
  <si>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</si>
  <si>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</si>
  <si>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</si>
  <si>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</si>
  <si>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</si>
  <si>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</si>
  <si>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</si>
  <si>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</si>
  <si>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</si>
  <si>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</si>
  <si>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</si>
  <si>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</si>
  <si>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</si>
  <si>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</si>
  <si>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</si>
  <si>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</si>
  <si>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</si>
  <si>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</si>
  <si>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</si>
  <si>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</si>
  <si>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</si>
  <si>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</si>
  <si>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</si>
  <si>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</si>
  <si>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</si>
  <si>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</si>
  <si>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</si>
  <si>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</si>
  <si>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</si>
  <si>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</si>
  <si>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</si>
  <si>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</si>
  <si>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</si>
  <si>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</si>
  <si>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</si>
  <si>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</si>
  <si>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</si>
  <si>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</si>
  <si>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</si>
  <si>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</si>
  <si>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</si>
  <si>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</si>
  <si>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</si>
  <si>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</si>
  <si>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</si>
  <si>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</si>
  <si>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</si>
  <si>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</si>
  <si>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</si>
  <si>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</si>
  <si>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</si>
  <si>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</si>
  <si>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</si>
  <si>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</si>
  <si>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</si>
  <si>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</si>
  <si>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</si>
  <si>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</si>
  <si>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</si>
  <si>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</si>
  <si>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</si>
  <si>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</si>
  <si>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</si>
  <si>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</si>
  <si>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</si>
  <si>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</si>
  <si>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</si>
  <si>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</si>
  <si>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</si>
  <si>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</si>
  <si>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</si>
  <si>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</si>
  <si>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</si>
  <si>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</si>
  <si>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</si>
  <si>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</si>
  <si>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</si>
  <si>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</si>
  <si>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</si>
  <si>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</si>
  <si>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</si>
  <si>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</si>
  <si>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</si>
  <si>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</si>
  <si>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6" type="noConversion"/>
  </si>
  <si>
    <t>开发期</t>
    <phoneticPr fontId="137" type="noConversion"/>
  </si>
  <si>
    <t>贷款利率</t>
    <phoneticPr fontId="6" type="noConversion"/>
  </si>
  <si>
    <t>贷款利率</t>
    <phoneticPr fontId="137" type="noConversion"/>
  </si>
  <si>
    <t>存款利率</t>
    <phoneticPr fontId="137"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</si>
  <si>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</si>
  <si>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</si>
  <si>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</si>
  <si>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</si>
  <si>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</si>
  <si>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</si>
  <si>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</si>
  <si>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</si>
  <si>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</si>
  <si>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</si>
  <si>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</si>
  <si>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</si>
  <si>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</si>
  <si>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</si>
  <si>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</si>
  <si>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</si>
  <si>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</si>
  <si>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</si>
  <si>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</si>
  <si>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</si>
  <si>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</si>
  <si>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</si>
  <si>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</si>
  <si>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</si>
  <si>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</si>
  <si>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</si>
  <si>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</si>
  <si>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</si>
  <si>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</si>
  <si>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</si>
  <si>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</si>
  <si>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</si>
  <si>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</si>
  <si>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</si>
  <si>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</si>
  <si>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</si>
  <si>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</si>
  <si>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</si>
  <si>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</si>
  <si>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</si>
  <si>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</si>
  <si>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</si>
  <si>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</si>
  <si>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</si>
  <si>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</si>
  <si>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</si>
  <si>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</si>
  <si>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</si>
  <si>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</si>
  <si>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</si>
  <si>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</si>
  <si>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</si>
  <si>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</si>
  <si>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</si>
  <si>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</si>
  <si>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</si>
  <si>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</si>
  <si>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</si>
  <si>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</si>
  <si>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</si>
  <si>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</si>
  <si>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</si>
  <si>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</si>
  <si>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</si>
  <si>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</si>
  <si>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用途</t>
  </si>
  <si>
    <t>商业</t>
  </si>
  <si>
    <t>居住</t>
  </si>
  <si>
    <t>土地级别</t>
  </si>
  <si>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</si>
  <si>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</si>
  <si>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</si>
  <si>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</si>
  <si>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</si>
  <si>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</si>
  <si>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</si>
  <si>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</si>
  <si>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</si>
  <si>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</si>
  <si>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</si>
  <si>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</si>
  <si>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</si>
  <si>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</si>
  <si>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</si>
  <si>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</si>
  <si>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</si>
  <si>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</si>
  <si>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</si>
  <si>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</si>
  <si>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</si>
  <si>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</si>
  <si>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</si>
  <si>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</si>
  <si>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</si>
  <si>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押金方式</t>
    </r>
    <phoneticPr fontId="6" type="noConversion"/>
  </si>
  <si>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</si>
  <si>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</si>
  <si>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</si>
  <si>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</si>
  <si>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</si>
  <si>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</si>
  <si>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</si>
  <si>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</si>
  <si>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</si>
  <si>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</si>
  <si>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</si>
  <si>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</si>
  <si>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</si>
  <si>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</si>
  <si>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</si>
  <si>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</si>
  <si>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</si>
  <si>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</si>
  <si>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</si>
  <si>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</si>
  <si>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</si>
  <si>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</si>
  <si>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</si>
  <si>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</si>
  <si>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</si>
  <si>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</si>
  <si>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</si>
  <si>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</si>
  <si>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</si>
  <si>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</si>
  <si>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</si>
  <si>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</si>
  <si>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</si>
  <si>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</si>
  <si>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</si>
  <si>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</si>
  <si>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</si>
  <si>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</si>
  <si>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</si>
  <si>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</si>
  <si>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</si>
  <si>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</si>
  <si>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</si>
  <si>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</si>
  <si>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</si>
  <si>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</si>
  <si>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</si>
  <si>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</si>
  <si>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</si>
  <si>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</si>
  <si>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</si>
  <si>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</si>
  <si>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</si>
  <si>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</si>
  <si>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</si>
  <si>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</si>
  <si>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</si>
  <si>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</si>
  <si>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</si>
  <si>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</si>
  <si>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</si>
  <si>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</si>
  <si>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</si>
  <si>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</si>
  <si>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</si>
  <si>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</si>
  <si>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</si>
  <si>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</si>
  <si>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</si>
  <si>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</si>
  <si>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</si>
  <si>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</si>
  <si>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</si>
  <si>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</si>
  <si>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</si>
  <si>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</si>
  <si>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</si>
  <si>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</si>
  <si>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</si>
  <si>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</si>
  <si>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</si>
  <si>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</si>
  <si>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</si>
  <si>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</si>
  <si>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</si>
  <si>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</si>
  <si>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</si>
  <si>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</si>
  <si>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</si>
  <si>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</si>
  <si>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</si>
  <si>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</si>
  <si>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</si>
  <si>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</si>
  <si>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</si>
  <si>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</si>
  <si>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</si>
  <si>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</si>
  <si>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</si>
  <si>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</si>
  <si>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</si>
  <si>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</si>
  <si>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</si>
  <si>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</si>
  <si>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</si>
  <si>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</si>
  <si>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</si>
  <si>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</si>
  <si>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</si>
  <si>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</si>
  <si>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</si>
  <si>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</si>
  <si>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</si>
  <si>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</si>
  <si>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</si>
  <si>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</si>
  <si>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</si>
  <si>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</si>
  <si>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</si>
  <si>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</si>
  <si>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</si>
  <si>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</si>
  <si>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</si>
  <si>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</si>
  <si>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</si>
  <si>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</si>
  <si>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</si>
  <si>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</si>
  <si>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</si>
  <si>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</si>
  <si>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</si>
  <si>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</si>
  <si>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</si>
  <si>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</si>
  <si>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</si>
  <si>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</si>
  <si>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</si>
  <si>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</si>
  <si>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</si>
  <si>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</si>
  <si>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</si>
  <si>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</si>
  <si>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</si>
  <si>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</si>
  <si>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</si>
  <si>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</si>
  <si>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</si>
  <si>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</si>
  <si>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</si>
  <si>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</si>
  <si>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</si>
  <si>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</si>
  <si>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</si>
  <si>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</si>
  <si>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</si>
  <si>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</si>
  <si>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</si>
  <si>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</si>
  <si>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</si>
  <si>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</si>
  <si>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</si>
  <si>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</si>
  <si>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</si>
  <si>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</si>
  <si>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</si>
  <si>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</si>
  <si>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</si>
  <si>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</si>
  <si>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</si>
  <si>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</si>
  <si>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</si>
  <si>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</si>
  <si>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</si>
  <si>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</si>
  <si>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</si>
  <si>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</si>
  <si>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</si>
  <si>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</si>
  <si>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0"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</si>
  <si>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</si>
  <si>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</si>
  <si>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</si>
  <si>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</si>
  <si>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</si>
  <si>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</si>
  <si>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</si>
  <si>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</si>
  <si>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</si>
  <si>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</si>
  <si>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</si>
  <si>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</si>
  <si>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</si>
  <si>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</si>
  <si>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</si>
  <si>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</si>
  <si>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</si>
  <si>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</si>
  <si>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</si>
  <si>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</si>
  <si>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</si>
  <si>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</si>
  <si>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</si>
  <si>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</si>
  <si>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</si>
  <si>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</si>
  <si>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</si>
  <si>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</si>
  <si>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</si>
  <si>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</si>
  <si>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</si>
  <si>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</si>
  <si>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</si>
  <si>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</si>
  <si>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</si>
  <si>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</si>
  <si>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</si>
  <si>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</si>
  <si>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</si>
  <si>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</si>
  <si>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</si>
  <si>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</si>
  <si>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</si>
  <si>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</si>
  <si>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</si>
  <si>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</si>
  <si>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</si>
  <si>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</si>
  <si>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</si>
  <si>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</si>
  <si>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</si>
  <si>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</si>
  <si>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</si>
  <si>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</si>
  <si>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</si>
  <si>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</si>
  <si>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</si>
  <si>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</si>
  <si>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</si>
  <si>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</si>
  <si>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</si>
  <si>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</si>
  <si>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</si>
  <si>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</si>
  <si>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</si>
  <si>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</si>
  <si>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</si>
  <si>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</si>
  <si>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</si>
  <si>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</si>
  <si>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</si>
  <si>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</si>
  <si>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</si>
  <si>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</si>
  <si>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</si>
  <si>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</si>
  <si>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</si>
  <si>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</si>
  <si>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</si>
  <si>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</si>
  <si>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</si>
  <si>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</si>
  <si>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</si>
  <si>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</si>
  <si>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</si>
  <si>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</si>
  <si>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</si>
  <si>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</si>
  <si>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</si>
  <si>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</si>
  <si>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</si>
  <si>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</si>
  <si>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</si>
  <si>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</si>
  <si>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</si>
  <si>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</si>
  <si>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</si>
  <si>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</si>
  <si>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</si>
  <si>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</si>
  <si>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</si>
  <si>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</si>
  <si>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</si>
  <si>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</si>
  <si>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</si>
  <si>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</si>
  <si>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</si>
  <si>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</si>
  <si>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</si>
  <si>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6"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</si>
  <si>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</si>
  <si>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</si>
  <si>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</si>
  <si>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</si>
  <si>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</si>
  <si>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</si>
  <si>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</si>
  <si>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</si>
  <si>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</si>
  <si>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</si>
  <si>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</si>
  <si>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</si>
  <si>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</si>
  <si>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</si>
  <si>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</si>
  <si>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</si>
  <si>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</si>
  <si>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</si>
  <si>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</si>
  <si>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</si>
  <si>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</si>
  <si>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</si>
  <si>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</si>
  <si>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</si>
  <si>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</si>
  <si>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</si>
  <si>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</si>
  <si>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</si>
  <si>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</si>
  <si>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</si>
  <si>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</si>
  <si>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</si>
  <si>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</si>
  <si>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</si>
  <si>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</si>
  <si>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</si>
  <si>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</si>
  <si>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</si>
  <si>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</si>
  <si>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</si>
  <si>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</si>
  <si>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</si>
  <si>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</si>
  <si>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</si>
  <si>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</si>
  <si>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</si>
  <si>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</si>
  <si>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</si>
  <si>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</si>
  <si>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</si>
  <si>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</si>
  <si>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</si>
  <si>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</si>
  <si>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</si>
  <si>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</si>
  <si>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</si>
  <si>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</si>
  <si>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</si>
  <si>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</si>
  <si>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</si>
  <si>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</si>
  <si>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</si>
  <si>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</si>
  <si>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</si>
  <si>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</si>
  <si>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</si>
  <si>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</si>
  <si>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</si>
  <si>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</si>
  <si>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</si>
  <si>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</si>
  <si>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</si>
  <si>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</si>
  <si>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</si>
  <si>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</si>
  <si>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</si>
  <si>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</si>
  <si>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</si>
  <si>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</si>
  <si>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</si>
  <si>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</si>
  <si>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</si>
  <si>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</si>
  <si>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</si>
  <si>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</si>
  <si>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</si>
  <si>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</si>
  <si>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</si>
  <si>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</si>
  <si>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</si>
  <si>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</si>
  <si>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</si>
  <si>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</si>
  <si>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</si>
  <si>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</si>
  <si>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</si>
  <si>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</si>
  <si>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</si>
  <si>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</si>
  <si>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</si>
  <si>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</si>
  <si>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</si>
  <si>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</si>
  <si>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</si>
  <si>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</si>
  <si>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</si>
  <si>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</si>
  <si>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</si>
  <si>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</si>
  <si>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</si>
  <si>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</si>
  <si>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</si>
  <si>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</si>
  <si>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</si>
  <si>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</si>
  <si>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</si>
  <si>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</si>
  <si>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</si>
  <si>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</si>
  <si>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</si>
  <si>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</si>
  <si>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</si>
  <si>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</si>
  <si>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</si>
  <si>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</si>
  <si>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</si>
  <si>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</si>
  <si>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</si>
  <si>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</si>
  <si>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</si>
  <si>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</si>
  <si>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</si>
  <si>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</si>
  <si>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</si>
  <si>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</si>
  <si>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</si>
  <si>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</si>
  <si>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</si>
  <si>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</si>
  <si>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</si>
  <si>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</si>
  <si>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</si>
  <si>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</si>
  <si>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</si>
  <si>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</si>
  <si>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</si>
  <si>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</si>
  <si>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</si>
  <si>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</si>
  <si>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</si>
  <si>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</si>
  <si>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</si>
  <si>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</si>
  <si>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</si>
  <si>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</si>
  <si>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</si>
  <si>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</si>
  <si>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</si>
  <si>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</si>
  <si>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</si>
  <si>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</si>
  <si>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</si>
  <si>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</si>
  <si>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</si>
  <si>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</si>
  <si>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</si>
  <si>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</si>
  <si>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</si>
  <si>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</si>
  <si>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</si>
  <si>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</si>
  <si>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</si>
  <si>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</si>
  <si>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</si>
  <si>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</si>
  <si>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</si>
  <si>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</si>
  <si>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</si>
  <si>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</si>
  <si>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</si>
  <si>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</si>
  <si>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</si>
  <si>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</si>
  <si>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</si>
  <si>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</si>
  <si>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</si>
  <si>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</si>
  <si>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</si>
  <si>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</si>
  <si>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</si>
  <si>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</si>
  <si>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</si>
  <si>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</si>
  <si>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</si>
  <si>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</si>
  <si>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</si>
  <si>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</si>
  <si>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</si>
  <si>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</si>
  <si>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</si>
  <si>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</si>
  <si>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</si>
  <si>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</si>
  <si>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</si>
  <si>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</si>
  <si>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</si>
  <si>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</si>
  <si>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</si>
  <si>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</si>
  <si>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</si>
  <si>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</si>
  <si>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</si>
  <si>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</si>
  <si>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</si>
  <si>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</si>
  <si>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</si>
  <si>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</si>
  <si>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</si>
  <si>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</si>
  <si>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</si>
  <si>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</si>
  <si>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rFont val="宋体"/>
        <family val="3"/>
        <charset val="134"/>
      </rPr>
      <t>建设期</t>
    </r>
    <phoneticPr fontId="7"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</si>
  <si>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</si>
  <si>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</si>
  <si>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</si>
  <si>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</si>
  <si>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</si>
  <si>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</si>
  <si>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</si>
  <si>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</si>
  <si>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</si>
  <si>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</si>
  <si>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</si>
  <si>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</si>
  <si>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</si>
  <si>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</si>
  <si>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1"/>
        <color indexed="8"/>
        <rFont val="宋体"/>
        <family val="3"/>
        <charset val="134"/>
      </rPr>
      <t>公共配套设施费用</t>
    </r>
    <phoneticPr fontId="6" type="noConversion"/>
  </si>
  <si>
    <r>
      <rPr>
        <sz val="11"/>
        <color indexed="8"/>
        <rFont val="宋体"/>
        <family val="3"/>
        <charset val="134"/>
      </rPr>
      <t>红线内市政基础设施</t>
    </r>
    <phoneticPr fontId="6" type="noConversion"/>
  </si>
  <si>
    <r>
      <rPr>
        <sz val="11"/>
        <color indexed="8"/>
        <rFont val="宋体"/>
        <family val="3"/>
        <charset val="134"/>
      </rPr>
      <t>建造成本中相关税费</t>
    </r>
    <phoneticPr fontId="6" type="noConversion"/>
  </si>
  <si>
    <r>
      <rPr>
        <sz val="11"/>
        <color indexed="8"/>
        <rFont val="宋体"/>
        <family val="3"/>
        <charset val="134"/>
      </rPr>
      <t>管理费用</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</si>
  <si>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</si>
  <si>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</si>
  <si>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</si>
  <si>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</si>
  <si>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</si>
  <si>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</si>
  <si>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1"/>
        <color indexed="8"/>
        <rFont val="宋体"/>
        <family val="3"/>
        <charset val="134"/>
      </rPr>
      <t>教育费附加</t>
    </r>
    <phoneticPr fontId="6" type="noConversion"/>
  </si>
  <si>
    <r>
      <rPr>
        <sz val="11"/>
        <color indexed="8"/>
        <rFont val="宋体"/>
        <family val="3"/>
        <charset val="134"/>
      </rPr>
      <t>地方教育费附加</t>
    </r>
    <phoneticPr fontId="6" type="noConversion"/>
  </si>
  <si>
    <r>
      <rPr>
        <sz val="11"/>
        <color indexed="8"/>
        <rFont val="宋体"/>
        <family val="3"/>
        <charset val="134"/>
      </rPr>
      <t>其他税种</t>
    </r>
    <phoneticPr fontId="6" type="noConversion"/>
  </si>
  <si>
    <r>
      <rPr>
        <sz val="11"/>
        <color indexed="8"/>
        <rFont val="宋体"/>
        <family val="3"/>
        <charset val="134"/>
      </rPr>
      <t>契税</t>
    </r>
    <phoneticPr fontId="6" type="noConversion"/>
  </si>
  <si>
    <r>
      <rPr>
        <sz val="11"/>
        <color indexed="8"/>
        <rFont val="宋体"/>
        <family val="3"/>
        <charset val="134"/>
      </rPr>
      <t>印花税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</si>
  <si>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</si>
  <si>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</si>
  <si>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</si>
  <si>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</si>
  <si>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</si>
  <si>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</si>
  <si>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</si>
  <si>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</si>
  <si>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</si>
  <si>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</si>
  <si>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</si>
  <si>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</si>
  <si>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</si>
  <si>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</si>
  <si>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</si>
  <si>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</si>
  <si>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</si>
  <si>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</si>
  <si>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</si>
  <si>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</si>
  <si>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</si>
  <si>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</si>
  <si>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</si>
  <si>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</si>
  <si>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</si>
  <si>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</si>
  <si>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</si>
  <si>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</si>
  <si>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</si>
  <si>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</si>
  <si>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</si>
  <si>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</si>
  <si>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</si>
  <si>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</si>
  <si>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</si>
  <si>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</si>
  <si>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</si>
  <si>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</si>
  <si>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</si>
  <si>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</si>
  <si>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</si>
  <si>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</si>
  <si>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</si>
  <si>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</si>
  <si>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</si>
  <si>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</si>
  <si>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</si>
  <si>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</si>
  <si>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</si>
  <si>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</si>
  <si>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</si>
  <si>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</si>
  <si>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</si>
  <si>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</si>
  <si>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</si>
  <si>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</si>
  <si>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</si>
  <si>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</si>
  <si>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</si>
  <si>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</si>
  <si>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</si>
  <si>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</si>
  <si>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</si>
  <si>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</si>
  <si>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</si>
  <si>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</si>
  <si>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11" type="noConversion"/>
  </si>
  <si>
    <r>
      <rPr>
        <sz val="10"/>
        <color indexed="8"/>
        <rFont val="宋体"/>
        <family val="3"/>
        <charset val="134"/>
      </rPr>
      <t>土地价值</t>
    </r>
    <phoneticPr fontId="91" type="noConversion"/>
  </si>
  <si>
    <r>
      <rPr>
        <sz val="11"/>
        <color indexed="8"/>
        <rFont val="宋体"/>
        <family val="3"/>
        <charset val="134"/>
      </rPr>
      <t>建筑物价值</t>
    </r>
    <phoneticPr fontId="11"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</si>
  <si>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</si>
  <si>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</si>
  <si>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</si>
  <si>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</si>
  <si>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</si>
  <si>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</si>
  <si>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</si>
  <si>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</si>
  <si>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</si>
  <si>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</si>
  <si>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</si>
  <si>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</si>
  <si>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</si>
  <si>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</si>
  <si>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</si>
  <si>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</si>
  <si>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</si>
  <si>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</si>
  <si>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</si>
  <si>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</si>
  <si>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</si>
  <si>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</si>
  <si>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</si>
  <si>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</si>
  <si>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</si>
  <si>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</si>
  <si>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</si>
  <si>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</si>
  <si>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</si>
  <si>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</si>
  <si>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</si>
  <si>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</si>
  <si>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</si>
  <si>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</si>
  <si>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</si>
  <si>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</si>
  <si>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</si>
  <si>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</si>
  <si>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</si>
  <si>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</si>
  <si>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</si>
  <si>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</si>
  <si>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</si>
  <si>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</si>
  <si>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</si>
  <si>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</si>
  <si>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</si>
  <si>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</si>
  <si>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</si>
  <si>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</si>
  <si>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</si>
  <si>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</si>
  <si>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</si>
  <si>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</si>
  <si>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</si>
  <si>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</si>
  <si>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</si>
  <si>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</si>
  <si>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</si>
  <si>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theme="1"/>
        <rFont val="宋体"/>
        <family val="3"/>
        <charset val="134"/>
      </rPr>
      <t>大写</t>
    </r>
  </si>
  <si>
    <r>
      <t>4.</t>
    </r>
    <r>
      <rPr>
        <sz val="10"/>
        <color indexed="8"/>
        <rFont val="宋体"/>
        <family val="3"/>
        <charset val="134"/>
      </rPr>
      <t>个人所得税</t>
    </r>
    <phoneticPr fontId="11" type="noConversion"/>
  </si>
  <si>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</si>
  <si>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</si>
  <si>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1"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</si>
  <si>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</si>
  <si>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</si>
  <si>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</si>
  <si>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</si>
  <si>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</si>
  <si>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</si>
  <si>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</si>
  <si>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</si>
  <si>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</si>
  <si>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</si>
  <si>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</si>
  <si>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</si>
  <si>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</si>
  <si>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</si>
  <si>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</si>
  <si>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</si>
  <si>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</si>
  <si>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</si>
  <si>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</si>
  <si>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</si>
  <si>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</si>
  <si>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</si>
  <si>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</si>
  <si>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</si>
  <si>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</si>
  <si>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</si>
  <si>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</si>
  <si>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</si>
  <si>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</si>
  <si>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</si>
  <si>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</si>
  <si>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</si>
  <si>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</si>
  <si>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</si>
  <si>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</si>
  <si>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</si>
  <si>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</si>
  <si>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</si>
  <si>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</si>
  <si>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</si>
  <si>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</si>
  <si>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</si>
  <si>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</si>
  <si>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</si>
  <si>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</si>
  <si>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</si>
  <si>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</si>
  <si>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</si>
  <si>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</si>
  <si>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</si>
  <si>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</si>
  <si>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</si>
  <si>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</si>
  <si>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</si>
  <si>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</si>
  <si>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</si>
  <si>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</si>
  <si>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</si>
  <si>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</si>
  <si>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</si>
  <si>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</si>
  <si>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</si>
  <si>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</si>
  <si>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</si>
  <si>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</si>
  <si>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</si>
  <si>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</si>
  <si>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</si>
  <si>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</si>
  <si>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</si>
  <si>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</si>
  <si>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</si>
  <si>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</si>
  <si>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</si>
  <si>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</si>
  <si>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</si>
  <si>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</si>
  <si>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</si>
  <si>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</si>
  <si>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</si>
  <si>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</si>
  <si>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</si>
  <si>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</si>
  <si>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</si>
  <si>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</si>
  <si>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</si>
  <si>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</si>
  <si>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</si>
  <si>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</si>
  <si>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</si>
  <si>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</si>
  <si>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</si>
  <si>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</si>
  <si>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</si>
  <si>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</si>
  <si>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</si>
  <si>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</si>
  <si>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</si>
  <si>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</si>
  <si>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</si>
  <si>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</si>
  <si>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</si>
  <si>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</si>
  <si>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</si>
  <si>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37"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</si>
  <si>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</si>
  <si>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</si>
  <si>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</si>
  <si>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</si>
  <si>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</si>
  <si>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</si>
  <si>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</si>
  <si>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</si>
  <si>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</si>
  <si>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</si>
  <si>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</si>
  <si>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</si>
  <si>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</si>
  <si>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</si>
  <si>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</si>
  <si>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</si>
  <si>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</si>
  <si>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</si>
  <si>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</si>
  <si>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</si>
  <si>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</si>
  <si>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</si>
  <si>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</si>
  <si>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</si>
  <si>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</si>
  <si>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</si>
  <si>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</si>
  <si>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</si>
  <si>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</si>
  <si>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</si>
  <si>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</si>
  <si>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</si>
  <si>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</si>
  <si>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</si>
  <si>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</si>
  <si>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</si>
  <si>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</si>
  <si>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</si>
  <si>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</si>
  <si>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</si>
  <si>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</si>
  <si>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</si>
  <si>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</si>
  <si>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</si>
  <si>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</si>
  <si>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</si>
  <si>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</si>
  <si>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</si>
  <si>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</si>
  <si>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</si>
  <si>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</si>
  <si>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</si>
  <si>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</si>
  <si>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</si>
  <si>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</si>
  <si>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</si>
  <si>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</si>
  <si>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</si>
  <si>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</si>
  <si>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</si>
  <si>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</si>
  <si>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</si>
  <si>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</si>
  <si>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</si>
  <si>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</si>
  <si>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</si>
  <si>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</si>
  <si>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</si>
  <si>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</si>
  <si>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</si>
  <si>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</si>
  <si>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</si>
  <si>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</si>
  <si>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</si>
  <si>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</si>
  <si>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</si>
  <si>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</si>
  <si>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</si>
  <si>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</si>
  <si>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</si>
  <si>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</si>
  <si>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</si>
  <si>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</si>
  <si>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37"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</si>
  <si>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</si>
  <si>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</si>
  <si>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</si>
  <si>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</si>
  <si>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</si>
  <si>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</si>
  <si>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</si>
  <si>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</si>
  <si>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</si>
  <si>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</si>
  <si>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</si>
  <si>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</si>
  <si>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</si>
  <si>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</si>
  <si>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</si>
  <si>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</si>
  <si>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</si>
  <si>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</si>
  <si>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</si>
  <si>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</si>
  <si>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</si>
  <si>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</si>
  <si>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</si>
  <si>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</si>
  <si>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</si>
  <si>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</si>
  <si>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</si>
  <si>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</si>
  <si>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</si>
  <si>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</si>
  <si>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</si>
  <si>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</si>
  <si>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</si>
  <si>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</si>
  <si>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</si>
  <si>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</si>
  <si>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</si>
  <si>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</si>
  <si>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</si>
  <si>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</si>
  <si>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</si>
  <si>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</si>
  <si>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</si>
  <si>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</si>
  <si>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</si>
  <si>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</si>
  <si>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</si>
  <si>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</si>
  <si>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</si>
  <si>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</si>
  <si>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</si>
  <si>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</si>
  <si>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</si>
  <si>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</si>
  <si>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</si>
  <si>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</si>
  <si>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</si>
  <si>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</si>
  <si>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</si>
  <si>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</si>
  <si>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</si>
  <si>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</si>
  <si>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</si>
  <si>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</si>
  <si>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</si>
  <si>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</si>
  <si>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</si>
  <si>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</si>
  <si>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</si>
  <si>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</si>
  <si>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</si>
  <si>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</si>
  <si>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</si>
  <si>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</si>
  <si>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</si>
  <si>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</si>
  <si>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</si>
  <si>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</si>
  <si>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</si>
  <si>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</si>
  <si>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</si>
  <si>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</si>
  <si>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</si>
  <si>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</si>
  <si>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</si>
  <si>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</si>
  <si>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</si>
  <si>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</si>
  <si>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</si>
  <si>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</si>
  <si>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</si>
  <si>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</si>
  <si>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</si>
  <si>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</si>
  <si>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</si>
  <si>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</si>
  <si>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</si>
  <si>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</si>
  <si>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7"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</si>
  <si>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</si>
  <si>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1" type="noConversion"/>
  </si>
  <si>
    <r>
      <rPr>
        <b/>
        <sz val="12"/>
        <rFont val="宋体"/>
        <family val="3"/>
        <charset val="134"/>
      </rPr>
      <t>建筑面积</t>
    </r>
    <phoneticPr fontId="27"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</si>
  <si>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</si>
  <si>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</si>
  <si>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</si>
  <si>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</si>
  <si>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</si>
  <si>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</si>
  <si>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</si>
  <si>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</si>
  <si>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</si>
  <si>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</si>
  <si>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</si>
  <si>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</si>
  <si>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</si>
  <si>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</si>
  <si>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</si>
  <si>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</si>
  <si>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</si>
  <si>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</si>
  <si>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</si>
  <si>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</si>
  <si>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</si>
  <si>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</si>
  <si>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</si>
  <si>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</si>
  <si>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</si>
  <si>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</si>
  <si>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</si>
  <si>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</si>
  <si>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</si>
  <si>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</si>
  <si>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</si>
  <si>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</si>
  <si>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</si>
  <si>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</si>
  <si>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</si>
  <si>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</si>
  <si>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</si>
  <si>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</si>
  <si>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</si>
  <si>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</si>
  <si>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</si>
  <si>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</si>
  <si>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</si>
  <si>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</si>
  <si>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</si>
  <si>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</si>
  <si>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</si>
  <si>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</si>
  <si>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</si>
  <si>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</si>
  <si>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</si>
  <si>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6" type="noConversion"/>
  </si>
  <si>
    <r>
      <rPr>
        <sz val="11"/>
        <color indexed="8"/>
        <rFont val="宋体"/>
        <family val="3"/>
        <charset val="134"/>
      </rPr>
      <t>正常</t>
    </r>
    <phoneticPr fontId="27" type="noConversion"/>
  </si>
  <si>
    <r>
      <rPr>
        <b/>
        <sz val="11"/>
        <rFont val="宋体"/>
        <family val="3"/>
        <charset val="134"/>
      </rPr>
      <t>权益状况</t>
    </r>
    <phoneticPr fontId="6"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</si>
  <si>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</si>
  <si>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</si>
  <si>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</si>
  <si>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</si>
  <si>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</si>
  <si>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</si>
  <si>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</si>
  <si>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</si>
  <si>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</si>
  <si>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</si>
  <si>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</si>
  <si>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</si>
  <si>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</si>
  <si>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</si>
  <si>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</si>
  <si>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</si>
  <si>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</si>
  <si>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</si>
  <si>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</si>
  <si>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</si>
  <si>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</si>
  <si>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</si>
  <si>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</si>
  <si>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</si>
  <si>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</si>
  <si>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</si>
  <si>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</si>
  <si>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</si>
  <si>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</si>
  <si>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</si>
  <si>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</si>
  <si>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</si>
  <si>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</si>
  <si>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</si>
  <si>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</si>
  <si>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</si>
  <si>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</si>
  <si>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</si>
  <si>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</si>
  <si>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</si>
  <si>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</si>
  <si>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</si>
  <si>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</si>
  <si>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</si>
  <si>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</si>
  <si>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</si>
  <si>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</si>
  <si>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</si>
  <si>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</si>
  <si>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</si>
  <si>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</si>
  <si>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</si>
  <si>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</si>
  <si>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</si>
  <si>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</si>
  <si>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</si>
  <si>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</si>
  <si>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</si>
  <si>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</si>
  <si>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</si>
  <si>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</si>
  <si>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</si>
  <si>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</si>
  <si>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</si>
  <si>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</si>
  <si>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</si>
  <si>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</si>
  <si>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</si>
  <si>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</si>
  <si>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</si>
  <si>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</si>
  <si>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6"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</si>
  <si>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</si>
  <si>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</si>
  <si>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</si>
  <si>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</si>
  <si>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</si>
  <si>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</si>
  <si>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</si>
  <si>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</si>
  <si>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</si>
  <si>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</si>
  <si>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</si>
  <si>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</si>
  <si>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</si>
  <si>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</si>
  <si>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</si>
  <si>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</si>
  <si>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</si>
  <si>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</si>
  <si>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</si>
  <si>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</si>
  <si>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</si>
  <si>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</si>
  <si>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</si>
  <si>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</si>
  <si>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</si>
  <si>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</si>
  <si>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</si>
  <si>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</si>
  <si>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</si>
  <si>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</si>
  <si>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</si>
  <si>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</si>
  <si>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</si>
  <si>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</si>
  <si>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</si>
  <si>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</si>
  <si>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</si>
  <si>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</si>
  <si>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</si>
  <si>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</si>
  <si>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</si>
  <si>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</si>
  <si>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</si>
  <si>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</si>
  <si>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</si>
  <si>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</si>
  <si>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</si>
  <si>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</si>
  <si>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</si>
  <si>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</si>
  <si>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</si>
  <si>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</si>
  <si>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</si>
  <si>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</si>
  <si>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</si>
  <si>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</si>
  <si>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</si>
  <si>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</si>
  <si>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</si>
  <si>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</si>
  <si>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</si>
  <si>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</si>
  <si>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</si>
  <si>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</si>
  <si>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4"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</si>
  <si>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</si>
  <si>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</si>
  <si>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</si>
  <si>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</si>
  <si>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</si>
  <si>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</si>
  <si>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</si>
  <si>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</si>
  <si>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4"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</si>
  <si>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</si>
  <si>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</si>
  <si>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3" type="noConversion"/>
  </si>
  <si>
    <r>
      <rPr>
        <b/>
        <sz val="12"/>
        <rFont val="宋体"/>
        <family val="3"/>
        <charset val="134"/>
      </rPr>
      <t>建筑面积</t>
    </r>
    <phoneticPr fontId="21"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</si>
  <si>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</si>
  <si>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</si>
  <si>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</si>
  <si>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</si>
  <si>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</si>
  <si>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</si>
  <si>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</si>
  <si>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</si>
  <si>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</si>
  <si>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</si>
  <si>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</si>
  <si>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</si>
  <si>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</si>
  <si>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</si>
  <si>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</si>
  <si>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</si>
  <si>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</si>
  <si>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</si>
  <si>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</si>
  <si>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</si>
  <si>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</si>
  <si>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</si>
  <si>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</si>
  <si>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</si>
  <si>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</si>
  <si>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</si>
  <si>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3"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</si>
  <si>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</si>
  <si>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</si>
  <si>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</si>
  <si>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</si>
  <si>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</si>
  <si>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</si>
  <si>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</si>
  <si>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</si>
  <si>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</si>
  <si>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</si>
  <si>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</si>
  <si>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</si>
  <si>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</si>
  <si>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</si>
  <si>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</si>
  <si>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</si>
  <si>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</si>
  <si>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</si>
  <si>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</si>
  <si>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</si>
  <si>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</si>
  <si>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3" type="noConversion"/>
  </si>
  <si>
    <r>
      <rPr>
        <sz val="11"/>
        <rFont val="宋体"/>
        <family val="3"/>
        <charset val="134"/>
      </rPr>
      <t>项目位置</t>
    </r>
    <phoneticPr fontId="6"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</si>
  <si>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</si>
  <si>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</si>
  <si>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</si>
  <si>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</si>
  <si>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</si>
  <si>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</si>
  <si>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6"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</si>
  <si>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</si>
  <si>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</si>
  <si>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</si>
  <si>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</si>
  <si>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</si>
  <si>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</si>
  <si>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</si>
  <si>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</si>
  <si>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</si>
  <si>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</si>
  <si>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</si>
  <si>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</si>
  <si>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</si>
  <si>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</si>
  <si>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</si>
  <si>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</si>
  <si>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</si>
  <si>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</si>
  <si>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</si>
  <si>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</si>
  <si>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</si>
  <si>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</si>
  <si>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</si>
  <si>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</si>
  <si>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</si>
  <si>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</si>
  <si>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</si>
  <si>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</si>
  <si>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</si>
  <si>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</si>
  <si>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</si>
  <si>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</si>
  <si>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</si>
  <si>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</si>
  <si>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</si>
  <si>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</si>
  <si>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</si>
  <si>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</si>
  <si>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</si>
  <si>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</si>
  <si>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</si>
  <si>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</si>
  <si>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</si>
  <si>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</si>
  <si>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</si>
  <si>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</si>
  <si>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</si>
  <si>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</si>
  <si>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</si>
  <si>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</si>
  <si>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</si>
  <si>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</si>
  <si>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</si>
  <si>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</si>
  <si>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</si>
  <si>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</si>
  <si>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</si>
  <si>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</si>
  <si>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</si>
  <si>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</si>
  <si>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</si>
  <si>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轨道交通站点周边</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</si>
  <si>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</si>
  <si>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</si>
  <si>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</si>
  <si>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</si>
  <si>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</si>
  <si>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</si>
  <si>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</si>
  <si>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</si>
  <si>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</si>
  <si>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</si>
  <si>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</si>
  <si>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</si>
  <si>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</si>
  <si>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</si>
  <si>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</si>
  <si>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</si>
  <si>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</si>
  <si>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</si>
  <si>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</si>
  <si>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</si>
  <si>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79"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</si>
  <si>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</si>
  <si>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</si>
  <si>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</si>
  <si>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</si>
  <si>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</si>
  <si>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</si>
  <si>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</si>
  <si>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</si>
  <si>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</si>
  <si>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</si>
  <si>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</si>
  <si>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</si>
  <si>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</si>
  <si>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</si>
  <si>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</si>
  <si>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</si>
  <si>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</si>
  <si>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</si>
  <si>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</si>
  <si>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</si>
  <si>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</si>
  <si>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</si>
  <si>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</si>
  <si>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</si>
  <si>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</si>
  <si>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</si>
  <si>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</si>
  <si>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</si>
  <si>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</si>
  <si>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79" type="noConversion"/>
  </si>
  <si>
    <r>
      <rPr>
        <sz val="10"/>
        <color theme="1"/>
        <rFont val="宋体"/>
        <family val="3"/>
        <charset val="134"/>
      </rPr>
      <t>地下仓储</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</si>
  <si>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</si>
  <si>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</si>
  <si>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</si>
  <si>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</si>
  <si>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</si>
  <si>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</si>
  <si>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</si>
  <si>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</si>
  <si>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</si>
  <si>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</si>
  <si>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</si>
  <si>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</si>
  <si>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</si>
  <si>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</si>
  <si>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</si>
  <si>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</si>
  <si>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</si>
  <si>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</si>
  <si>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</si>
  <si>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</si>
  <si>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</si>
  <si>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</si>
  <si>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</si>
  <si>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</si>
  <si>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</si>
  <si>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</si>
  <si>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</si>
  <si>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</si>
  <si>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</si>
  <si>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</si>
  <si>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</si>
  <si>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</si>
  <si>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</si>
  <si>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</si>
  <si>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</si>
  <si>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</si>
  <si>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</si>
  <si>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</si>
  <si>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</si>
  <si>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</si>
  <si>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</si>
  <si>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</si>
  <si>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</si>
  <si>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</si>
  <si>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</si>
  <si>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</si>
  <si>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</si>
  <si>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</si>
  <si>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</si>
  <si>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</si>
  <si>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</si>
  <si>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</si>
  <si>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</si>
  <si>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</si>
  <si>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</si>
  <si>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</si>
  <si>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</si>
  <si>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</si>
  <si>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</si>
  <si>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</si>
  <si>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</si>
  <si>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</si>
  <si>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</si>
  <si>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</si>
  <si>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</si>
  <si>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</si>
  <si>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</si>
  <si>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</si>
  <si>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</si>
  <si>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t>2018-1</t>
    <phoneticPr fontId="6" type="noConversion"/>
  </si>
  <si>
    <t>本行不参与计算</t>
    <phoneticPr fontId="13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</si>
  <si>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</si>
  <si>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</si>
  <si>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</si>
  <si>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押金×一年期存款利率</t>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</si>
  <si>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</si>
  <si>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2018-2</t>
    <phoneticPr fontId="6" type="noConversion"/>
  </si>
  <si>
    <t>2018-3</t>
    <phoneticPr fontId="6" type="noConversion"/>
  </si>
  <si>
    <t>地下车库及仓储年期修正</t>
    <phoneticPr fontId="6" type="noConversion"/>
  </si>
  <si>
    <t>2019-1</t>
    <phoneticPr fontId="6" type="noConversion"/>
  </si>
  <si>
    <t>2019-2</t>
    <phoneticPr fontId="6" type="noConversion"/>
  </si>
  <si>
    <t>2018-4</t>
    <phoneticPr fontId="6" type="noConversion"/>
  </si>
  <si>
    <t>2019-3</t>
    <phoneticPr fontId="6" type="noConversion"/>
  </si>
  <si>
    <t>2019-4</t>
    <phoneticPr fontId="6" type="noConversion"/>
  </si>
  <si>
    <t>2020-1</t>
    <phoneticPr fontId="6" type="noConversion"/>
  </si>
  <si>
    <t>土地征用及拆迁补偿费</t>
    <phoneticPr fontId="11" type="noConversion"/>
  </si>
  <si>
    <t>2020-2</t>
    <phoneticPr fontId="6" type="noConversion"/>
  </si>
  <si>
    <t>★此处仍为计算过程，权重结果非最终结果，总价和单价分别为各自权重值，无直接关联★</t>
    <phoneticPr fontId="6" type="noConversion"/>
  </si>
  <si>
    <t>★合计部分请自行录入公式，很重要，与C32结果相关★</t>
    <phoneticPr fontId="6" type="noConversion"/>
  </si>
  <si>
    <t>★此线以下显示的为最终结果★</t>
    <phoneticPr fontId="6" type="noConversion"/>
  </si>
  <si>
    <t>北京普宅标准：</t>
    <phoneticPr fontId="6"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</si>
  <si>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6"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</si>
  <si>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6" type="noConversion"/>
  </si>
  <si>
    <t>北京标准</t>
    <phoneticPr fontId="6" type="noConversion"/>
  </si>
  <si>
    <t>简单平均</t>
  </si>
  <si>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</si>
  <si>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</si>
  <si>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</si>
  <si>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</si>
  <si>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</si>
  <si>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房地产估价师及注册号</t>
    <phoneticPr fontId="6" type="noConversion"/>
  </si>
  <si>
    <t>土地估价师</t>
    <phoneticPr fontId="6" type="noConversion"/>
  </si>
  <si>
    <t>证号</t>
    <phoneticPr fontId="6" type="noConversion"/>
  </si>
  <si>
    <t>土地估价师及注册号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</si>
  <si>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</si>
  <si>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</si>
  <si>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</si>
  <si>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</si>
  <si>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</si>
  <si>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</si>
  <si>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</si>
  <si>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</si>
  <si>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苏海</t>
    <phoneticPr fontId="6" type="noConversion"/>
  </si>
  <si>
    <t>刘敬东</t>
    <phoneticPr fontId="6" type="noConversion"/>
  </si>
  <si>
    <t>刘俊财</t>
    <phoneticPr fontId="6" type="noConversion"/>
  </si>
  <si>
    <t>赵雯</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</si>
  <si>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</si>
  <si>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</si>
  <si>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</si>
  <si>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</si>
  <si>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</si>
  <si>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备案等级：一级</t>
    <phoneticPr fontId="6" type="noConversion"/>
  </si>
  <si>
    <t>建房估备字[2013第]081号</t>
    <phoneticPr fontId="6" type="noConversion"/>
  </si>
  <si>
    <t>资信等级：A级</t>
    <phoneticPr fontId="6" type="noConversion"/>
  </si>
  <si>
    <r>
      <rPr>
        <sz val="10"/>
        <color indexed="8"/>
        <rFont val="宋体"/>
        <family val="3"/>
        <charset val="134"/>
      </rPr>
      <t>估价项目名称</t>
    </r>
    <phoneticPr fontId="6" type="noConversion"/>
  </si>
  <si>
    <r>
      <rPr>
        <sz val="10"/>
        <color indexed="8"/>
        <rFont val="宋体"/>
        <family val="3"/>
        <charset val="134"/>
      </rPr>
      <t>报告编号</t>
    </r>
    <phoneticPr fontId="9"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</si>
  <si>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</si>
  <si>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</si>
  <si>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</si>
  <si>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</si>
  <si>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</si>
  <si>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9"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</si>
  <si>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</si>
  <si>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</si>
  <si>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</si>
  <si>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9" type="noConversion"/>
  </si>
  <si>
    <r>
      <rPr>
        <sz val="10"/>
        <color indexed="8"/>
        <rFont val="宋体"/>
        <family val="3"/>
        <charset val="134"/>
      </rPr>
      <t>坐落</t>
    </r>
    <phoneticPr fontId="84" type="noConversion"/>
  </si>
  <si>
    <r>
      <rPr>
        <sz val="10"/>
        <color indexed="8"/>
        <rFont val="宋体"/>
        <family val="3"/>
        <charset val="134"/>
      </rPr>
      <t>不动产权利人</t>
    </r>
    <phoneticPr fontId="9" type="noConversion"/>
  </si>
  <si>
    <r>
      <rPr>
        <sz val="10"/>
        <color indexed="8"/>
        <rFont val="宋体"/>
        <family val="3"/>
        <charset val="134"/>
      </rPr>
      <t>土地性质</t>
    </r>
    <phoneticPr fontId="84" type="noConversion"/>
  </si>
  <si>
    <r>
      <rPr>
        <sz val="10"/>
        <color indexed="8"/>
        <rFont val="宋体"/>
        <family val="3"/>
        <charset val="134"/>
      </rPr>
      <t>用途</t>
    </r>
    <phoneticPr fontId="9" type="noConversion"/>
  </si>
  <si>
    <r>
      <rPr>
        <sz val="10"/>
        <color indexed="8"/>
        <rFont val="宋体"/>
        <family val="3"/>
        <charset val="134"/>
      </rPr>
      <t>住宅</t>
    </r>
    <phoneticPr fontId="9" type="noConversion"/>
  </si>
  <si>
    <r>
      <rPr>
        <sz val="10"/>
        <color indexed="8"/>
        <rFont val="宋体"/>
        <family val="3"/>
        <charset val="134"/>
      </rPr>
      <t>商业</t>
    </r>
    <phoneticPr fontId="9" type="noConversion"/>
  </si>
  <si>
    <r>
      <rPr>
        <sz val="10"/>
        <color indexed="8"/>
        <rFont val="宋体"/>
        <family val="3"/>
        <charset val="134"/>
      </rPr>
      <t>办公</t>
    </r>
    <phoneticPr fontId="9" type="noConversion"/>
  </si>
  <si>
    <r>
      <rPr>
        <sz val="10"/>
        <color indexed="8"/>
        <rFont val="宋体"/>
        <family val="3"/>
        <charset val="134"/>
      </rPr>
      <t>车库</t>
    </r>
    <phoneticPr fontId="9" type="noConversion"/>
  </si>
  <si>
    <r>
      <rPr>
        <sz val="10"/>
        <color indexed="8"/>
        <rFont val="宋体"/>
        <family val="3"/>
        <charset val="134"/>
      </rPr>
      <t>仓储</t>
    </r>
    <phoneticPr fontId="9" type="noConversion"/>
  </si>
  <si>
    <r>
      <rPr>
        <sz val="10"/>
        <color indexed="8"/>
        <rFont val="宋体"/>
        <family val="3"/>
        <charset val="134"/>
      </rPr>
      <t>工业</t>
    </r>
    <phoneticPr fontId="9" type="noConversion"/>
  </si>
  <si>
    <r>
      <rPr>
        <sz val="10"/>
        <color indexed="8"/>
        <rFont val="宋体"/>
        <family val="3"/>
        <charset val="134"/>
      </rPr>
      <t>终止日期</t>
    </r>
    <phoneticPr fontId="9" type="noConversion"/>
  </si>
  <si>
    <r>
      <rPr>
        <sz val="10"/>
        <color indexed="8"/>
        <rFont val="宋体"/>
        <family val="3"/>
        <charset val="134"/>
      </rPr>
      <t>出让年限</t>
    </r>
    <phoneticPr fontId="9" type="noConversion"/>
  </si>
  <si>
    <r>
      <rPr>
        <sz val="10"/>
        <color indexed="8"/>
        <rFont val="宋体"/>
        <family val="3"/>
        <charset val="134"/>
      </rPr>
      <t>剩余年限</t>
    </r>
    <phoneticPr fontId="9"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</si>
  <si>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</si>
  <si>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9"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</si>
  <si>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</si>
  <si>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</si>
  <si>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</si>
  <si>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9"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</si>
  <si>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</si>
  <si>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</si>
  <si>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</si>
  <si>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9"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</si>
  <si>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</si>
  <si>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</si>
  <si>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</si>
  <si>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</si>
  <si>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</si>
  <si>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</si>
  <si>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</si>
  <si>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</si>
  <si>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</si>
  <si>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</si>
  <si>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</si>
  <si>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9" type="noConversion"/>
  </si>
  <si>
    <r>
      <rPr>
        <sz val="10"/>
        <color indexed="8"/>
        <rFont val="宋体"/>
        <family val="3"/>
        <charset val="134"/>
      </rPr>
      <t>按主用途</t>
    </r>
    <phoneticPr fontId="9" type="noConversion"/>
  </si>
  <si>
    <r>
      <rPr>
        <sz val="10"/>
        <color indexed="8"/>
        <rFont val="宋体"/>
        <family val="3"/>
        <charset val="134"/>
      </rPr>
      <t>特殊细项</t>
    </r>
    <phoneticPr fontId="9" type="noConversion"/>
  </si>
  <si>
    <r>
      <rPr>
        <sz val="10"/>
        <color indexed="8"/>
        <rFont val="宋体"/>
        <family val="3"/>
        <charset val="134"/>
      </rPr>
      <t>是否配建</t>
    </r>
    <phoneticPr fontId="9" type="noConversion"/>
  </si>
  <si>
    <r>
      <rPr>
        <sz val="10"/>
        <color indexed="8"/>
        <rFont val="宋体"/>
        <family val="3"/>
        <charset val="134"/>
      </rPr>
      <t>配建类型</t>
    </r>
    <phoneticPr fontId="9" type="noConversion"/>
  </si>
  <si>
    <r>
      <rPr>
        <sz val="10"/>
        <color indexed="8"/>
        <rFont val="宋体"/>
        <family val="3"/>
        <charset val="134"/>
      </rPr>
      <t>项目现状</t>
    </r>
    <phoneticPr fontId="9" type="noConversion"/>
  </si>
  <si>
    <r>
      <rPr>
        <sz val="10"/>
        <color indexed="8"/>
        <rFont val="宋体"/>
        <family val="3"/>
        <charset val="134"/>
      </rPr>
      <t>红线外市政</t>
    </r>
    <phoneticPr fontId="9"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</si>
  <si>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</si>
  <si>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</si>
  <si>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</si>
  <si>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</si>
  <si>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</si>
  <si>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</si>
  <si>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</si>
  <si>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</si>
  <si>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9" type="noConversion"/>
  </si>
  <si>
    <r>
      <rPr>
        <sz val="10"/>
        <color indexed="8"/>
        <rFont val="宋体"/>
        <family val="3"/>
        <charset val="134"/>
      </rPr>
      <t>土地级别</t>
    </r>
    <phoneticPr fontId="9" type="noConversion"/>
  </si>
  <si>
    <r>
      <rPr>
        <sz val="10"/>
        <color indexed="8"/>
        <rFont val="宋体"/>
        <family val="3"/>
        <charset val="134"/>
      </rPr>
      <t>区片编号</t>
    </r>
    <phoneticPr fontId="9" type="noConversion"/>
  </si>
  <si>
    <r>
      <rPr>
        <b/>
        <sz val="10"/>
        <color rgb="FFFF0000"/>
        <rFont val="宋体"/>
        <family val="3"/>
        <charset val="134"/>
      </rPr>
      <t>虚线以上为必填</t>
    </r>
    <phoneticPr fontId="9" type="noConversion"/>
  </si>
  <si>
    <r>
      <rPr>
        <b/>
        <sz val="10"/>
        <color indexed="8"/>
        <rFont val="宋体"/>
        <family val="3"/>
        <charset val="134"/>
      </rPr>
      <t>证件取得及他项权利状况</t>
    </r>
    <phoneticPr fontId="9" type="noConversion"/>
  </si>
  <si>
    <r>
      <rPr>
        <sz val="10"/>
        <color indexed="8"/>
        <rFont val="宋体"/>
        <family val="3"/>
        <charset val="134"/>
      </rPr>
      <t>地块编号</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</si>
  <si>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</si>
  <si>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出让合同</t>
    </r>
    <phoneticPr fontId="6" type="noConversion"/>
  </si>
  <si>
    <r>
      <rPr>
        <sz val="10"/>
        <color indexed="8"/>
        <rFont val="宋体"/>
        <family val="3"/>
        <charset val="134"/>
      </rPr>
      <t>用地规划</t>
    </r>
    <phoneticPr fontId="6" type="noConversion"/>
  </si>
  <si>
    <r>
      <rPr>
        <sz val="10"/>
        <color indexed="8"/>
        <rFont val="宋体"/>
        <family val="3"/>
        <charset val="134"/>
      </rPr>
      <t>规划意见复函</t>
    </r>
    <phoneticPr fontId="6" type="noConversion"/>
  </si>
  <si>
    <r>
      <rPr>
        <sz val="10"/>
        <color indexed="8"/>
        <rFont val="宋体"/>
        <family val="3"/>
        <charset val="134"/>
      </rPr>
      <t>工程规划</t>
    </r>
    <phoneticPr fontId="6" type="noConversion"/>
  </si>
  <si>
    <r>
      <rPr>
        <sz val="10"/>
        <color indexed="8"/>
        <rFont val="宋体"/>
        <family val="3"/>
        <charset val="134"/>
      </rPr>
      <t>施工证</t>
    </r>
    <phoneticPr fontId="6" type="noConversion"/>
  </si>
  <si>
    <r>
      <rPr>
        <sz val="10"/>
        <color indexed="8"/>
        <rFont val="宋体"/>
        <family val="3"/>
        <charset val="134"/>
      </rPr>
      <t>预售证</t>
    </r>
    <phoneticPr fontId="6" type="noConversion"/>
  </si>
  <si>
    <r>
      <rPr>
        <sz val="10"/>
        <color indexed="8"/>
        <rFont val="宋体"/>
        <family val="3"/>
        <charset val="134"/>
      </rPr>
      <t>竣工备案</t>
    </r>
    <phoneticPr fontId="6" type="noConversion"/>
  </si>
  <si>
    <r>
      <rPr>
        <sz val="10"/>
        <color indexed="8"/>
        <rFont val="宋体"/>
        <family val="3"/>
        <charset val="134"/>
      </rPr>
      <t>测绘报告</t>
    </r>
    <phoneticPr fontId="6" type="noConversion"/>
  </si>
  <si>
    <r>
      <rPr>
        <sz val="10"/>
        <color indexed="8"/>
        <rFont val="宋体"/>
        <family val="3"/>
        <charset val="134"/>
      </rPr>
      <t>现状</t>
    </r>
    <phoneticPr fontId="9"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</si>
  <si>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9" type="noConversion"/>
  </si>
  <si>
    <r>
      <rPr>
        <sz val="10"/>
        <color indexed="8"/>
        <rFont val="宋体"/>
        <family val="3"/>
        <charset val="134"/>
      </rPr>
      <t>不动产权证书</t>
    </r>
    <phoneticPr fontId="9" type="noConversion"/>
  </si>
  <si>
    <r>
      <rPr>
        <sz val="10"/>
        <color indexed="8"/>
        <rFont val="宋体"/>
        <family val="3"/>
        <charset val="134"/>
      </rPr>
      <t>国土证</t>
    </r>
    <phoneticPr fontId="6" type="noConversion"/>
  </si>
  <si>
    <r>
      <rPr>
        <sz val="10"/>
        <color indexed="8"/>
        <rFont val="宋体"/>
        <family val="3"/>
        <charset val="134"/>
      </rPr>
      <t>房产证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</si>
  <si>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</si>
  <si>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9"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</si>
  <si>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9"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</si>
  <si>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</si>
  <si>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</si>
  <si>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</si>
  <si>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7"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</si>
  <si>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</si>
  <si>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</si>
  <si>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</si>
  <si>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7"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</si>
  <si>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</si>
  <si>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</si>
  <si>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</si>
  <si>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</si>
  <si>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</si>
  <si>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</si>
  <si>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</si>
  <si>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</si>
  <si>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3" type="noConversion"/>
  </si>
  <si>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</si>
  <si>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</si>
  <si>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</si>
  <si>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</si>
  <si>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</si>
  <si>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</si>
  <si>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</si>
  <si>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</si>
  <si>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</si>
  <si>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</si>
  <si>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</si>
  <si>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</si>
  <si>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</si>
  <si>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</si>
  <si>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</si>
  <si>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估价对象周边居住用地比例、居住小区规模和社区发展完善程度，综合评价居住社区成熟度一般</t>
    </r>
    <phoneticPr fontId="4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</si>
  <si>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</si>
  <si>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6" type="noConversion"/>
  </si>
  <si>
    <r>
      <rPr>
        <b/>
        <sz val="11"/>
        <color indexed="10"/>
        <rFont val="宋体"/>
        <family val="3"/>
        <charset val="134"/>
      </rPr>
      <t>土地修正因素</t>
    </r>
    <phoneticPr fontId="6" type="noConversion"/>
  </si>
  <si>
    <t>★取得土地使用权所支付的金额，是指纳税人为取得土地使用权所支付的地价款和按国家统一规定交纳的有关费用★</t>
    <phoneticPr fontId="6" type="noConversion"/>
  </si>
  <si>
    <t>★土地征用及拆迁补偿费，包括土地征用费、耕地占用税、劳动力安置费及有关地上、地下附着物拆迁补偿的净支出、安置动迁用房支出等★</t>
    <phoneticPr fontId="6"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</si>
  <si>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6"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</si>
  <si>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</si>
  <si>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1" type="noConversion"/>
  </si>
  <si>
    <t>典型户型修正</t>
    <phoneticPr fontId="19" type="noConversion"/>
  </si>
  <si>
    <r>
      <rPr>
        <sz val="11"/>
        <color rgb="FFFF0000"/>
        <rFont val="宋体"/>
        <family val="3"/>
        <charset val="134"/>
      </rPr>
      <t>凭票据或默认已缴纳</t>
    </r>
    <phoneticPr fontId="6" type="noConversion"/>
  </si>
  <si>
    <r>
      <rPr>
        <sz val="10"/>
        <color rgb="FFFF0000"/>
        <rFont val="宋体"/>
        <family val="3"/>
        <charset val="134"/>
      </rPr>
      <t>范围：</t>
    </r>
    <r>
      <rPr>
        <sz val="10"/>
        <color rgb="FFFF0000"/>
        <rFont val="Arial"/>
        <family val="2"/>
      </rPr>
      <t>0-10%</t>
    </r>
    <phoneticPr fontId="6" type="noConversion"/>
  </si>
  <si>
    <r>
      <rPr>
        <sz val="10"/>
        <color rgb="FFFF0000"/>
        <rFont val="宋体"/>
        <family val="3"/>
        <charset val="134"/>
      </rPr>
      <t>变化</t>
    </r>
    <phoneticPr fontId="6" type="noConversion"/>
  </si>
  <si>
    <r>
      <rPr>
        <sz val="11"/>
        <color rgb="FFFF0000"/>
        <rFont val="宋体"/>
        <family val="3"/>
        <charset val="134"/>
      </rPr>
      <t>北京：</t>
    </r>
    <r>
      <rPr>
        <sz val="11"/>
        <color rgb="FFFF0000"/>
        <rFont val="Arial"/>
        <family val="2"/>
      </rPr>
      <t>3%</t>
    </r>
    <phoneticPr fontId="6" type="noConversion"/>
  </si>
  <si>
    <r>
      <rPr>
        <sz val="11"/>
        <color rgb="FFFF0000"/>
        <rFont val="宋体"/>
        <family val="3"/>
        <charset val="134"/>
      </rPr>
      <t>北京：</t>
    </r>
    <r>
      <rPr>
        <sz val="11"/>
        <color rgb="FFFF0000"/>
        <rFont val="Arial"/>
        <family val="2"/>
      </rPr>
      <t>2%</t>
    </r>
    <phoneticPr fontId="6" type="noConversion"/>
  </si>
  <si>
    <r>
      <rPr>
        <sz val="11"/>
        <color rgb="FFFF0000"/>
        <rFont val="宋体"/>
        <family val="3"/>
        <charset val="134"/>
      </rPr>
      <t>北京：</t>
    </r>
    <r>
      <rPr>
        <sz val="11"/>
        <color rgb="FFFF0000"/>
        <rFont val="Arial"/>
        <family val="2"/>
      </rPr>
      <t>0.05%</t>
    </r>
    <phoneticPr fontId="6" type="noConversion"/>
  </si>
  <si>
    <r>
      <rPr>
        <sz val="11"/>
        <color rgb="FFFF0000"/>
        <rFont val="宋体"/>
        <family val="3"/>
        <charset val="134"/>
      </rPr>
      <t>包含未完成的红线外市政工程时间（如现状三通，开发完成后七通）</t>
    </r>
    <phoneticPr fontId="6"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</si>
  <si>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6" type="noConversion"/>
  </si>
  <si>
    <t>★默认为已完成的土地开发期★</t>
    <phoneticPr fontId="6" type="noConversion"/>
  </si>
  <si>
    <r>
      <rPr>
        <sz val="11"/>
        <color indexed="10"/>
        <rFont val="宋体"/>
        <family val="3"/>
        <charset val="134"/>
      </rPr>
      <t>★</t>
    </r>
    <r>
      <rPr>
        <sz val="11"/>
        <color indexed="10"/>
        <rFont val="楷体_GB2312"/>
        <family val="3"/>
        <charset val="134"/>
      </rPr>
      <t>其他省市请录依据文件名称★：</t>
    </r>
    <phoneticPr fontId="6" type="noConversion"/>
  </si>
  <si>
    <t>★外省请录依据文件名称★：</t>
    <phoneticPr fontId="6" type="noConversion"/>
  </si>
  <si>
    <t>★请录依据文件名称★：</t>
    <phoneticPr fontId="6"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</si>
  <si>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6" type="noConversion"/>
  </si>
  <si>
    <t>2020-3</t>
    <phoneticPr fontId="6" type="noConversion"/>
  </si>
  <si>
    <t>2020-4</t>
    <phoneticPr fontId="6" type="noConversion"/>
  </si>
  <si>
    <t>LPR</t>
  </si>
  <si>
    <t>利息：取LPR</t>
  </si>
  <si>
    <t>2021-1</t>
    <phoneticPr fontId="6" type="noConversion"/>
  </si>
  <si>
    <t>2021-2</t>
    <phoneticPr fontId="6" type="noConversion"/>
  </si>
  <si>
    <t>2021-3</t>
    <phoneticPr fontId="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</si>
  <si>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</si>
  <si>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b/>
        <sz val="10"/>
        <rFont val="宋体"/>
        <family val="3"/>
        <charset val="134"/>
      </rPr>
      <t>总价</t>
    </r>
    <phoneticPr fontId="6" type="noConversion"/>
  </si>
  <si>
    <r>
      <rPr>
        <sz val="10"/>
        <rFont val="宋体"/>
        <family val="3"/>
        <charset val="134"/>
      </rPr>
      <t>万元</t>
    </r>
    <phoneticPr fontId="6" type="noConversion"/>
  </si>
  <si>
    <r>
      <rPr>
        <b/>
        <sz val="10"/>
        <rFont val="宋体"/>
        <family val="3"/>
        <charset val="134"/>
      </rPr>
      <t>面积指标</t>
    </r>
    <phoneticPr fontId="6" type="noConversion"/>
  </si>
  <si>
    <r>
      <rPr>
        <b/>
        <sz val="10"/>
        <rFont val="宋体"/>
        <family val="3"/>
        <charset val="134"/>
      </rPr>
      <t>分类</t>
    </r>
    <r>
      <rPr>
        <b/>
        <sz val="10"/>
        <rFont val="Arial"/>
        <family val="2"/>
      </rPr>
      <t>1</t>
    </r>
    <phoneticPr fontId="6"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</si>
  <si>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</si>
  <si>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</si>
  <si>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</si>
  <si>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</si>
  <si>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6" type="noConversion"/>
  </si>
  <si>
    <r>
      <rPr>
        <b/>
        <sz val="10"/>
        <rFont val="宋体"/>
        <family val="3"/>
        <charset val="134"/>
      </rPr>
      <t>合计</t>
    </r>
    <phoneticPr fontId="6" type="noConversion"/>
  </si>
  <si>
    <r>
      <rPr>
        <b/>
        <sz val="10"/>
        <rFont val="宋体"/>
        <family val="3"/>
        <charset val="134"/>
      </rPr>
      <t>楼面单价</t>
    </r>
    <phoneticPr fontId="6"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</si>
  <si>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</si>
  <si>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rFont val="宋体"/>
        <family val="3"/>
        <charset val="134"/>
      </rPr>
      <t>建筑面积</t>
    </r>
    <phoneticPr fontId="6" type="noConversion"/>
  </si>
  <si>
    <t>建筑面积</t>
    <phoneticPr fontId="6" type="noConversion"/>
  </si>
  <si>
    <r>
      <rPr>
        <b/>
        <sz val="10"/>
        <rFont val="宋体"/>
        <family val="3"/>
        <charset val="134"/>
      </rPr>
      <t>土地面积</t>
    </r>
    <phoneticPr fontId="6" type="noConversion"/>
  </si>
  <si>
    <t>土地面积</t>
    <phoneticPr fontId="6" type="noConversion"/>
  </si>
  <si>
    <r>
      <rPr>
        <b/>
        <sz val="10"/>
        <color indexed="8"/>
        <rFont val="宋体"/>
        <family val="3"/>
        <charset val="134"/>
      </rPr>
      <t>（一）年总收入</t>
    </r>
    <phoneticPr fontId="6" type="noConversion"/>
  </si>
  <si>
    <r>
      <rPr>
        <sz val="10"/>
        <rFont val="宋体"/>
        <family val="3"/>
        <charset val="134"/>
      </rPr>
      <t>折算至建筑平米收益</t>
    </r>
    <phoneticPr fontId="6" type="noConversion"/>
  </si>
  <si>
    <r>
      <rPr>
        <b/>
        <sz val="10"/>
        <color indexed="8"/>
        <rFont val="宋体"/>
        <family val="3"/>
        <charset val="134"/>
      </rPr>
      <t>（一）第一年年经营收入</t>
    </r>
    <phoneticPr fontId="6" type="noConversion"/>
  </si>
  <si>
    <r>
      <rPr>
        <b/>
        <sz val="10"/>
        <rFont val="宋体"/>
        <family val="3"/>
        <charset val="134"/>
      </rPr>
      <t>客房</t>
    </r>
    <phoneticPr fontId="6" type="noConversion"/>
  </si>
  <si>
    <r>
      <rPr>
        <sz val="10"/>
        <rFont val="宋体"/>
        <family val="3"/>
        <charset val="134"/>
      </rPr>
      <t>房型</t>
    </r>
    <phoneticPr fontId="6" type="noConversion"/>
  </si>
  <si>
    <r>
      <rPr>
        <sz val="10"/>
        <rFont val="宋体"/>
        <family val="3"/>
        <charset val="134"/>
      </rPr>
      <t>间数</t>
    </r>
    <phoneticPr fontId="6" type="noConversion"/>
  </si>
  <si>
    <r>
      <rPr>
        <sz val="10"/>
        <rFont val="宋体"/>
        <family val="3"/>
        <charset val="134"/>
      </rPr>
      <t>收费标准</t>
    </r>
    <phoneticPr fontId="6" type="noConversion"/>
  </si>
  <si>
    <r>
      <rPr>
        <sz val="10"/>
        <rFont val="宋体"/>
        <family val="3"/>
        <charset val="134"/>
      </rPr>
      <t>折扣率</t>
    </r>
    <phoneticPr fontId="6" type="noConversion"/>
  </si>
  <si>
    <r>
      <rPr>
        <sz val="10"/>
        <rFont val="宋体"/>
        <family val="3"/>
        <charset val="134"/>
      </rPr>
      <t>出租率</t>
    </r>
    <phoneticPr fontId="6" type="noConversion"/>
  </si>
  <si>
    <r>
      <rPr>
        <sz val="10"/>
        <rFont val="宋体"/>
        <family val="3"/>
        <charset val="134"/>
      </rPr>
      <t>天数</t>
    </r>
    <phoneticPr fontId="6" type="noConversion"/>
  </si>
  <si>
    <r>
      <rPr>
        <sz val="10"/>
        <rFont val="宋体"/>
        <family val="3"/>
        <charset val="134"/>
      </rPr>
      <t>年收入</t>
    </r>
    <phoneticPr fontId="6" type="noConversion"/>
  </si>
  <si>
    <r>
      <rPr>
        <sz val="10"/>
        <rFont val="宋体"/>
        <family val="3"/>
        <charset val="134"/>
      </rPr>
      <t>对比</t>
    </r>
    <phoneticPr fontId="6" type="noConversion"/>
  </si>
  <si>
    <r>
      <rPr>
        <b/>
        <sz val="10"/>
        <rFont val="宋体"/>
        <family val="3"/>
        <charset val="134"/>
      </rPr>
      <t>（二）年经营费用</t>
    </r>
    <phoneticPr fontId="6" type="noConversion"/>
  </si>
  <si>
    <r>
      <rPr>
        <sz val="10"/>
        <rFont val="宋体"/>
        <family val="3"/>
        <charset val="134"/>
      </rPr>
      <t>总统套房</t>
    </r>
    <phoneticPr fontId="6" type="noConversion"/>
  </si>
  <si>
    <r>
      <rPr>
        <sz val="10"/>
        <rFont val="宋体"/>
        <family val="3"/>
        <charset val="134"/>
      </rPr>
      <t>周边办公租金</t>
    </r>
    <phoneticPr fontId="6" type="noConversion"/>
  </si>
  <si>
    <r>
      <rPr>
        <b/>
        <sz val="10"/>
        <rFont val="宋体"/>
        <family val="3"/>
        <charset val="134"/>
      </rPr>
      <t>序号</t>
    </r>
    <phoneticPr fontId="6" type="noConversion"/>
  </si>
  <si>
    <r>
      <rPr>
        <b/>
        <sz val="10"/>
        <rFont val="宋体"/>
        <family val="3"/>
        <charset val="134"/>
      </rPr>
      <t>项目名称</t>
    </r>
    <phoneticPr fontId="6" type="noConversion"/>
  </si>
  <si>
    <r>
      <rPr>
        <b/>
        <sz val="10"/>
        <rFont val="宋体"/>
        <family val="3"/>
        <charset val="134"/>
      </rPr>
      <t>总额</t>
    </r>
    <phoneticPr fontId="6" type="noConversion"/>
  </si>
  <si>
    <r>
      <rPr>
        <b/>
        <sz val="10"/>
        <rFont val="宋体"/>
        <family val="3"/>
        <charset val="134"/>
      </rPr>
      <t>相关系数</t>
    </r>
    <phoneticPr fontId="6" type="noConversion"/>
  </si>
  <si>
    <r>
      <rPr>
        <b/>
        <sz val="10"/>
        <rFont val="宋体"/>
        <family val="3"/>
        <charset val="134"/>
      </rPr>
      <t>备注</t>
    </r>
    <phoneticPr fontId="6" type="noConversion"/>
  </si>
  <si>
    <r>
      <rPr>
        <sz val="10"/>
        <rFont val="宋体"/>
        <family val="3"/>
        <charset val="134"/>
      </rPr>
      <t>行政套房</t>
    </r>
    <phoneticPr fontId="6" type="noConversion"/>
  </si>
  <si>
    <r>
      <rPr>
        <sz val="10"/>
        <rFont val="宋体"/>
        <family val="3"/>
        <charset val="134"/>
      </rPr>
      <t>周边商业租金</t>
    </r>
    <phoneticPr fontId="6" type="noConversion"/>
  </si>
  <si>
    <r>
      <rPr>
        <b/>
        <sz val="10"/>
        <rFont val="宋体"/>
        <family val="3"/>
        <charset val="134"/>
      </rPr>
      <t>经营成本</t>
    </r>
    <phoneticPr fontId="6" type="noConversion"/>
  </si>
  <si>
    <r>
      <rPr>
        <b/>
        <sz val="10"/>
        <rFont val="宋体"/>
        <family val="3"/>
        <charset val="134"/>
      </rPr>
      <t>耗用物品以及原材料等，以年总收入为基数计算</t>
    </r>
    <phoneticPr fontId="6" type="noConversion"/>
  </si>
  <si>
    <r>
      <rPr>
        <sz val="10"/>
        <rFont val="宋体"/>
        <family val="3"/>
        <charset val="134"/>
      </rPr>
      <t>沙龙套房</t>
    </r>
    <phoneticPr fontId="6" type="noConversion"/>
  </si>
  <si>
    <r>
      <rPr>
        <b/>
        <sz val="10"/>
        <rFont val="宋体"/>
        <family val="3"/>
        <charset val="134"/>
      </rPr>
      <t>经营费用</t>
    </r>
    <phoneticPr fontId="6" type="noConversion"/>
  </si>
  <si>
    <r>
      <rPr>
        <b/>
        <sz val="10"/>
        <rFont val="宋体"/>
        <family val="3"/>
        <charset val="134"/>
      </rPr>
      <t>工资、水电费、保险费、宣传费、差旅费、装修折旧等，以年总收入为基数计算</t>
    </r>
    <phoneticPr fontId="6" type="noConversion"/>
  </si>
  <si>
    <r>
      <rPr>
        <sz val="10"/>
        <rFont val="宋体"/>
        <family val="3"/>
        <charset val="134"/>
      </rPr>
      <t>标准房</t>
    </r>
    <phoneticPr fontId="6" type="noConversion"/>
  </si>
  <si>
    <r>
      <rPr>
        <b/>
        <sz val="10"/>
        <rFont val="宋体"/>
        <family val="3"/>
        <charset val="134"/>
      </rPr>
      <t>税费</t>
    </r>
    <phoneticPr fontId="6" type="noConversion"/>
  </si>
  <si>
    <r>
      <rPr>
        <sz val="10"/>
        <rFont val="宋体"/>
        <family val="3"/>
        <charset val="134"/>
      </rPr>
      <t>单间公寓</t>
    </r>
    <phoneticPr fontId="6" type="noConversion"/>
  </si>
  <si>
    <r>
      <rPr>
        <sz val="10"/>
        <rFont val="宋体"/>
        <family val="3"/>
        <charset val="134"/>
      </rPr>
      <t>（</t>
    </r>
    <r>
      <rPr>
        <sz val="10"/>
        <rFont val="Arial"/>
        <family val="2"/>
      </rPr>
      <t>1</t>
    </r>
    <r>
      <rPr>
        <sz val="10"/>
        <rFont val="宋体"/>
        <family val="3"/>
        <charset val="134"/>
      </rPr>
      <t>）</t>
    </r>
    <phoneticPr fontId="6" type="noConversion"/>
  </si>
  <si>
    <r>
      <rPr>
        <sz val="10"/>
        <rFont val="宋体"/>
        <family val="3"/>
        <charset val="134"/>
      </rPr>
      <t>房产税</t>
    </r>
    <phoneticPr fontId="6"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</si>
  <si>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6" type="noConversion"/>
  </si>
  <si>
    <r>
      <rPr>
        <sz val="10"/>
        <rFont val="宋体"/>
        <family val="3"/>
        <charset val="134"/>
      </rPr>
      <t>单房公寓</t>
    </r>
    <phoneticPr fontId="6" type="noConversion"/>
  </si>
  <si>
    <t>房屋原值（万元）</t>
    <phoneticPr fontId="6" type="noConversion"/>
  </si>
  <si>
    <r>
      <rPr>
        <sz val="10"/>
        <rFont val="宋体"/>
        <family val="3"/>
        <charset val="134"/>
      </rPr>
      <t>双房公寓</t>
    </r>
    <phoneticPr fontId="6" type="noConversion"/>
  </si>
  <si>
    <r>
      <rPr>
        <sz val="10"/>
        <rFont val="宋体"/>
        <family val="3"/>
        <charset val="134"/>
      </rPr>
      <t>（</t>
    </r>
    <r>
      <rPr>
        <sz val="10"/>
        <rFont val="Arial"/>
        <family val="2"/>
      </rPr>
      <t>2</t>
    </r>
    <r>
      <rPr>
        <sz val="10"/>
        <rFont val="宋体"/>
        <family val="3"/>
        <charset val="134"/>
      </rPr>
      <t>）</t>
    </r>
    <phoneticPr fontId="6" type="noConversion"/>
  </si>
  <si>
    <r>
      <rPr>
        <sz val="10"/>
        <rFont val="宋体"/>
        <family val="3"/>
        <charset val="134"/>
      </rPr>
      <t>城镇土地使用税</t>
    </r>
    <phoneticPr fontId="6" type="noConversion"/>
  </si>
  <si>
    <r>
      <rPr>
        <b/>
        <sz val="10"/>
        <rFont val="宋体"/>
        <family val="3"/>
        <charset val="134"/>
      </rPr>
      <t>土地面积</t>
    </r>
    <r>
      <rPr>
        <b/>
        <sz val="10"/>
        <rFont val="Arial"/>
        <family val="2"/>
      </rPr>
      <t>×</t>
    </r>
    <r>
      <rPr>
        <b/>
        <sz val="10"/>
        <rFont val="宋体"/>
        <family val="3"/>
        <charset val="134"/>
      </rPr>
      <t>标准</t>
    </r>
    <phoneticPr fontId="6" type="noConversion"/>
  </si>
  <si>
    <r>
      <rPr>
        <b/>
        <sz val="10"/>
        <rFont val="宋体"/>
        <family val="3"/>
        <charset val="134"/>
      </rPr>
      <t>小计</t>
    </r>
    <phoneticPr fontId="6" type="noConversion"/>
  </si>
  <si>
    <r>
      <rPr>
        <sz val="10"/>
        <rFont val="宋体"/>
        <family val="3"/>
        <charset val="134"/>
      </rPr>
      <t>（</t>
    </r>
    <r>
      <rPr>
        <sz val="10"/>
        <rFont val="Arial"/>
        <family val="2"/>
      </rPr>
      <t>3</t>
    </r>
    <r>
      <rPr>
        <sz val="10"/>
        <rFont val="宋体"/>
        <family val="3"/>
        <charset val="134"/>
      </rPr>
      <t>）</t>
    </r>
    <phoneticPr fontId="6" type="noConversion"/>
  </si>
  <si>
    <r>
      <rPr>
        <sz val="10"/>
        <rFont val="宋体"/>
        <family val="3"/>
        <charset val="134"/>
      </rPr>
      <t>营业及附加</t>
    </r>
    <phoneticPr fontId="6" type="noConversion"/>
  </si>
  <si>
    <r>
      <rPr>
        <b/>
        <sz val="10"/>
        <rFont val="宋体"/>
        <family val="3"/>
        <charset val="134"/>
      </rPr>
      <t>年总收入</t>
    </r>
    <r>
      <rPr>
        <b/>
        <sz val="10"/>
        <rFont val="Arial"/>
        <family val="2"/>
      </rPr>
      <t>×</t>
    </r>
    <r>
      <rPr>
        <b/>
        <sz val="10"/>
        <rFont val="宋体"/>
        <family val="3"/>
        <charset val="134"/>
      </rPr>
      <t>费率</t>
    </r>
    <phoneticPr fontId="6" type="noConversion"/>
  </si>
  <si>
    <r>
      <rPr>
        <b/>
        <sz val="10"/>
        <rFont val="宋体"/>
        <family val="3"/>
        <charset val="134"/>
      </rPr>
      <t>餐厅</t>
    </r>
    <phoneticPr fontId="6" type="noConversion"/>
  </si>
  <si>
    <r>
      <rPr>
        <sz val="10"/>
        <rFont val="宋体"/>
        <family val="3"/>
        <charset val="134"/>
      </rPr>
      <t>餐厅</t>
    </r>
    <phoneticPr fontId="6" type="noConversion"/>
  </si>
  <si>
    <r>
      <rPr>
        <sz val="10"/>
        <color indexed="8"/>
        <rFont val="宋体"/>
        <family val="3"/>
        <charset val="134"/>
      </rPr>
      <t>人均消费</t>
    </r>
    <phoneticPr fontId="6" type="noConversion"/>
  </si>
  <si>
    <r>
      <rPr>
        <sz val="10"/>
        <color indexed="8"/>
        <rFont val="宋体"/>
        <family val="3"/>
        <charset val="134"/>
      </rPr>
      <t>座位数</t>
    </r>
    <phoneticPr fontId="6" type="noConversion"/>
  </si>
  <si>
    <r>
      <rPr>
        <sz val="10"/>
        <rFont val="宋体"/>
        <family val="3"/>
        <charset val="134"/>
      </rPr>
      <t>上座率</t>
    </r>
    <phoneticPr fontId="6" type="noConversion"/>
  </si>
  <si>
    <t>——</t>
    <phoneticPr fontId="6" type="noConversion"/>
  </si>
  <si>
    <r>
      <rPr>
        <sz val="10"/>
        <rFont val="宋体"/>
        <family val="3"/>
        <charset val="134"/>
      </rPr>
      <t>（</t>
    </r>
    <r>
      <rPr>
        <sz val="10"/>
        <rFont val="Arial"/>
        <family val="2"/>
      </rPr>
      <t>4</t>
    </r>
    <r>
      <rPr>
        <sz val="10"/>
        <rFont val="宋体"/>
        <family val="3"/>
        <charset val="134"/>
      </rPr>
      <t>）</t>
    </r>
    <phoneticPr fontId="6" type="noConversion"/>
  </si>
  <si>
    <r>
      <rPr>
        <sz val="10"/>
        <rFont val="宋体"/>
        <family val="3"/>
        <charset val="134"/>
      </rPr>
      <t>其他税费</t>
    </r>
    <phoneticPr fontId="6" type="noConversion"/>
  </si>
  <si>
    <r>
      <rPr>
        <b/>
        <sz val="10"/>
        <rFont val="宋体"/>
        <family val="3"/>
        <charset val="134"/>
      </rPr>
      <t>按当地政策需要缴纳的税费、特殊行业需要缴纳的税费</t>
    </r>
    <phoneticPr fontId="6" type="noConversion"/>
  </si>
  <si>
    <r>
      <rPr>
        <sz val="10"/>
        <rFont val="宋体"/>
        <family val="3"/>
        <charset val="134"/>
      </rPr>
      <t>中餐厅</t>
    </r>
    <phoneticPr fontId="6" type="noConversion"/>
  </si>
  <si>
    <r>
      <rPr>
        <b/>
        <sz val="10"/>
        <rFont val="宋体"/>
        <family val="3"/>
        <charset val="134"/>
      </rPr>
      <t>管理以及财务费用</t>
    </r>
    <phoneticPr fontId="6" type="noConversion"/>
  </si>
  <si>
    <r>
      <rPr>
        <b/>
        <sz val="10"/>
        <rFont val="宋体"/>
        <family val="3"/>
        <charset val="134"/>
      </rPr>
      <t>公司经费、审计费、咨询费、修理费、银行手续费等，以年总收入为基数计算</t>
    </r>
    <phoneticPr fontId="6" type="noConversion"/>
  </si>
  <si>
    <r>
      <rPr>
        <sz val="10"/>
        <rFont val="宋体"/>
        <family val="3"/>
        <charset val="134"/>
      </rPr>
      <t>西餐厅</t>
    </r>
    <phoneticPr fontId="6" type="noConversion"/>
  </si>
  <si>
    <r>
      <rPr>
        <b/>
        <sz val="10"/>
        <rFont val="宋体"/>
        <family val="3"/>
        <charset val="134"/>
      </rPr>
      <t>（三）行业利润</t>
    </r>
    <phoneticPr fontId="6" type="noConversion"/>
  </si>
  <si>
    <r>
      <rPr>
        <b/>
        <sz val="10"/>
        <rFont val="宋体"/>
        <family val="3"/>
        <charset val="134"/>
      </rPr>
      <t>应归属于商服经营者的利润，以年总收入为基数计算</t>
    </r>
    <phoneticPr fontId="6" type="noConversion"/>
  </si>
  <si>
    <r>
      <rPr>
        <sz val="10"/>
        <rFont val="宋体"/>
        <family val="3"/>
        <charset val="134"/>
      </rPr>
      <t>其他</t>
    </r>
    <phoneticPr fontId="6" type="noConversion"/>
  </si>
  <si>
    <r>
      <rPr>
        <b/>
        <sz val="10"/>
        <rFont val="宋体"/>
        <family val="3"/>
        <charset val="134"/>
      </rPr>
      <t>（四）房地产价值</t>
    </r>
    <phoneticPr fontId="6" type="noConversion"/>
  </si>
  <si>
    <r>
      <rPr>
        <b/>
        <sz val="10"/>
        <rFont val="宋体"/>
        <family val="3"/>
        <charset val="134"/>
      </rPr>
      <t>会议中心</t>
    </r>
    <phoneticPr fontId="6" type="noConversion"/>
  </si>
  <si>
    <r>
      <rPr>
        <sz val="10"/>
        <rFont val="宋体"/>
        <family val="3"/>
        <charset val="134"/>
      </rPr>
      <t>会议室</t>
    </r>
    <phoneticPr fontId="6" type="noConversion"/>
  </si>
  <si>
    <r>
      <rPr>
        <sz val="10"/>
        <color indexed="8"/>
        <rFont val="宋体"/>
        <family val="3"/>
        <charset val="134"/>
      </rPr>
      <t>间数</t>
    </r>
    <phoneticPr fontId="6"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</si>
  <si>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6" type="noConversion"/>
  </si>
  <si>
    <r>
      <rPr>
        <sz val="10"/>
        <rFont val="宋体"/>
        <family val="3"/>
        <charset val="134"/>
      </rPr>
      <t>平均使用率</t>
    </r>
    <phoneticPr fontId="6" type="noConversion"/>
  </si>
  <si>
    <r>
      <rPr>
        <sz val="10"/>
        <rFont val="宋体"/>
        <family val="3"/>
        <charset val="134"/>
      </rPr>
      <t>天数</t>
    </r>
    <phoneticPr fontId="6" type="noConversion"/>
  </si>
  <si>
    <t>——</t>
    <phoneticPr fontId="6" type="noConversion"/>
  </si>
  <si>
    <r>
      <rPr>
        <sz val="10"/>
        <rFont val="宋体"/>
        <family val="3"/>
        <charset val="134"/>
      </rPr>
      <t>年收入</t>
    </r>
    <phoneticPr fontId="6" type="noConversion"/>
  </si>
  <si>
    <r>
      <rPr>
        <b/>
        <sz val="10"/>
        <rFont val="宋体"/>
        <family val="3"/>
        <charset val="134"/>
      </rPr>
      <t>收益期</t>
    </r>
    <r>
      <rPr>
        <b/>
        <sz val="10"/>
        <rFont val="Arial"/>
        <family val="2"/>
      </rPr>
      <t>1</t>
    </r>
    <phoneticPr fontId="6" type="noConversion"/>
  </si>
  <si>
    <r>
      <rPr>
        <b/>
        <sz val="10"/>
        <rFont val="宋体"/>
        <family val="3"/>
        <charset val="134"/>
      </rPr>
      <t>收益期</t>
    </r>
    <r>
      <rPr>
        <b/>
        <sz val="10"/>
        <rFont val="Arial"/>
        <family val="2"/>
      </rPr>
      <t>2</t>
    </r>
    <phoneticPr fontId="6" type="noConversion"/>
  </si>
  <si>
    <r>
      <rPr>
        <b/>
        <sz val="10"/>
        <rFont val="宋体"/>
        <family val="3"/>
        <charset val="134"/>
      </rPr>
      <t>收益期</t>
    </r>
    <r>
      <rPr>
        <b/>
        <sz val="10"/>
        <rFont val="Arial"/>
        <family val="2"/>
      </rPr>
      <t>3</t>
    </r>
    <phoneticPr fontId="6" type="noConversion"/>
  </si>
  <si>
    <r>
      <rPr>
        <sz val="10"/>
        <rFont val="宋体"/>
        <family val="3"/>
        <charset val="134"/>
      </rPr>
      <t>大</t>
    </r>
    <phoneticPr fontId="6" type="noConversion"/>
  </si>
  <si>
    <r>
      <rPr>
        <b/>
        <sz val="10"/>
        <color indexed="53"/>
        <rFont val="宋体"/>
        <family val="3"/>
        <charset val="134"/>
      </rPr>
      <t>起步期</t>
    </r>
    <phoneticPr fontId="6" type="noConversion"/>
  </si>
  <si>
    <r>
      <rPr>
        <b/>
        <sz val="10"/>
        <color indexed="53"/>
        <rFont val="宋体"/>
        <family val="3"/>
        <charset val="134"/>
      </rPr>
      <t>发展期</t>
    </r>
    <phoneticPr fontId="6" type="noConversion"/>
  </si>
  <si>
    <r>
      <rPr>
        <b/>
        <sz val="10"/>
        <color indexed="53"/>
        <rFont val="宋体"/>
        <family val="3"/>
        <charset val="134"/>
      </rPr>
      <t>稳定期</t>
    </r>
    <phoneticPr fontId="6" type="noConversion"/>
  </si>
  <si>
    <r>
      <rPr>
        <sz val="10"/>
        <rFont val="宋体"/>
        <family val="3"/>
        <charset val="134"/>
      </rPr>
      <t>中</t>
    </r>
    <phoneticPr fontId="6" type="noConversion"/>
  </si>
  <si>
    <r>
      <rPr>
        <sz val="10"/>
        <rFont val="宋体"/>
        <family val="3"/>
        <charset val="134"/>
      </rPr>
      <t>年总收入</t>
    </r>
    <phoneticPr fontId="6" type="noConversion"/>
  </si>
  <si>
    <r>
      <rPr>
        <sz val="10"/>
        <rFont val="宋体"/>
        <family val="3"/>
        <charset val="134"/>
      </rPr>
      <t>小</t>
    </r>
    <phoneticPr fontId="6" type="noConversion"/>
  </si>
  <si>
    <r>
      <rPr>
        <sz val="10"/>
        <rFont val="宋体"/>
        <family val="3"/>
        <charset val="134"/>
      </rPr>
      <t>涨幅</t>
    </r>
    <phoneticPr fontId="6" type="noConversion"/>
  </si>
  <si>
    <r>
      <rPr>
        <b/>
        <sz val="10"/>
        <rFont val="宋体"/>
        <family val="3"/>
        <charset val="134"/>
      </rPr>
      <t>其他收入</t>
    </r>
    <phoneticPr fontId="6" type="noConversion"/>
  </si>
  <si>
    <r>
      <rPr>
        <sz val="10"/>
        <rFont val="宋体"/>
        <family val="3"/>
        <charset val="134"/>
      </rPr>
      <t>年经营费用</t>
    </r>
    <phoneticPr fontId="6" type="noConversion"/>
  </si>
  <si>
    <r>
      <rPr>
        <b/>
        <sz val="10"/>
        <color indexed="8"/>
        <rFont val="宋体"/>
        <family val="3"/>
        <charset val="134"/>
      </rPr>
      <t>出租部分</t>
    </r>
    <phoneticPr fontId="6" type="noConversion"/>
  </si>
  <si>
    <r>
      <rPr>
        <sz val="10"/>
        <color indexed="8"/>
        <rFont val="宋体"/>
        <family val="3"/>
        <charset val="134"/>
      </rPr>
      <t>建筑面积</t>
    </r>
    <phoneticPr fontId="6" type="noConversion"/>
  </si>
  <si>
    <r>
      <rPr>
        <sz val="10"/>
        <color indexed="8"/>
        <rFont val="宋体"/>
        <family val="3"/>
        <charset val="134"/>
      </rPr>
      <t>日租金</t>
    </r>
    <phoneticPr fontId="6" type="noConversion"/>
  </si>
  <si>
    <r>
      <rPr>
        <sz val="10"/>
        <color indexed="8"/>
        <rFont val="宋体"/>
        <family val="3"/>
        <charset val="134"/>
      </rPr>
      <t>天数</t>
    </r>
    <phoneticPr fontId="6" type="noConversion"/>
  </si>
  <si>
    <r>
      <rPr>
        <sz val="10"/>
        <color indexed="8"/>
        <rFont val="宋体"/>
        <family val="3"/>
        <charset val="134"/>
      </rPr>
      <t>空置率</t>
    </r>
    <phoneticPr fontId="6" type="noConversion"/>
  </si>
  <si>
    <r>
      <rPr>
        <sz val="10"/>
        <rFont val="宋体"/>
        <family val="3"/>
        <charset val="134"/>
      </rPr>
      <t>占比</t>
    </r>
    <phoneticPr fontId="6" type="noConversion"/>
  </si>
  <si>
    <t xml:space="preserve"> </t>
    <phoneticPr fontId="6" type="noConversion"/>
  </si>
  <si>
    <t>押金利息收入</t>
    <phoneticPr fontId="6" type="noConversion"/>
  </si>
  <si>
    <t>押金</t>
    <phoneticPr fontId="6" type="noConversion"/>
  </si>
  <si>
    <t>押金方式</t>
    <phoneticPr fontId="6" type="noConversion"/>
  </si>
  <si>
    <t>利息</t>
    <phoneticPr fontId="6" type="noConversion"/>
  </si>
  <si>
    <r>
      <rPr>
        <sz val="10"/>
        <rFont val="宋体"/>
        <family val="3"/>
        <charset val="134"/>
      </rPr>
      <t>行业利润</t>
    </r>
    <phoneticPr fontId="6"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</si>
  <si>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</si>
  <si>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sz val="10"/>
        <rFont val="宋体"/>
        <family val="3"/>
        <charset val="134"/>
      </rPr>
      <t>年净收益</t>
    </r>
    <phoneticPr fontId="6" type="noConversion"/>
  </si>
  <si>
    <r>
      <rPr>
        <sz val="10"/>
        <rFont val="宋体"/>
        <family val="3"/>
        <charset val="134"/>
      </rPr>
      <t>报酬率</t>
    </r>
    <phoneticPr fontId="6" type="noConversion"/>
  </si>
  <si>
    <r>
      <rPr>
        <sz val="10"/>
        <rFont val="宋体"/>
        <family val="3"/>
        <charset val="134"/>
      </rPr>
      <t>年增长率</t>
    </r>
    <phoneticPr fontId="6" type="noConversion"/>
  </si>
  <si>
    <r>
      <rPr>
        <sz val="10"/>
        <rFont val="宋体"/>
        <family val="3"/>
        <charset val="134"/>
      </rPr>
      <t>收益年期</t>
    </r>
    <phoneticPr fontId="6" type="noConversion"/>
  </si>
  <si>
    <r>
      <rPr>
        <b/>
        <sz val="10"/>
        <rFont val="宋体"/>
        <family val="3"/>
        <charset val="134"/>
      </rPr>
      <t>主营业务收入</t>
    </r>
    <phoneticPr fontId="6" type="noConversion"/>
  </si>
  <si>
    <r>
      <rPr>
        <sz val="10"/>
        <rFont val="宋体"/>
        <family val="3"/>
        <charset val="134"/>
      </rPr>
      <t>折现值</t>
    </r>
    <phoneticPr fontId="6" type="noConversion"/>
  </si>
  <si>
    <r>
      <rPr>
        <sz val="10"/>
        <rFont val="宋体"/>
        <family val="3"/>
        <charset val="134"/>
      </rPr>
      <t>房地产总价</t>
    </r>
    <phoneticPr fontId="6" type="noConversion"/>
  </si>
  <si>
    <r>
      <rPr>
        <sz val="10"/>
        <rFont val="宋体"/>
        <family val="3"/>
        <charset val="134"/>
      </rPr>
      <t>楼面单价</t>
    </r>
    <phoneticPr fontId="6" type="noConversion"/>
  </si>
  <si>
    <t>收益法-酒店模型</t>
    <phoneticPr fontId="19" type="noConversion"/>
  </si>
  <si>
    <t>按明细</t>
  </si>
  <si>
    <r>
      <rPr>
        <b/>
        <sz val="16"/>
        <color indexed="10"/>
        <rFont val="宋体"/>
        <family val="3"/>
        <charset val="134"/>
      </rPr>
      <t>收益法</t>
    </r>
    <r>
      <rPr>
        <b/>
        <sz val="12"/>
        <rFont val="宋体"/>
        <family val="3"/>
        <charset val="134"/>
      </rPr>
      <t>（酒店模型）</t>
    </r>
    <phoneticPr fontId="6" type="noConversion"/>
  </si>
  <si>
    <t>2021-4</t>
    <phoneticPr fontId="6" type="noConversion"/>
  </si>
  <si>
    <t>宁小鳗</t>
    <phoneticPr fontId="85" type="noConversion"/>
  </si>
  <si>
    <t>2022A-022</t>
    <phoneticPr fontId="6"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</si>
  <si>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</si>
  <si>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</si>
  <si>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</si>
  <si>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</si>
  <si>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</si>
  <si>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</si>
  <si>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</si>
  <si>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</si>
  <si>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</si>
  <si>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</si>
  <si>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</si>
  <si>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</si>
  <si>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</si>
  <si>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</si>
  <si>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</si>
  <si>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</si>
  <si>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</si>
  <si>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</si>
  <si>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</si>
  <si>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</si>
  <si>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</si>
  <si>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</si>
  <si>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</si>
  <si>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</si>
  <si>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</si>
  <si>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</si>
  <si>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</si>
  <si>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</si>
  <si>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</si>
  <si>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</si>
  <si>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</si>
  <si>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</si>
  <si>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</si>
  <si>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</si>
  <si>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</si>
  <si>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</si>
  <si>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</si>
  <si>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</si>
  <si>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</si>
  <si>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</si>
  <si>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</si>
  <si>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</si>
  <si>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</si>
  <si>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</si>
  <si>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</si>
  <si>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</si>
  <si>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</si>
  <si>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</si>
  <si>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</si>
  <si>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</si>
  <si>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</si>
  <si>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</si>
  <si>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</si>
  <si>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</si>
  <si>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</si>
  <si>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</si>
  <si>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</si>
  <si>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</si>
  <si>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</si>
  <si>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</si>
  <si>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</si>
  <si>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7"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</si>
  <si>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</si>
  <si>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</si>
  <si>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</si>
  <si>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</si>
  <si>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</si>
  <si>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</si>
  <si>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</si>
  <si>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</si>
  <si>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</si>
  <si>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</si>
  <si>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</si>
  <si>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</si>
  <si>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</si>
  <si>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</si>
  <si>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</si>
  <si>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</si>
  <si>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</si>
  <si>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</si>
  <si>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7" type="noConversion"/>
  </si>
  <si>
    <t>出让年限</t>
    <phoneticPr fontId="250" type="noConversion"/>
  </si>
  <si>
    <t>剩余土地使用年限</t>
    <phoneticPr fontId="250" type="noConversion"/>
  </si>
  <si>
    <t>报酬率</t>
    <phoneticPr fontId="250" type="noConversion"/>
  </si>
  <si>
    <t>年期修正系数</t>
    <phoneticPr fontId="250" type="noConversion"/>
  </si>
  <si>
    <t>地价贡献率（参考下表）</t>
    <phoneticPr fontId="250" type="noConversion"/>
  </si>
  <si>
    <t>房价修正系数</t>
    <phoneticPr fontId="250" type="noConversion"/>
  </si>
  <si>
    <t>估价对象</t>
    <phoneticPr fontId="250" type="noConversion"/>
  </si>
  <si>
    <t>案例A</t>
    <phoneticPr fontId="250" type="noConversion"/>
  </si>
  <si>
    <t>案例B</t>
    <phoneticPr fontId="250" type="noConversion"/>
  </si>
  <si>
    <t>案例C</t>
    <phoneticPr fontId="250" type="noConversion"/>
  </si>
  <si>
    <t>推导公式</t>
    <phoneticPr fontId="250" type="noConversion"/>
  </si>
  <si>
    <t>1.建+50年地价×20年年期修正系数＝20年房价</t>
    <phoneticPr fontId="250" type="noConversion"/>
  </si>
  <si>
    <t>2.建+50年地价＝50年房价</t>
    <phoneticPr fontId="250" type="noConversion"/>
  </si>
  <si>
    <t>1、2步得出</t>
    <phoneticPr fontId="250" type="noConversion"/>
  </si>
  <si>
    <t>3.50年房价－50年地价+50年地价×20年年期修正系数＝20年房价</t>
    <phoneticPr fontId="250" type="noConversion"/>
  </si>
  <si>
    <t>4.20年房价＝50年房价×20年房价修正系数</t>
    <phoneticPr fontId="250" type="noConversion"/>
  </si>
  <si>
    <t>4步代入3步</t>
    <phoneticPr fontId="250" type="noConversion"/>
  </si>
  <si>
    <t>5.50年房价－50年地价+50年地价×20年年期修正系数＝50年房价×20年房价修正系数</t>
    <phoneticPr fontId="250" type="noConversion"/>
  </si>
  <si>
    <t>6.20年房价修正系数＝1-50年地价×（1-20年年期修正系数）÷50年房价</t>
    <phoneticPr fontId="250" type="noConversion"/>
  </si>
  <si>
    <t>7.50年地价＝50年房价×地价贡献率</t>
    <phoneticPr fontId="250" type="noConversion"/>
  </si>
  <si>
    <t>7步代入6步</t>
    <phoneticPr fontId="250" type="noConversion"/>
  </si>
  <si>
    <t>8.20年房价修正系数＝1-50年房价×地价贡献率×（1-20年年期修正系数）÷50年房价＝1-地价贡献率×（1-20年年期修正系数）</t>
    <phoneticPr fontId="250" type="noConversion"/>
  </si>
  <si>
    <t>以北京为例验算</t>
    <phoneticPr fontId="137" type="noConversion"/>
  </si>
  <si>
    <t>用途</t>
    <phoneticPr fontId="137" type="noConversion"/>
  </si>
  <si>
    <t>综合地价贡献率</t>
    <phoneticPr fontId="137" type="noConversion"/>
  </si>
  <si>
    <t>收益法地价房价比</t>
    <phoneticPr fontId="137" type="noConversion"/>
  </si>
  <si>
    <t>地价售价比</t>
    <phoneticPr fontId="137" type="noConversion"/>
  </si>
  <si>
    <t>工业</t>
    <phoneticPr fontId="137" type="noConversion"/>
  </si>
  <si>
    <t>20%-30%</t>
    <phoneticPr fontId="137" type="noConversion"/>
  </si>
  <si>
    <t>20%-30%</t>
    <phoneticPr fontId="137" type="noConversion"/>
  </si>
  <si>
    <t>15%-40%</t>
    <phoneticPr fontId="137" type="noConversion"/>
  </si>
  <si>
    <t>8000地价，20000售价；地价950，售价6500</t>
    <phoneticPr fontId="137" type="noConversion"/>
  </si>
  <si>
    <t>住宅</t>
    <phoneticPr fontId="137" type="noConversion"/>
  </si>
  <si>
    <t>60%-70%</t>
    <phoneticPr fontId="137" type="noConversion"/>
  </si>
  <si>
    <t>65%-75%</t>
    <phoneticPr fontId="137" type="noConversion"/>
  </si>
  <si>
    <t>50%-65%</t>
    <phoneticPr fontId="137" type="noConversion"/>
  </si>
  <si>
    <t>当前北京市基本控制在50%-65%</t>
    <phoneticPr fontId="137" type="noConversion"/>
  </si>
  <si>
    <t>商业/办公</t>
    <phoneticPr fontId="137" type="noConversion"/>
  </si>
  <si>
    <t>50%-60%</t>
    <phoneticPr fontId="137" type="noConversion"/>
  </si>
  <si>
    <t>70%-80%</t>
    <phoneticPr fontId="137" type="noConversion"/>
  </si>
  <si>
    <t>15000地价，30000售价</t>
    <phoneticPr fontId="137" type="noConversion"/>
  </si>
  <si>
    <t>车库/仓储</t>
    <phoneticPr fontId="137" type="noConversion"/>
  </si>
  <si>
    <t>35%-45%</t>
    <phoneticPr fontId="137" type="noConversion"/>
  </si>
  <si>
    <t>四级或五级地，地价2500-3000熟地价，售价5500-8000</t>
    <phoneticPr fontId="137" type="noConversion"/>
  </si>
  <si>
    <t>试算</t>
    <phoneticPr fontId="137" type="noConversion"/>
  </si>
  <si>
    <t>可见随着土地使用年期的减少，影响幅度逐渐增大</t>
    <phoneticPr fontId="137" type="noConversion"/>
  </si>
  <si>
    <t>0~5（含）,5~10（含）</t>
    <phoneticPr fontId="137" type="noConversion"/>
  </si>
  <si>
    <t>区间</t>
    <phoneticPr fontId="137" type="noConversion"/>
  </si>
  <si>
    <t>修正幅度</t>
    <phoneticPr fontId="137" type="noConversion"/>
  </si>
  <si>
    <t>满年期50年，报酬率5%，贡献率60%</t>
    <phoneticPr fontId="137" type="noConversion"/>
  </si>
  <si>
    <t>10~15（含），15~20（含）</t>
    <phoneticPr fontId="137" type="noConversion"/>
  </si>
  <si>
    <t>20~25（含），25~30（含）</t>
    <phoneticPr fontId="137" type="noConversion"/>
  </si>
  <si>
    <t>30~35（含），35~40（含）</t>
    <phoneticPr fontId="137" type="noConversion"/>
  </si>
  <si>
    <t>40~45（含），45~50（含）</t>
    <phoneticPr fontId="137" type="noConversion"/>
  </si>
  <si>
    <t>满年期40年，报酬率5%，贡献率60%</t>
    <phoneticPr fontId="137" type="noConversion"/>
  </si>
  <si>
    <t>满年期70年，报酬率4%，贡献率70%</t>
    <phoneticPr fontId="137" type="noConversion"/>
  </si>
  <si>
    <t>公共服务</t>
    <phoneticPr fontId="9" type="noConversion"/>
  </si>
  <si>
    <t>公共服务</t>
    <phoneticPr fontId="19" type="noConversion"/>
  </si>
  <si>
    <t>公共服务</t>
    <phoneticPr fontId="19" type="noConversion"/>
  </si>
  <si>
    <t>公共服务</t>
    <phoneticPr fontId="9" type="noConversion"/>
  </si>
  <si>
    <t>基础设施建设费（土地开发费）    土地面积单价</t>
    <phoneticPr fontId="137" type="noConversion"/>
  </si>
  <si>
    <t>一至二级</t>
    <phoneticPr fontId="137" type="noConversion"/>
  </si>
  <si>
    <t>三至七级</t>
    <phoneticPr fontId="137" type="noConversion"/>
  </si>
  <si>
    <t>八至九级</t>
    <phoneticPr fontId="137" type="noConversion"/>
  </si>
  <si>
    <t>通路</t>
    <phoneticPr fontId="137" type="noConversion"/>
  </si>
  <si>
    <t>通电</t>
    <phoneticPr fontId="137" type="noConversion"/>
  </si>
  <si>
    <t>通讯</t>
    <phoneticPr fontId="137" type="noConversion"/>
  </si>
  <si>
    <t>通上水</t>
    <phoneticPr fontId="137" type="noConversion"/>
  </si>
  <si>
    <t>通下水</t>
    <phoneticPr fontId="137" type="noConversion"/>
  </si>
  <si>
    <t>通热</t>
    <phoneticPr fontId="137" type="noConversion"/>
  </si>
  <si>
    <t>通燃气</t>
    <phoneticPr fontId="137" type="noConversion"/>
  </si>
  <si>
    <t>平整</t>
    <phoneticPr fontId="137" type="noConversion"/>
  </si>
  <si>
    <t>合计</t>
    <phoneticPr fontId="137" type="noConversion"/>
  </si>
  <si>
    <t>红线外基础设施建设费（北京）</t>
    <phoneticPr fontId="137" type="noConversion"/>
  </si>
  <si>
    <t>土地级别</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</si>
  <si>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</si>
  <si>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</si>
  <si>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</si>
  <si>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</si>
  <si>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</si>
  <si>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</si>
  <si>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</si>
  <si>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</si>
  <si>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</si>
  <si>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</si>
  <si>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</si>
  <si>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</si>
  <si>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商业</t>
    <phoneticPr fontId="6" type="noConversion"/>
  </si>
  <si>
    <t>办公</t>
    <phoneticPr fontId="6" type="noConversion"/>
  </si>
  <si>
    <t>住宅</t>
    <phoneticPr fontId="6" type="noConversion"/>
  </si>
  <si>
    <t>工业</t>
    <phoneticPr fontId="6" type="noConversion"/>
  </si>
  <si>
    <t>M4科研用地</t>
    <phoneticPr fontId="6" type="noConversion"/>
  </si>
  <si>
    <t>公共服务</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</si>
  <si>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</si>
  <si>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</si>
  <si>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</si>
  <si>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</si>
  <si>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</si>
  <si>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</si>
  <si>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</si>
  <si>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</si>
  <si>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</si>
  <si>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级别开发程度</t>
    <phoneticPr fontId="6" type="noConversion"/>
  </si>
  <si>
    <t>北京市基准地价用途修正系数表</t>
    <phoneticPr fontId="6" type="noConversion"/>
  </si>
  <si>
    <t>参照基准</t>
    <phoneticPr fontId="6" type="noConversion"/>
  </si>
  <si>
    <t>一级类</t>
    <phoneticPr fontId="6" type="noConversion"/>
  </si>
  <si>
    <t>二级分类</t>
    <phoneticPr fontId="6" type="noConversion"/>
  </si>
  <si>
    <t>用途修正系数</t>
    <phoneticPr fontId="6" type="noConversion"/>
  </si>
  <si>
    <t>商服</t>
    <phoneticPr fontId="6" type="noConversion"/>
  </si>
  <si>
    <t>办公</t>
    <phoneticPr fontId="6" type="noConversion"/>
  </si>
  <si>
    <t>商务金融用地</t>
    <phoneticPr fontId="6" type="noConversion"/>
  </si>
  <si>
    <t>公共服务</t>
    <phoneticPr fontId="6" type="noConversion"/>
  </si>
  <si>
    <t>特殊</t>
    <phoneticPr fontId="6" type="noConversion"/>
  </si>
  <si>
    <t>城镇住宅用地</t>
    <phoneticPr fontId="6" type="noConversion"/>
  </si>
  <si>
    <t>工矿仓储</t>
    <phoneticPr fontId="6" type="noConversion"/>
  </si>
  <si>
    <t>公共服务</t>
    <phoneticPr fontId="6" type="noConversion"/>
  </si>
  <si>
    <t>M4科研用地</t>
    <phoneticPr fontId="6" type="noConversion"/>
  </si>
  <si>
    <t>交通运输</t>
    <phoneticPr fontId="6" type="noConversion"/>
  </si>
  <si>
    <t>地下</t>
    <phoneticPr fontId="6" type="noConversion"/>
  </si>
  <si>
    <t>地下仓储</t>
    <phoneticPr fontId="6" type="noConversion"/>
  </si>
  <si>
    <t>地下</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</si>
  <si>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</si>
  <si>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</si>
  <si>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</si>
  <si>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</si>
  <si>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</si>
  <si>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</si>
  <si>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</si>
  <si>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</si>
  <si>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</si>
  <si>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不临65条商业街</t>
    <phoneticPr fontId="6" type="noConversion"/>
  </si>
  <si>
    <t>东城区</t>
    <phoneticPr fontId="6" type="noConversion"/>
  </si>
  <si>
    <t>东长安街</t>
    <phoneticPr fontId="6" type="noConversion"/>
  </si>
  <si>
    <t>天安门——东单</t>
    <phoneticPr fontId="6" type="noConversion"/>
  </si>
  <si>
    <t>王府井商业街（王府井大街）</t>
    <phoneticPr fontId="6" type="noConversion"/>
  </si>
  <si>
    <t>东长安街——金鱼胡同</t>
    <phoneticPr fontId="6" type="noConversion"/>
  </si>
  <si>
    <t>前门商业街（前门大街）</t>
    <phoneticPr fontId="6" type="noConversion"/>
  </si>
  <si>
    <t>前门箭楼——珠市口</t>
    <phoneticPr fontId="6" type="noConversion"/>
  </si>
  <si>
    <t>建国门内大街</t>
    <phoneticPr fontId="6" type="noConversion"/>
  </si>
  <si>
    <t>建国门——东单</t>
    <phoneticPr fontId="6" type="noConversion"/>
  </si>
  <si>
    <t>王府井大街</t>
    <phoneticPr fontId="6" type="noConversion"/>
  </si>
  <si>
    <t>金鱼胡同——五四大街</t>
    <phoneticPr fontId="6" type="noConversion"/>
  </si>
  <si>
    <t>东单北大街</t>
    <phoneticPr fontId="6" type="noConversion"/>
  </si>
  <si>
    <t>金鱼胡同——东单路口</t>
    <phoneticPr fontId="6" type="noConversion"/>
  </si>
  <si>
    <t>南锣鼓巷</t>
    <phoneticPr fontId="6" type="noConversion"/>
  </si>
  <si>
    <t>地安门东大街——鼓楼东大街</t>
    <phoneticPr fontId="6" type="noConversion"/>
  </si>
  <si>
    <t>东四南大街</t>
    <phoneticPr fontId="6" type="noConversion"/>
  </si>
  <si>
    <t>东四路口——金鱼胡同</t>
    <phoneticPr fontId="6" type="noConversion"/>
  </si>
  <si>
    <t>簋街（东直门内大街）</t>
    <phoneticPr fontId="6" type="noConversion"/>
  </si>
  <si>
    <t>东直门桥——北新桥</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</si>
  <si>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</si>
  <si>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</si>
  <si>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</si>
  <si>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</si>
  <si>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</si>
  <si>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</si>
  <si>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崇文门外大街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</si>
  <si>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</si>
  <si>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</si>
  <si>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</si>
  <si>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</si>
  <si>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</si>
  <si>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鲜鱼口老字号美食街</t>
    <phoneticPr fontId="6" type="noConversion"/>
  </si>
  <si>
    <t>前门大街——前门东路</t>
    <phoneticPr fontId="6" type="noConversion"/>
  </si>
  <si>
    <t>五道营胡同</t>
    <phoneticPr fontId="6" type="noConversion"/>
  </si>
  <si>
    <t>安定门内大街——雍和宫大街</t>
    <phoneticPr fontId="6" type="noConversion"/>
  </si>
  <si>
    <t>西城区</t>
    <phoneticPr fontId="6" type="noConversion"/>
  </si>
  <si>
    <t>西长安街</t>
    <phoneticPr fontId="6" type="noConversion"/>
  </si>
  <si>
    <t>天安门——西单</t>
    <phoneticPr fontId="6" type="noConversion"/>
  </si>
  <si>
    <t>西单商业街（西单北大街）</t>
    <phoneticPr fontId="6" type="noConversion"/>
  </si>
  <si>
    <t>西单——辟才胡同</t>
    <phoneticPr fontId="6" type="noConversion"/>
  </si>
  <si>
    <t>复兴门内大街</t>
    <phoneticPr fontId="6" type="noConversion"/>
  </si>
  <si>
    <t>西单——复兴门</t>
    <phoneticPr fontId="6" type="noConversion"/>
  </si>
  <si>
    <t>西四大街</t>
    <phoneticPr fontId="6" type="noConversion"/>
  </si>
  <si>
    <t>辟才胡同——平安里</t>
    <phoneticPr fontId="6" type="noConversion"/>
  </si>
  <si>
    <t>大栅栏商业街</t>
    <phoneticPr fontId="6" type="noConversion"/>
  </si>
  <si>
    <t>前门大街——煤市街</t>
    <phoneticPr fontId="6" type="noConversion"/>
  </si>
  <si>
    <t>琉璃厂古文化街（琉璃厂西街、琉璃厂东街）</t>
    <phoneticPr fontId="6" type="noConversion"/>
  </si>
  <si>
    <t>南柳巷——延寿街</t>
    <phoneticPr fontId="6" type="noConversion"/>
  </si>
  <si>
    <t>复兴门外大街</t>
    <phoneticPr fontId="6" type="noConversion"/>
  </si>
  <si>
    <t>复兴门——木樨地</t>
    <phoneticPr fontId="6" type="noConversion"/>
  </si>
  <si>
    <t>新街口大街</t>
    <phoneticPr fontId="6" type="noConversion"/>
  </si>
  <si>
    <t>平安里——积水潭桥</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</si>
  <si>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</si>
  <si>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</si>
  <si>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</si>
  <si>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</si>
  <si>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</si>
  <si>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</si>
  <si>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</si>
  <si>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</si>
  <si>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</si>
  <si>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</si>
  <si>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马连道茶叶街（马连道路）</t>
    <phoneticPr fontId="6" type="noConversion"/>
  </si>
  <si>
    <t>广安门外大街——红莲南路</t>
    <phoneticPr fontId="6" type="noConversion"/>
  </si>
  <si>
    <t>烟袋斜街</t>
    <phoneticPr fontId="6" type="noConversion"/>
  </si>
  <si>
    <t>小石碑胡同——地安门外大街</t>
    <phoneticPr fontId="6" type="noConversion"/>
  </si>
  <si>
    <t>护国寺街</t>
    <phoneticPr fontId="6" type="noConversion"/>
  </si>
  <si>
    <t>新街口南大街——德胜门内大街</t>
    <phoneticPr fontId="6" type="noConversion"/>
  </si>
  <si>
    <t>什刹海茶艺酒吧街</t>
    <phoneticPr fontId="6" type="noConversion"/>
  </si>
  <si>
    <t>地安门西大街——前海北沿</t>
    <phoneticPr fontId="6" type="noConversion"/>
  </si>
  <si>
    <t>朝阳区</t>
    <phoneticPr fontId="6" type="noConversion"/>
  </si>
  <si>
    <t>三里屯路</t>
    <phoneticPr fontId="6" type="noConversion"/>
  </si>
  <si>
    <t>工人体育场北路——三里屯东三街</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</si>
  <si>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</si>
  <si>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</si>
  <si>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</si>
  <si>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</si>
  <si>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朝阳门外大街</t>
    <phoneticPr fontId="6" type="noConversion"/>
  </si>
  <si>
    <t>朝阳门——东大桥</t>
    <phoneticPr fontId="6" type="noConversion"/>
  </si>
  <si>
    <t>十里河家具大道</t>
    <phoneticPr fontId="6" type="noConversion"/>
  </si>
  <si>
    <t>东三环南路——周家庄路</t>
    <phoneticPr fontId="6" type="noConversion"/>
  </si>
  <si>
    <t xml:space="preserve">大羊坊路         </t>
    <phoneticPr fontId="6" type="noConversion"/>
  </si>
  <si>
    <t>十里河桥——小武基路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</si>
  <si>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</si>
  <si>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</si>
  <si>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</si>
  <si>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</si>
  <si>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</si>
  <si>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丹棱街</t>
    <phoneticPr fontId="6" type="noConversion"/>
  </si>
  <si>
    <t>苏州街——中关村大街</t>
    <phoneticPr fontId="6" type="noConversion"/>
  </si>
  <si>
    <t>丰台区</t>
    <phoneticPr fontId="6" type="noConversion"/>
  </si>
  <si>
    <t>丽泽路</t>
    <phoneticPr fontId="6" type="noConversion"/>
  </si>
  <si>
    <t>菜户营桥——丽泽桥</t>
    <phoneticPr fontId="6" type="noConversion"/>
  </si>
  <si>
    <t>方庄商业街（蒲芳路）</t>
    <phoneticPr fontId="6" type="noConversion"/>
  </si>
  <si>
    <t>蒲黄榆路——方庄路</t>
    <phoneticPr fontId="6" type="noConversion"/>
  </si>
  <si>
    <t>石景山区</t>
    <phoneticPr fontId="6" type="noConversion"/>
  </si>
  <si>
    <t>政达路</t>
    <phoneticPr fontId="6" type="noConversion"/>
  </si>
  <si>
    <t>鲁谷大街——银河大街</t>
    <phoneticPr fontId="6" type="noConversion"/>
  </si>
  <si>
    <t>北京台湾街</t>
    <phoneticPr fontId="6" type="noConversion"/>
  </si>
  <si>
    <t>雕塑园中街——鲁谷东街</t>
    <phoneticPr fontId="6" type="noConversion"/>
  </si>
  <si>
    <t>门头沟区</t>
    <phoneticPr fontId="6" type="noConversion"/>
  </si>
  <si>
    <t>新桥大街</t>
    <phoneticPr fontId="6" type="noConversion"/>
  </si>
  <si>
    <t>门头沟路——双峪路</t>
    <phoneticPr fontId="6" type="noConversion"/>
  </si>
  <si>
    <t>金安路</t>
    <phoneticPr fontId="6" type="noConversion"/>
  </si>
  <si>
    <t>西六环——石担路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</si>
  <si>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</si>
  <si>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</si>
  <si>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</si>
  <si>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</si>
  <si>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</si>
  <si>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</si>
  <si>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</si>
  <si>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北苑南路——滨河中路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</si>
  <si>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</si>
  <si>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</si>
  <si>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</si>
  <si>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</si>
  <si>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</si>
  <si>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昌平区</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</si>
  <si>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</si>
  <si>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</si>
  <si>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</si>
  <si>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</si>
  <si>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回龙观西大街</t>
    <phoneticPr fontId="6" type="noConversion"/>
  </si>
  <si>
    <t>京藏高速公路——文华西路</t>
    <phoneticPr fontId="6" type="noConversion"/>
  </si>
  <si>
    <t>大兴区</t>
    <phoneticPr fontId="6" type="noConversion"/>
  </si>
  <si>
    <t>兴华大街</t>
    <phoneticPr fontId="6" type="noConversion"/>
  </si>
  <si>
    <t>乐园路——黄村火车站</t>
    <phoneticPr fontId="6" type="noConversion"/>
  </si>
  <si>
    <t>新源大街</t>
    <phoneticPr fontId="6" type="noConversion"/>
  </si>
  <si>
    <t>天河西路——永旺路</t>
    <phoneticPr fontId="6" type="noConversion"/>
  </si>
  <si>
    <t>怀柔区</t>
    <phoneticPr fontId="6" type="noConversion"/>
  </si>
  <si>
    <t>商业街</t>
    <phoneticPr fontId="6" type="noConversion"/>
  </si>
  <si>
    <t>迎宾路——龙山东路</t>
    <phoneticPr fontId="6" type="noConversion"/>
  </si>
  <si>
    <t>青春路</t>
    <phoneticPr fontId="6" type="noConversion"/>
  </si>
  <si>
    <t>南大街——兴怀大街</t>
    <phoneticPr fontId="6" type="noConversion"/>
  </si>
  <si>
    <t>平谷区</t>
    <phoneticPr fontId="6" type="noConversion"/>
  </si>
  <si>
    <t>步行街</t>
    <phoneticPr fontId="6" type="noConversion"/>
  </si>
  <si>
    <t>文化北街——向阳北街</t>
    <phoneticPr fontId="6" type="noConversion"/>
  </si>
  <si>
    <t>密云县</t>
    <phoneticPr fontId="6" type="noConversion"/>
  </si>
  <si>
    <t>鼓楼东、西大街</t>
    <phoneticPr fontId="6" type="noConversion"/>
  </si>
  <si>
    <t>新中街——南更大街</t>
    <phoneticPr fontId="6" type="noConversion"/>
  </si>
  <si>
    <t>鼓楼南北大街</t>
    <phoneticPr fontId="6" type="noConversion"/>
  </si>
  <si>
    <t>京沈路——康复路</t>
    <phoneticPr fontId="6" type="noConversion"/>
  </si>
  <si>
    <t>延庆县</t>
    <phoneticPr fontId="6" type="noConversion"/>
  </si>
  <si>
    <t>东外大街</t>
    <phoneticPr fontId="6" type="noConversion"/>
  </si>
  <si>
    <t>香苑街——东顺城街</t>
    <phoneticPr fontId="6" type="noConversion"/>
  </si>
  <si>
    <t>——</t>
    <phoneticPr fontId="6" type="noConversion"/>
  </si>
  <si>
    <t>北京市基准地价容积率修正系数表（商业）</t>
    <phoneticPr fontId="6" type="noConversion"/>
  </si>
  <si>
    <t>容积率</t>
    <phoneticPr fontId="6" type="noConversion"/>
  </si>
  <si>
    <t>北京市基准地价容积率修正系数表（办公）</t>
    <phoneticPr fontId="6" type="noConversion"/>
  </si>
  <si>
    <t>北京市基准地价容积率修正系数表（住宅）</t>
    <phoneticPr fontId="6" type="noConversion"/>
  </si>
  <si>
    <t>北京市基准地价容积率修正系数表（工业）</t>
    <phoneticPr fontId="6" type="noConversion"/>
  </si>
  <si>
    <t>北京市基准地价容积率修正系数表（公共服务及M4科研）</t>
    <phoneticPr fontId="6" type="noConversion"/>
  </si>
  <si>
    <t>R</t>
    <phoneticPr fontId="6" type="noConversion"/>
  </si>
  <si>
    <t>1~2级</t>
    <phoneticPr fontId="6" type="noConversion"/>
  </si>
  <si>
    <t>3~7级</t>
    <phoneticPr fontId="6" type="noConversion"/>
  </si>
  <si>
    <t>8~12级</t>
    <phoneticPr fontId="6" type="noConversion"/>
  </si>
  <si>
    <t>3~5级</t>
    <phoneticPr fontId="6" type="noConversion"/>
  </si>
  <si>
    <t>6~7级</t>
    <phoneticPr fontId="6" type="noConversion"/>
  </si>
  <si>
    <t>平均</t>
    <phoneticPr fontId="6" type="noConversion"/>
  </si>
  <si>
    <t>商业</t>
    <phoneticPr fontId="6" type="noConversion"/>
  </si>
  <si>
    <t>办公</t>
    <phoneticPr fontId="137" type="noConversion"/>
  </si>
  <si>
    <t>住宅</t>
    <phoneticPr fontId="6" type="noConversion"/>
  </si>
  <si>
    <t>工业</t>
    <phoneticPr fontId="137" type="noConversion"/>
  </si>
  <si>
    <t>工业</t>
    <phoneticPr fontId="137" type="noConversion"/>
  </si>
  <si>
    <t>住宅</t>
    <phoneticPr fontId="6" type="noConversion"/>
  </si>
  <si>
    <t>工业</t>
    <phoneticPr fontId="137" type="noConversion"/>
  </si>
  <si>
    <t>住宅</t>
    <phoneticPr fontId="6" type="noConversion"/>
  </si>
  <si>
    <t>本行不参与计算</t>
    <phoneticPr fontId="137" type="noConversion"/>
  </si>
  <si>
    <t>2022-1</t>
    <phoneticPr fontId="6" type="noConversion"/>
  </si>
  <si>
    <t>2021-4</t>
    <phoneticPr fontId="6" type="noConversion"/>
  </si>
  <si>
    <t>2021-3</t>
    <phoneticPr fontId="6" type="noConversion"/>
  </si>
  <si>
    <t>2021-2</t>
    <phoneticPr fontId="6" type="noConversion"/>
  </si>
  <si>
    <t>2021-1</t>
    <phoneticPr fontId="6" type="noConversion"/>
  </si>
  <si>
    <t xml:space="preserve"> </t>
    <phoneticPr fontId="137" type="noConversion"/>
  </si>
  <si>
    <r>
      <rPr>
        <b/>
        <sz val="10"/>
        <color theme="1"/>
        <rFont val="楷体_GB2312"/>
        <family val="2"/>
        <charset val="134"/>
      </rPr>
      <t>核算至百分数</t>
    </r>
    <phoneticPr fontId="145" type="noConversion"/>
  </si>
  <si>
    <t>季度连乘</t>
    <phoneticPr fontId="137" type="noConversion"/>
  </si>
  <si>
    <t>平均增幅</t>
    <phoneticPr fontId="137" type="noConversion"/>
  </si>
  <si>
    <t>平均</t>
    <phoneticPr fontId="6" type="noConversion"/>
  </si>
  <si>
    <t>商业</t>
    <phoneticPr fontId="6" type="noConversion"/>
  </si>
  <si>
    <t>办公</t>
    <phoneticPr fontId="137" type="noConversion"/>
  </si>
  <si>
    <t>住宅</t>
    <phoneticPr fontId="6" type="noConversion"/>
  </si>
  <si>
    <t>公共服务</t>
    <phoneticPr fontId="6" type="noConversion"/>
  </si>
  <si>
    <t>本行不参与计算</t>
    <phoneticPr fontId="137" type="noConversion"/>
  </si>
  <si>
    <t>2022-1</t>
    <phoneticPr fontId="6" type="noConversion"/>
  </si>
  <si>
    <t>2021-4</t>
    <phoneticPr fontId="6" type="noConversion"/>
  </si>
  <si>
    <t>2021-3</t>
    <phoneticPr fontId="6" type="noConversion"/>
  </si>
  <si>
    <t>2021-2</t>
    <phoneticPr fontId="6" type="noConversion"/>
  </si>
  <si>
    <t>北京市区片基准地价表（楼面地价）</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</si>
  <si>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</si>
  <si>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</si>
  <si>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</si>
  <si>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</si>
  <si>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</si>
  <si>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</si>
  <si>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</si>
  <si>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</si>
  <si>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</si>
  <si>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</si>
  <si>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</si>
  <si>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</si>
  <si>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 xml:space="preserve">基准日期：2021年1月1日                                                             </t>
    <phoneticPr fontId="6" type="noConversion"/>
  </si>
  <si>
    <t>单位：元/平方米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</si>
  <si>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</si>
  <si>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</si>
  <si>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</si>
  <si>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</si>
  <si>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</si>
  <si>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</si>
  <si>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</si>
  <si>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</si>
  <si>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</si>
  <si>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</si>
  <si>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</si>
  <si>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</si>
  <si>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</si>
  <si>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办公</t>
    <phoneticPr fontId="6" type="noConversion"/>
  </si>
  <si>
    <t>工业</t>
    <phoneticPr fontId="6" type="noConversion"/>
  </si>
  <si>
    <t>Ⅰ—02</t>
    <phoneticPr fontId="6" type="noConversion"/>
  </si>
  <si>
    <t>Ⅺ-门斋</t>
    <phoneticPr fontId="6" type="noConversion"/>
  </si>
  <si>
    <t>Ⅻ-房1</t>
    <phoneticPr fontId="6" type="noConversion"/>
  </si>
  <si>
    <t>区片编号</t>
    <phoneticPr fontId="6" type="noConversion"/>
  </si>
  <si>
    <t>区片价格</t>
    <phoneticPr fontId="6" type="noConversion"/>
  </si>
  <si>
    <t>Ⅸ-门1</t>
    <phoneticPr fontId="6" type="noConversion"/>
  </si>
  <si>
    <t>Ⅹ-门1</t>
    <phoneticPr fontId="6" type="noConversion"/>
  </si>
  <si>
    <t>Ⅺ-房1</t>
    <phoneticPr fontId="6" type="noConversion"/>
  </si>
  <si>
    <t>Ⅻ-昌1</t>
    <phoneticPr fontId="6" type="noConversion"/>
  </si>
  <si>
    <t>Ⅸ-门2</t>
    <phoneticPr fontId="6" type="noConversion"/>
  </si>
  <si>
    <t>Ⅹ-房1</t>
    <phoneticPr fontId="6" type="noConversion"/>
  </si>
  <si>
    <t>Ⅻ-怀1</t>
    <phoneticPr fontId="6" type="noConversion"/>
  </si>
  <si>
    <t>Ⅷ-05</t>
  </si>
  <si>
    <t>Ⅸ-门潭</t>
    <phoneticPr fontId="6" type="noConversion"/>
  </si>
  <si>
    <t>Ⅺ-顺1</t>
    <phoneticPr fontId="6" type="noConversion"/>
  </si>
  <si>
    <t>Ⅻ-平1</t>
    <phoneticPr fontId="6" type="noConversion"/>
  </si>
  <si>
    <t>Ⅷ-门1</t>
    <phoneticPr fontId="6" type="noConversion"/>
  </si>
  <si>
    <t>Ⅸ-房1</t>
    <phoneticPr fontId="6" type="noConversion"/>
  </si>
  <si>
    <t>Ⅹ-房3</t>
  </si>
  <si>
    <t>Ⅺ-顺2</t>
  </si>
  <si>
    <t>Ⅻ-密1</t>
    <phoneticPr fontId="6" type="noConversion"/>
  </si>
  <si>
    <t>Ⅷ-门军</t>
    <phoneticPr fontId="6" type="noConversion"/>
  </si>
  <si>
    <t>Ⅹ-顺1</t>
    <phoneticPr fontId="6" type="noConversion"/>
  </si>
  <si>
    <t>Ⅺ-昌1</t>
    <phoneticPr fontId="6" type="noConversion"/>
  </si>
  <si>
    <t>Ⅻ-延1</t>
    <phoneticPr fontId="6" type="noConversion"/>
  </si>
  <si>
    <t>Ⅷ-房1</t>
    <phoneticPr fontId="6" type="noConversion"/>
  </si>
  <si>
    <t>Ⅺ-昌3</t>
  </si>
  <si>
    <t>Ⅶ-门1</t>
    <phoneticPr fontId="6" type="noConversion"/>
  </si>
  <si>
    <t>Ⅹ-顺4</t>
  </si>
  <si>
    <t>Ⅺ-怀1</t>
    <phoneticPr fontId="6" type="noConversion"/>
  </si>
  <si>
    <t>Ⅶ-门2</t>
  </si>
  <si>
    <t>Ⅷ-通1</t>
    <phoneticPr fontId="6" type="noConversion"/>
  </si>
  <si>
    <t>Ⅸ-通1</t>
    <phoneticPr fontId="6" type="noConversion"/>
  </si>
  <si>
    <t>Ⅹ-昌1</t>
    <phoneticPr fontId="6" type="noConversion"/>
  </si>
  <si>
    <t>Ⅺ-平1</t>
    <phoneticPr fontId="6" type="noConversion"/>
  </si>
  <si>
    <t>Ⅶ-房1</t>
    <phoneticPr fontId="6" type="noConversion"/>
  </si>
  <si>
    <t>Ⅱ—13</t>
    <phoneticPr fontId="6" type="noConversion"/>
  </si>
  <si>
    <t>Ⅸ-顺1</t>
    <phoneticPr fontId="6" type="noConversion"/>
  </si>
  <si>
    <t>Ⅶ-通1</t>
    <phoneticPr fontId="6" type="noConversion"/>
  </si>
  <si>
    <t>Ⅷ-顺1</t>
    <phoneticPr fontId="6" type="noConversion"/>
  </si>
  <si>
    <t>Ⅹ-兴1</t>
    <phoneticPr fontId="6" type="noConversion"/>
  </si>
  <si>
    <t>Ⅶ-通2</t>
  </si>
  <si>
    <t>Ⅺ-密1</t>
    <phoneticPr fontId="6" type="noConversion"/>
  </si>
  <si>
    <t>Ⅶ-通3</t>
  </si>
  <si>
    <t>Ⅷ-顺3</t>
    <phoneticPr fontId="6" type="noConversion"/>
  </si>
  <si>
    <t>Ⅹ-怀1</t>
    <phoneticPr fontId="6" type="noConversion"/>
  </si>
  <si>
    <t>Ⅶ-通4</t>
  </si>
  <si>
    <t>Ⅸ-顺5</t>
  </si>
  <si>
    <t>Ⅶ-通5</t>
  </si>
  <si>
    <t>Ⅸ-昌1</t>
    <phoneticPr fontId="6" type="noConversion"/>
  </si>
  <si>
    <t>Ⅺ-延1</t>
    <phoneticPr fontId="6" type="noConversion"/>
  </si>
  <si>
    <t>Ⅶ-顺1</t>
    <phoneticPr fontId="6" type="noConversion"/>
  </si>
  <si>
    <t>Ⅷ-昌1</t>
    <phoneticPr fontId="6" type="noConversion"/>
  </si>
  <si>
    <t>Ⅹ-怀4</t>
  </si>
  <si>
    <t>Ⅱ—20</t>
  </si>
  <si>
    <t>Ⅹ-平1</t>
    <phoneticPr fontId="6" type="noConversion"/>
  </si>
  <si>
    <t>Ⅺ-延3</t>
  </si>
  <si>
    <t>Ⅲ—21</t>
  </si>
  <si>
    <t>Ⅶ-顺3</t>
  </si>
  <si>
    <t>Ⅲ—22</t>
  </si>
  <si>
    <t>Ⅵ-门1</t>
    <phoneticPr fontId="6" type="noConversion"/>
  </si>
  <si>
    <t>Ⅶ-昌1</t>
    <phoneticPr fontId="6" type="noConversion"/>
  </si>
  <si>
    <t>Ⅹ-平3</t>
  </si>
  <si>
    <t>Ⅲ—23</t>
  </si>
  <si>
    <t>Ⅵ-通1</t>
    <phoneticPr fontId="6" type="noConversion"/>
  </si>
  <si>
    <t>Ⅷ-兴1</t>
    <phoneticPr fontId="6" type="noConversion"/>
  </si>
  <si>
    <t>Ⅸ-兴1</t>
  </si>
  <si>
    <t>Ⅹ-平4</t>
  </si>
  <si>
    <t>Ⅲ—24</t>
  </si>
  <si>
    <t>Ⅳ-24</t>
  </si>
  <si>
    <t>Ⅹ-密1</t>
    <phoneticPr fontId="6" type="noConversion"/>
  </si>
  <si>
    <t>Ⅲ—25</t>
  </si>
  <si>
    <t>Ⅳ-25</t>
  </si>
  <si>
    <t>Ⅶ-兴1</t>
    <phoneticPr fontId="6" type="noConversion"/>
  </si>
  <si>
    <t>Ⅷ-兴3</t>
  </si>
  <si>
    <t>Ⅹ-密2</t>
  </si>
  <si>
    <t>Ⅳ-26</t>
  </si>
  <si>
    <t>Ⅶ-兴2</t>
    <phoneticPr fontId="6" type="noConversion"/>
  </si>
  <si>
    <t>Ⅷ-怀1</t>
    <phoneticPr fontId="6" type="noConversion"/>
  </si>
  <si>
    <t>Ⅸ-怀1</t>
    <phoneticPr fontId="6" type="noConversion"/>
  </si>
  <si>
    <t>Ⅹ-密3</t>
  </si>
  <si>
    <t>Ⅳ-27</t>
  </si>
  <si>
    <t>Ⅴ-27</t>
  </si>
  <si>
    <t>Ⅵ-通5</t>
  </si>
  <si>
    <t>Ⅶ-亦1</t>
    <phoneticPr fontId="6" type="noConversion"/>
  </si>
  <si>
    <t>Ⅷ-平1</t>
    <phoneticPr fontId="6" type="noConversion"/>
  </si>
  <si>
    <t>Ⅸ-怀2</t>
  </si>
  <si>
    <t>Ⅹ-延1</t>
    <phoneticPr fontId="6" type="noConversion"/>
  </si>
  <si>
    <t>Ⅳ-28</t>
  </si>
  <si>
    <t>Ⅴ-28</t>
  </si>
  <si>
    <t>Ⅵ-顺1</t>
    <phoneticPr fontId="6" type="noConversion"/>
  </si>
  <si>
    <t>Ⅶ-亦2</t>
  </si>
  <si>
    <t>Ⅷ-密1</t>
    <phoneticPr fontId="6" type="noConversion"/>
  </si>
  <si>
    <t>Ⅸ-怀3</t>
  </si>
  <si>
    <t>Ⅳ-电子城东</t>
    <phoneticPr fontId="6" type="noConversion"/>
  </si>
  <si>
    <t>Ⅴ-29</t>
  </si>
  <si>
    <t>Ⅵ-顺2</t>
  </si>
  <si>
    <t>Ⅶ-创新园</t>
    <phoneticPr fontId="6" type="noConversion"/>
  </si>
  <si>
    <t>Ⅷ-延1</t>
    <phoneticPr fontId="6" type="noConversion"/>
  </si>
  <si>
    <t>Ⅸ-怀4</t>
  </si>
  <si>
    <t>Ⅹ-延3</t>
  </si>
  <si>
    <t>Ⅳ-电子城西</t>
    <phoneticPr fontId="6" type="noConversion"/>
  </si>
  <si>
    <t>Ⅴ-30</t>
  </si>
  <si>
    <t>Ⅵ-昌1</t>
    <phoneticPr fontId="6" type="noConversion"/>
  </si>
  <si>
    <t>Ⅶ-海淀环保园</t>
    <phoneticPr fontId="6" type="noConversion"/>
  </si>
  <si>
    <t>Ⅷ-亦1</t>
    <phoneticPr fontId="6" type="noConversion"/>
  </si>
  <si>
    <t>Ⅸ-平1</t>
    <phoneticPr fontId="6" type="noConversion"/>
  </si>
  <si>
    <t>Ⅹ-延4</t>
  </si>
  <si>
    <t>Ⅳ-丰台园东</t>
    <phoneticPr fontId="6" type="noConversion"/>
  </si>
  <si>
    <t>Ⅴ-31</t>
  </si>
  <si>
    <t>Ⅶ-温泉科技园Ⅰ</t>
    <phoneticPr fontId="6" type="noConversion"/>
  </si>
  <si>
    <t>Ⅸ-平2</t>
  </si>
  <si>
    <t>Ⅹ-亦1</t>
    <phoneticPr fontId="6" type="noConversion"/>
  </si>
  <si>
    <t>Ⅳ-通1</t>
    <phoneticPr fontId="6" type="noConversion"/>
  </si>
  <si>
    <t>Ⅴ-32</t>
  </si>
  <si>
    <t>Ⅶ-温泉科技园Ⅱ</t>
    <phoneticPr fontId="6" type="noConversion"/>
  </si>
  <si>
    <t>Ⅷ-文化教育基地</t>
    <phoneticPr fontId="6" type="noConversion"/>
  </si>
  <si>
    <t>Ⅸ-密1</t>
    <phoneticPr fontId="6" type="noConversion"/>
  </si>
  <si>
    <t>Ⅴ-33</t>
  </si>
  <si>
    <t>Ⅶ-温泉科技园Ⅲ</t>
    <phoneticPr fontId="6" type="noConversion"/>
  </si>
  <si>
    <t>Ⅷ-苏家坨科技Ⅰ</t>
    <phoneticPr fontId="6" type="noConversion"/>
  </si>
  <si>
    <t>Ⅸ-延1</t>
    <phoneticPr fontId="6" type="noConversion"/>
  </si>
  <si>
    <t>Ⅴ-上地核心</t>
    <phoneticPr fontId="6" type="noConversion"/>
  </si>
  <si>
    <t>Ⅵ-兴1</t>
    <phoneticPr fontId="6" type="noConversion"/>
  </si>
  <si>
    <t>Ⅶ-国际教育园</t>
    <phoneticPr fontId="6" type="noConversion"/>
  </si>
  <si>
    <t>Ⅷ-苏家坨科技Ⅱ</t>
    <phoneticPr fontId="6" type="noConversion"/>
  </si>
  <si>
    <t>Ⅸ-延2</t>
  </si>
  <si>
    <t>Ⅴ-电子城北</t>
    <phoneticPr fontId="6" type="noConversion"/>
  </si>
  <si>
    <t>Ⅵ-兴2</t>
  </si>
  <si>
    <t>Ⅶ-农林园</t>
    <phoneticPr fontId="6" type="noConversion"/>
  </si>
  <si>
    <t>Ⅷ-通州环保园</t>
    <phoneticPr fontId="6" type="noConversion"/>
  </si>
  <si>
    <t>Ⅸ-亦1</t>
    <phoneticPr fontId="6" type="noConversion"/>
  </si>
  <si>
    <t>Ⅴ-通1</t>
    <phoneticPr fontId="6" type="noConversion"/>
  </si>
  <si>
    <t>Ⅵ-兴3</t>
  </si>
  <si>
    <t>Ⅶ-上庄科技</t>
    <phoneticPr fontId="6" type="noConversion"/>
  </si>
  <si>
    <t>Ⅷ-通州开发区东</t>
    <phoneticPr fontId="6" type="noConversion"/>
  </si>
  <si>
    <t>Ⅸ-亦2</t>
  </si>
  <si>
    <t>Ⅴ-通2</t>
  </si>
  <si>
    <t>Ⅵ-兴4</t>
  </si>
  <si>
    <t>Ⅶ-石龙开发区</t>
    <phoneticPr fontId="6" type="noConversion"/>
  </si>
  <si>
    <t>Ⅷ-空港北区B</t>
    <phoneticPr fontId="6" type="noConversion"/>
  </si>
  <si>
    <t>Ⅸ-亦3</t>
  </si>
  <si>
    <t>Ⅴ-通3</t>
  </si>
  <si>
    <t>Ⅵ-兴5</t>
  </si>
  <si>
    <r>
      <t>Ⅶ-良乡开发区</t>
    </r>
    <r>
      <rPr>
        <sz val="9"/>
        <color indexed="8"/>
        <rFont val="仿宋_GB2312"/>
        <family val="3"/>
        <charset val="134"/>
      </rPr>
      <t>A</t>
    </r>
    <phoneticPr fontId="6" type="noConversion"/>
  </si>
  <si>
    <t>Ⅷ-昌平园北Ⅱ</t>
    <phoneticPr fontId="6" type="noConversion"/>
  </si>
  <si>
    <t>Ⅸ-房山工业园西</t>
    <phoneticPr fontId="6" type="noConversion"/>
  </si>
  <si>
    <t>Ⅴ-通4</t>
  </si>
  <si>
    <t>Ⅵ-亦1</t>
    <phoneticPr fontId="6" type="noConversion"/>
  </si>
  <si>
    <r>
      <t>Ⅶ-良乡开发区</t>
    </r>
    <r>
      <rPr>
        <sz val="9"/>
        <color indexed="8"/>
        <rFont val="仿宋_GB2312"/>
        <family val="3"/>
        <charset val="134"/>
      </rPr>
      <t>B</t>
    </r>
    <phoneticPr fontId="6" type="noConversion"/>
  </si>
  <si>
    <t>Ⅷ-昌平园北Ⅲ</t>
    <phoneticPr fontId="6" type="noConversion"/>
  </si>
  <si>
    <t>Ⅸ-房山工业园东</t>
    <phoneticPr fontId="6" type="noConversion"/>
  </si>
  <si>
    <t>Ⅴ-亦1</t>
    <phoneticPr fontId="6" type="noConversion"/>
  </si>
  <si>
    <t>Ⅵ-亦2</t>
  </si>
  <si>
    <r>
      <t>Ⅶ-良乡开发区</t>
    </r>
    <r>
      <rPr>
        <sz val="9"/>
        <color indexed="8"/>
        <rFont val="仿宋_GB2312"/>
        <family val="3"/>
        <charset val="134"/>
      </rPr>
      <t>C</t>
    </r>
    <phoneticPr fontId="6" type="noConversion"/>
  </si>
  <si>
    <t>Ⅷ-昌平园南Ⅰ</t>
    <phoneticPr fontId="6" type="noConversion"/>
  </si>
  <si>
    <t>Ⅸ-永乐开发区</t>
    <phoneticPr fontId="6" type="noConversion"/>
  </si>
  <si>
    <t>Ⅵ-亦3</t>
  </si>
  <si>
    <t>Ⅶ-林河开发区</t>
    <phoneticPr fontId="6" type="noConversion"/>
  </si>
  <si>
    <t>Ⅷ-昌平园南Ⅱ</t>
    <phoneticPr fontId="6" type="noConversion"/>
  </si>
  <si>
    <t>Ⅸ-采育开发区</t>
    <phoneticPr fontId="6" type="noConversion"/>
  </si>
  <si>
    <t>三级</t>
    <phoneticPr fontId="6" type="noConversion"/>
  </si>
  <si>
    <t>Ⅵ-亦4</t>
  </si>
  <si>
    <t>Ⅶ-空港北区A</t>
    <phoneticPr fontId="6" type="noConversion"/>
  </si>
  <si>
    <t>Ⅷ-小汤山工业园</t>
    <phoneticPr fontId="6" type="noConversion"/>
  </si>
  <si>
    <t>Ⅸ-雁栖开发区A</t>
    <phoneticPr fontId="6" type="noConversion"/>
  </si>
  <si>
    <t>Ⅵ-永丰产业基地</t>
    <phoneticPr fontId="6" type="noConversion"/>
  </si>
  <si>
    <r>
      <t>Ⅶ-昌平园北</t>
    </r>
    <r>
      <rPr>
        <sz val="9"/>
        <color indexed="8"/>
        <rFont val="宋体"/>
        <family val="3"/>
        <charset val="134"/>
      </rPr>
      <t>Ⅰ</t>
    </r>
    <phoneticPr fontId="6" type="noConversion"/>
  </si>
  <si>
    <t>Ⅷ-生物医药基地</t>
    <phoneticPr fontId="6" type="noConversion"/>
  </si>
  <si>
    <t>Ⅸ-雁栖开发区B</t>
    <phoneticPr fontId="6" type="noConversion"/>
  </si>
  <si>
    <t>Ⅵ-航天城</t>
    <phoneticPr fontId="6" type="noConversion"/>
  </si>
  <si>
    <t>Ⅶ-BDA南</t>
    <phoneticPr fontId="6" type="noConversion"/>
  </si>
  <si>
    <t>Ⅸ-雁栖开发区C</t>
    <phoneticPr fontId="6" type="noConversion"/>
  </si>
  <si>
    <t>Ⅵ-西北旺Ⅰ</t>
    <phoneticPr fontId="6" type="noConversion"/>
  </si>
  <si>
    <t>Ⅸ-兴谷开发区A</t>
    <phoneticPr fontId="6" type="noConversion"/>
  </si>
  <si>
    <t>Ⅵ-西北旺Ⅱ</t>
    <phoneticPr fontId="6" type="noConversion"/>
  </si>
  <si>
    <t>Ⅸ-兴谷开发区B</t>
    <phoneticPr fontId="6" type="noConversion"/>
  </si>
  <si>
    <t>Ⅵ-丰台西园Ⅰ</t>
    <phoneticPr fontId="6" type="noConversion"/>
  </si>
  <si>
    <t>Ⅸ-马坊工业园</t>
    <phoneticPr fontId="6" type="noConversion"/>
  </si>
  <si>
    <t>Ⅵ-丰台西园Ⅱ</t>
    <phoneticPr fontId="6" type="noConversion"/>
  </si>
  <si>
    <t>Ⅸ-密云开发区</t>
    <phoneticPr fontId="6" type="noConversion"/>
  </si>
  <si>
    <t>Ⅵ-石景山园北Ⅰ</t>
    <phoneticPr fontId="6" type="noConversion"/>
  </si>
  <si>
    <t>Ⅸ-延庆开发区</t>
    <phoneticPr fontId="6" type="noConversion"/>
  </si>
  <si>
    <t>Ⅵ-石景山园北Ⅱ</t>
    <phoneticPr fontId="6" type="noConversion"/>
  </si>
  <si>
    <t>Ⅸ-八达岭开发区</t>
    <phoneticPr fontId="6" type="noConversion"/>
  </si>
  <si>
    <t>Ⅵ-石景山园南</t>
    <phoneticPr fontId="6" type="noConversion"/>
  </si>
  <si>
    <t>Ⅵ-通州开发区西</t>
    <phoneticPr fontId="6" type="noConversion"/>
  </si>
  <si>
    <t>Ⅵ-光机电</t>
    <phoneticPr fontId="6" type="noConversion"/>
  </si>
  <si>
    <t>Ⅳ-01</t>
    <phoneticPr fontId="6" type="noConversion"/>
  </si>
  <si>
    <t>Ⅵ-天竺保税区南</t>
    <phoneticPr fontId="6" type="noConversion"/>
  </si>
  <si>
    <t>Ⅵ-天竺保税区北Ⅰ</t>
    <phoneticPr fontId="6" type="noConversion"/>
  </si>
  <si>
    <t>Ⅵ-天竺保税区北Ⅱ</t>
    <phoneticPr fontId="6" type="noConversion"/>
  </si>
  <si>
    <t>Ⅵ-空港A</t>
    <phoneticPr fontId="6" type="noConversion"/>
  </si>
  <si>
    <t>Ⅵ-空港B</t>
    <phoneticPr fontId="6" type="noConversion"/>
  </si>
  <si>
    <t>Ⅵ-生命科学园</t>
    <phoneticPr fontId="6" type="noConversion"/>
  </si>
  <si>
    <t>Ⅵ-三一光电</t>
    <phoneticPr fontId="6" type="noConversion"/>
  </si>
  <si>
    <t>Ⅵ-大兴开发区</t>
    <phoneticPr fontId="6" type="noConversion"/>
  </si>
  <si>
    <t>Ⅵ-BDA核心</t>
    <phoneticPr fontId="6" type="noConversion"/>
  </si>
  <si>
    <t>Ⅵ-BDA东</t>
    <phoneticPr fontId="6" type="noConversion"/>
  </si>
  <si>
    <t>Ⅳ-电子城东</t>
    <phoneticPr fontId="6" type="noConversion"/>
  </si>
  <si>
    <t>Ⅳ-电子城西</t>
    <phoneticPr fontId="6" type="noConversion"/>
  </si>
  <si>
    <t>Ⅳ-丰台园东</t>
    <phoneticPr fontId="6" type="noConversion"/>
  </si>
  <si>
    <t>Ⅳ-通1</t>
    <phoneticPr fontId="6" type="noConversion"/>
  </si>
  <si>
    <t>Ⅴ-01</t>
    <phoneticPr fontId="6" type="noConversion"/>
  </si>
  <si>
    <t>Ⅴ-上地核心</t>
    <phoneticPr fontId="6" type="noConversion"/>
  </si>
  <si>
    <t>Ⅴ-电子城北</t>
    <phoneticPr fontId="6" type="noConversion"/>
  </si>
  <si>
    <t>Ⅴ-通1</t>
    <phoneticPr fontId="6" type="noConversion"/>
  </si>
  <si>
    <t>Ⅵ-01</t>
    <phoneticPr fontId="6" type="noConversion"/>
  </si>
  <si>
    <t>Ⅵ-门1</t>
    <phoneticPr fontId="6" type="noConversion"/>
  </si>
  <si>
    <t>Ⅵ-通1</t>
    <phoneticPr fontId="6" type="noConversion"/>
  </si>
  <si>
    <t>Ⅵ-顺1</t>
    <phoneticPr fontId="6" type="noConversion"/>
  </si>
  <si>
    <t>Ⅵ-昌1</t>
    <phoneticPr fontId="6" type="noConversion"/>
  </si>
  <si>
    <t>Ⅵ-兴1</t>
    <phoneticPr fontId="6" type="noConversion"/>
  </si>
  <si>
    <t>Ⅵ-亦1</t>
    <phoneticPr fontId="6" type="noConversion"/>
  </si>
  <si>
    <t>Ⅵ-永丰产业基地</t>
    <phoneticPr fontId="6" type="noConversion"/>
  </si>
  <si>
    <t>Ⅵ-石景山园南</t>
    <phoneticPr fontId="6" type="noConversion"/>
  </si>
  <si>
    <t>Ⅵ-通州开发区西</t>
    <phoneticPr fontId="6" type="noConversion"/>
  </si>
  <si>
    <t>Ⅵ-光机电</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</si>
  <si>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</si>
  <si>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</si>
  <si>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</si>
  <si>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</si>
  <si>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</si>
  <si>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Ⅶ-昌1</t>
    <phoneticPr fontId="6" type="noConversion"/>
  </si>
  <si>
    <t>Ⅶ-兴1</t>
    <phoneticPr fontId="6" type="noConversion"/>
  </si>
  <si>
    <t>Ⅶ-兴2</t>
    <phoneticPr fontId="6" type="noConversion"/>
  </si>
  <si>
    <t>Ⅶ-亦1</t>
    <phoneticPr fontId="6" type="noConversion"/>
  </si>
  <si>
    <t>Ⅶ-创新园</t>
    <phoneticPr fontId="6" type="noConversion"/>
  </si>
  <si>
    <t>Ⅶ-海淀环保园</t>
    <phoneticPr fontId="6" type="noConversion"/>
  </si>
  <si>
    <t>Ⅶ-温泉科技园Ⅰ</t>
    <phoneticPr fontId="6" type="noConversion"/>
  </si>
  <si>
    <t>Ⅶ-温泉科技园Ⅱ</t>
    <phoneticPr fontId="6" type="noConversion"/>
  </si>
  <si>
    <t>Ⅶ-温泉科技园Ⅲ</t>
    <phoneticPr fontId="6" type="noConversion"/>
  </si>
  <si>
    <t>Ⅶ-国际教育园</t>
    <phoneticPr fontId="6" type="noConversion"/>
  </si>
  <si>
    <t>Ⅶ-农林园</t>
    <phoneticPr fontId="6" type="noConversion"/>
  </si>
  <si>
    <t>Ⅶ-上庄科技</t>
    <phoneticPr fontId="6" type="noConversion"/>
  </si>
  <si>
    <t>Ⅶ-石龙开发区</t>
    <phoneticPr fontId="6" type="noConversion"/>
  </si>
  <si>
    <r>
      <t>Ⅶ-良乡开发区</t>
    </r>
    <r>
      <rPr>
        <sz val="9"/>
        <color indexed="8"/>
        <rFont val="仿宋_GB2312"/>
        <family val="3"/>
        <charset val="134"/>
      </rPr>
      <t>A</t>
    </r>
    <phoneticPr fontId="6" type="noConversion"/>
  </si>
  <si>
    <r>
      <t>Ⅶ-良乡开发区</t>
    </r>
    <r>
      <rPr>
        <sz val="9"/>
        <color indexed="8"/>
        <rFont val="仿宋_GB2312"/>
        <family val="3"/>
        <charset val="134"/>
      </rPr>
      <t>B</t>
    </r>
    <phoneticPr fontId="6" type="noConversion"/>
  </si>
  <si>
    <t>Ⅶ-林河开发区</t>
    <phoneticPr fontId="6" type="noConversion"/>
  </si>
  <si>
    <t>Ⅶ-空港北区A</t>
    <phoneticPr fontId="6" type="noConversion"/>
  </si>
  <si>
    <r>
      <t>Ⅶ-昌平园北</t>
    </r>
    <r>
      <rPr>
        <sz val="9"/>
        <color indexed="8"/>
        <rFont val="宋体"/>
        <family val="3"/>
        <charset val="134"/>
      </rPr>
      <t>Ⅰ</t>
    </r>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</si>
  <si>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</si>
  <si>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</si>
  <si>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</si>
  <si>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</si>
  <si>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</si>
  <si>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</si>
  <si>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</si>
  <si>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Ⅷ-昌1</t>
    <phoneticPr fontId="6" type="noConversion"/>
  </si>
  <si>
    <t>Ⅷ-兴1</t>
    <phoneticPr fontId="6" type="noConversion"/>
  </si>
  <si>
    <t>Ⅷ-怀1</t>
    <phoneticPr fontId="6" type="noConversion"/>
  </si>
  <si>
    <t>Ⅷ-平1</t>
    <phoneticPr fontId="6" type="noConversion"/>
  </si>
  <si>
    <t>Ⅷ-密1</t>
    <phoneticPr fontId="6" type="noConversion"/>
  </si>
  <si>
    <t>Ⅷ-延1</t>
    <phoneticPr fontId="6" type="noConversion"/>
  </si>
  <si>
    <t>Ⅷ-亦1</t>
    <phoneticPr fontId="6" type="noConversion"/>
  </si>
  <si>
    <t>Ⅷ-文化教育基地</t>
    <phoneticPr fontId="6" type="noConversion"/>
  </si>
  <si>
    <t>Ⅷ-苏家坨科技Ⅰ</t>
    <phoneticPr fontId="6" type="noConversion"/>
  </si>
  <si>
    <t>Ⅷ-苏家坨科技Ⅱ</t>
    <phoneticPr fontId="6" type="noConversion"/>
  </si>
  <si>
    <t>Ⅷ-通州环保园</t>
    <phoneticPr fontId="6" type="noConversion"/>
  </si>
  <si>
    <t>Ⅷ-通州开发区东</t>
    <phoneticPr fontId="6" type="noConversion"/>
  </si>
  <si>
    <t>Ⅷ-空港北区B</t>
    <phoneticPr fontId="6" type="noConversion"/>
  </si>
  <si>
    <t>Ⅷ-昌平园北Ⅱ</t>
    <phoneticPr fontId="6" type="noConversion"/>
  </si>
  <si>
    <t>Ⅷ-昌平园北Ⅲ</t>
    <phoneticPr fontId="6" type="noConversion"/>
  </si>
  <si>
    <t>Ⅷ-昌平园南Ⅱ</t>
    <phoneticPr fontId="6" type="noConversion"/>
  </si>
  <si>
    <t>Ⅷ-小汤山工业园</t>
    <phoneticPr fontId="6" type="noConversion"/>
  </si>
  <si>
    <t>Ⅷ-生物医药基地</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</si>
  <si>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</si>
  <si>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</si>
  <si>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</si>
  <si>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</si>
  <si>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</si>
  <si>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</si>
  <si>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</si>
  <si>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Ⅸ-昌1</t>
    <phoneticPr fontId="6" type="noConversion"/>
  </si>
  <si>
    <t>Ⅸ-怀1</t>
    <phoneticPr fontId="6" type="noConversion"/>
  </si>
  <si>
    <t>Ⅸ-平1</t>
    <phoneticPr fontId="6" type="noConversion"/>
  </si>
  <si>
    <t>Ⅸ-密1</t>
    <phoneticPr fontId="6" type="noConversion"/>
  </si>
  <si>
    <t>Ⅸ-延1</t>
    <phoneticPr fontId="6" type="noConversion"/>
  </si>
  <si>
    <t>Ⅸ-亦1</t>
    <phoneticPr fontId="6" type="noConversion"/>
  </si>
  <si>
    <t>Ⅸ-房山工业园西</t>
    <phoneticPr fontId="6" type="noConversion"/>
  </si>
  <si>
    <t>Ⅸ-房山工业园东</t>
    <phoneticPr fontId="6" type="noConversion"/>
  </si>
  <si>
    <t>Ⅸ-采育开发区</t>
    <phoneticPr fontId="6" type="noConversion"/>
  </si>
  <si>
    <t>Ⅸ-雁栖开发区A</t>
    <phoneticPr fontId="6" type="noConversion"/>
  </si>
  <si>
    <t>Ⅹ-01</t>
    <phoneticPr fontId="6" type="noConversion"/>
  </si>
  <si>
    <t>Ⅹ-门1</t>
    <phoneticPr fontId="6" type="noConversion"/>
  </si>
  <si>
    <t>Ⅹ-房1</t>
    <phoneticPr fontId="6" type="noConversion"/>
  </si>
  <si>
    <t>Ⅹ-顺1</t>
    <phoneticPr fontId="6" type="noConversion"/>
  </si>
  <si>
    <t>Ⅹ-昌1</t>
    <phoneticPr fontId="6" type="noConversion"/>
  </si>
  <si>
    <t>Ⅹ-兴1</t>
    <phoneticPr fontId="6" type="noConversion"/>
  </si>
  <si>
    <t>Ⅹ-怀1</t>
    <phoneticPr fontId="6" type="noConversion"/>
  </si>
  <si>
    <t>Ⅹ-平1</t>
    <phoneticPr fontId="6" type="noConversion"/>
  </si>
  <si>
    <t>Ⅹ-密1</t>
    <phoneticPr fontId="6" type="noConversion"/>
  </si>
  <si>
    <t>Ⅹ-延1</t>
    <phoneticPr fontId="6" type="noConversion"/>
  </si>
  <si>
    <t>Ⅹ-亦1</t>
    <phoneticPr fontId="6" type="noConversion"/>
  </si>
  <si>
    <t>十一级</t>
    <phoneticPr fontId="6" type="noConversion"/>
  </si>
  <si>
    <t>Ⅺ-门1</t>
    <phoneticPr fontId="6" type="noConversion"/>
  </si>
  <si>
    <t>Ⅺ-门斋</t>
    <phoneticPr fontId="6" type="noConversion"/>
  </si>
  <si>
    <t>Ⅺ-房1</t>
    <phoneticPr fontId="6" type="noConversion"/>
  </si>
  <si>
    <t>Ⅺ-顺1</t>
    <phoneticPr fontId="6" type="noConversion"/>
  </si>
  <si>
    <t>Ⅺ-昌1</t>
    <phoneticPr fontId="6" type="noConversion"/>
  </si>
  <si>
    <t>Ⅺ-怀1</t>
    <phoneticPr fontId="6" type="noConversion"/>
  </si>
  <si>
    <t>Ⅺ-平1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</si>
  <si>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</si>
  <si>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</si>
  <si>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</si>
  <si>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</si>
  <si>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</si>
  <si>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</si>
  <si>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Ⅻ-怀1</t>
    <phoneticPr fontId="6" type="noConversion"/>
  </si>
  <si>
    <t>Ⅻ-平1</t>
    <phoneticPr fontId="6" type="noConversion"/>
  </si>
  <si>
    <t>Ⅻ-密1</t>
    <phoneticPr fontId="6" type="noConversion"/>
  </si>
  <si>
    <t>Ⅻ-延1</t>
    <phoneticPr fontId="6" type="noConversion"/>
  </si>
  <si>
    <t>北京市区片基准地价因素总修正幅度表</t>
    <phoneticPr fontId="6" type="noConversion"/>
  </si>
  <si>
    <t>Ⅴ-亦1</t>
    <phoneticPr fontId="6" type="noConversion"/>
  </si>
  <si>
    <t>Ⅵ-亦1</t>
    <phoneticPr fontId="6" type="noConversion"/>
  </si>
  <si>
    <t>Ⅵ-永丰产业基地</t>
    <phoneticPr fontId="6" type="noConversion"/>
  </si>
  <si>
    <t>Ⅵ-航天城</t>
    <phoneticPr fontId="6" type="noConversion"/>
  </si>
  <si>
    <t>Ⅵ-西北旺Ⅰ</t>
    <phoneticPr fontId="6" type="noConversion"/>
  </si>
  <si>
    <t>Ⅵ-西北旺Ⅱ</t>
    <phoneticPr fontId="6" type="noConversion"/>
  </si>
  <si>
    <t>Ⅵ-丰台西园Ⅰ</t>
    <phoneticPr fontId="6" type="noConversion"/>
  </si>
  <si>
    <t>Ⅵ-丰台西园Ⅱ</t>
    <phoneticPr fontId="6" type="noConversion"/>
  </si>
  <si>
    <t>Ⅵ-石景山园北Ⅰ</t>
    <phoneticPr fontId="6" type="noConversion"/>
  </si>
  <si>
    <t>Ⅵ-石景山园北Ⅱ</t>
    <phoneticPr fontId="6" type="noConversion"/>
  </si>
  <si>
    <t>Ⅵ-石景山园南</t>
    <phoneticPr fontId="6" type="noConversion"/>
  </si>
  <si>
    <t>Ⅵ-通州开发区西</t>
    <phoneticPr fontId="6" type="noConversion"/>
  </si>
  <si>
    <t>Ⅵ-光机电</t>
    <phoneticPr fontId="6" type="noConversion"/>
  </si>
  <si>
    <t>Ⅵ-天竺保税区南</t>
    <phoneticPr fontId="6" type="noConversion"/>
  </si>
  <si>
    <t>Ⅵ-天竺保税区北Ⅰ</t>
    <phoneticPr fontId="6" type="noConversion"/>
  </si>
  <si>
    <t>Ⅵ-天竺保税区北Ⅱ</t>
    <phoneticPr fontId="6" type="noConversion"/>
  </si>
  <si>
    <t>Ⅵ-空港A</t>
    <phoneticPr fontId="6" type="noConversion"/>
  </si>
  <si>
    <t>Ⅵ-空港B</t>
    <phoneticPr fontId="6" type="noConversion"/>
  </si>
  <si>
    <t>Ⅵ-生命科学园</t>
    <phoneticPr fontId="6" type="noConversion"/>
  </si>
  <si>
    <t>Ⅵ-三一光电</t>
    <phoneticPr fontId="6" type="noConversion"/>
  </si>
  <si>
    <t>Ⅵ-大兴开发区</t>
    <phoneticPr fontId="6" type="noConversion"/>
  </si>
  <si>
    <t>Ⅵ-BDA核心</t>
    <phoneticPr fontId="6" type="noConversion"/>
  </si>
  <si>
    <t>Ⅵ-BDA东</t>
    <phoneticPr fontId="6" type="noConversion"/>
  </si>
  <si>
    <t>Ⅶ-石龙开发区</t>
    <phoneticPr fontId="6" type="noConversion"/>
  </si>
  <si>
    <r>
      <t>Ⅶ-良乡开发区</t>
    </r>
    <r>
      <rPr>
        <sz val="8"/>
        <color indexed="8"/>
        <rFont val="仿宋_GB2312"/>
        <family val="3"/>
        <charset val="134"/>
      </rPr>
      <t>A</t>
    </r>
    <phoneticPr fontId="6" type="noConversion"/>
  </si>
  <si>
    <r>
      <t>Ⅶ-良乡开发区</t>
    </r>
    <r>
      <rPr>
        <sz val="8"/>
        <color indexed="8"/>
        <rFont val="仿宋_GB2312"/>
        <family val="3"/>
        <charset val="134"/>
      </rPr>
      <t>B</t>
    </r>
    <phoneticPr fontId="6" type="noConversion"/>
  </si>
  <si>
    <r>
      <t>Ⅶ-良乡开发区</t>
    </r>
    <r>
      <rPr>
        <sz val="8"/>
        <color indexed="8"/>
        <rFont val="仿宋_GB2312"/>
        <family val="3"/>
        <charset val="134"/>
      </rPr>
      <t>C</t>
    </r>
    <phoneticPr fontId="6" type="noConversion"/>
  </si>
  <si>
    <t>Ⅶ-林河开发区</t>
    <phoneticPr fontId="6" type="noConversion"/>
  </si>
  <si>
    <t>Ⅶ-空港北区A</t>
    <phoneticPr fontId="6" type="noConversion"/>
  </si>
  <si>
    <r>
      <t>Ⅶ-昌平园北</t>
    </r>
    <r>
      <rPr>
        <sz val="8"/>
        <color indexed="8"/>
        <rFont val="宋体"/>
        <family val="3"/>
        <charset val="134"/>
      </rPr>
      <t>Ⅰ</t>
    </r>
    <phoneticPr fontId="6" type="noConversion"/>
  </si>
  <si>
    <t>Ⅶ-BDA南</t>
    <phoneticPr fontId="6" type="noConversion"/>
  </si>
  <si>
    <t>Ⅷ-昌平园北Ⅱ</t>
    <phoneticPr fontId="6" type="noConversion"/>
  </si>
  <si>
    <t>Ⅷ-昌平园北Ⅲ</t>
    <phoneticPr fontId="6" type="noConversion"/>
  </si>
  <si>
    <t>Ⅷ-昌平园南Ⅰ</t>
    <phoneticPr fontId="6" type="noConversion"/>
  </si>
  <si>
    <t>Ⅷ-昌平园南Ⅱ</t>
    <phoneticPr fontId="6" type="noConversion"/>
  </si>
  <si>
    <t>Ⅷ-小汤山工业园</t>
    <phoneticPr fontId="6" type="noConversion"/>
  </si>
  <si>
    <t>Ⅷ-生物医药基地</t>
    <phoneticPr fontId="6" type="noConversion"/>
  </si>
  <si>
    <t>Ⅸ-房山工业园西</t>
    <phoneticPr fontId="6" type="noConversion"/>
  </si>
  <si>
    <t>Ⅸ-房山工业园东</t>
    <phoneticPr fontId="6" type="noConversion"/>
  </si>
  <si>
    <t>Ⅸ-永乐开发区</t>
    <phoneticPr fontId="6" type="noConversion"/>
  </si>
  <si>
    <t>Ⅸ-采育开发区</t>
    <phoneticPr fontId="6" type="noConversion"/>
  </si>
  <si>
    <t>Ⅸ-雁栖开发区A</t>
    <phoneticPr fontId="6" type="noConversion"/>
  </si>
  <si>
    <t>Ⅸ-雁栖开发区B</t>
    <phoneticPr fontId="6" type="noConversion"/>
  </si>
  <si>
    <t>Ⅸ-雁栖开发区C</t>
    <phoneticPr fontId="6" type="noConversion"/>
  </si>
  <si>
    <t>Ⅸ-兴谷开发区A</t>
    <phoneticPr fontId="6" type="noConversion"/>
  </si>
  <si>
    <t>Ⅸ-兴谷开发区B</t>
    <phoneticPr fontId="6" type="noConversion"/>
  </si>
  <si>
    <t>Ⅸ-马坊工业园</t>
    <phoneticPr fontId="6" type="noConversion"/>
  </si>
  <si>
    <t>Ⅸ-密云开发区</t>
    <phoneticPr fontId="6" type="noConversion"/>
  </si>
  <si>
    <t>Ⅸ-延庆开发区</t>
    <phoneticPr fontId="6" type="noConversion"/>
  </si>
  <si>
    <t>Ⅸ-八达岭开发区</t>
    <phoneticPr fontId="6" type="noConversion"/>
  </si>
  <si>
    <t>北京市级别基准地价表（楼面地价）</t>
    <phoneticPr fontId="137" type="noConversion"/>
  </si>
  <si>
    <t>（一）北京市级别基准地价表</t>
    <phoneticPr fontId="137" type="noConversion"/>
  </si>
  <si>
    <t xml:space="preserve">基准期日：2021年１月１日                        </t>
    <phoneticPr fontId="137" type="noConversion"/>
  </si>
  <si>
    <t>单位：元／平方米</t>
    <phoneticPr fontId="137" type="noConversion"/>
  </si>
  <si>
    <t>公共服务</t>
    <phoneticPr fontId="137" type="noConversion"/>
  </si>
  <si>
    <t>（2）</t>
    <phoneticPr fontId="79" type="noConversion"/>
  </si>
  <si>
    <t>（3）</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</si>
  <si>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6" type="noConversion"/>
  </si>
  <si>
    <r>
      <rPr>
        <sz val="10"/>
        <rFont val="宋体"/>
        <family val="3"/>
        <charset val="134"/>
      </rPr>
      <t>浮动范围</t>
    </r>
    <r>
      <rPr>
        <sz val="10"/>
        <rFont val="Arial"/>
        <family val="2"/>
      </rPr>
      <t>1.00~1.05</t>
    </r>
    <phoneticPr fontId="6" type="noConversion"/>
  </si>
  <si>
    <r>
      <rPr>
        <sz val="10"/>
        <color rgb="FFFF0000"/>
        <rFont val="宋体"/>
        <family val="3"/>
        <charset val="134"/>
      </rPr>
      <t xml:space="preserve">不需调整填 " 1 </t>
    </r>
    <r>
      <rPr>
        <sz val="10"/>
        <rFont val="宋体"/>
        <family val="3"/>
        <charset val="134"/>
      </rPr>
      <t>"</t>
    </r>
    <phoneticPr fontId="6" type="noConversion"/>
  </si>
  <si>
    <t>（4）</t>
    <phoneticPr fontId="79" type="noConversion"/>
  </si>
  <si>
    <r>
      <rPr>
        <sz val="10"/>
        <rFont val="宋体"/>
        <family val="3"/>
        <charset val="134"/>
      </rPr>
      <t>无</t>
    </r>
    <phoneticPr fontId="6"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</si>
  <si>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6" type="noConversion"/>
  </si>
  <si>
    <t>（5）</t>
    <phoneticPr fontId="79" type="noConversion"/>
  </si>
  <si>
    <t>自持修正</t>
    <phoneticPr fontId="6" type="noConversion"/>
  </si>
  <si>
    <t>自持年期修正系数</t>
    <phoneticPr fontId="6" type="noConversion"/>
  </si>
  <si>
    <t>自持年期（n)</t>
    <phoneticPr fontId="6" type="noConversion"/>
  </si>
  <si>
    <t>自持面积</t>
    <phoneticPr fontId="6" type="noConversion"/>
  </si>
  <si>
    <t>自持面积比例</t>
    <phoneticPr fontId="6" type="noConversion"/>
  </si>
  <si>
    <t>Kn</t>
    <phoneticPr fontId="6" type="noConversion"/>
  </si>
  <si>
    <t>全部面积</t>
    <phoneticPr fontId="6" type="noConversion"/>
  </si>
  <si>
    <t>KN</t>
    <phoneticPr fontId="6" type="noConversion"/>
  </si>
  <si>
    <t>（6）</t>
    <phoneticPr fontId="79" type="noConversion"/>
  </si>
  <si>
    <t>按公示增长率计算</t>
  </si>
  <si>
    <r>
      <t>R</t>
    </r>
    <r>
      <rPr>
        <sz val="11"/>
        <rFont val="宋体"/>
        <family val="3"/>
        <charset val="134"/>
      </rPr>
      <t>＜</t>
    </r>
    <r>
      <rPr>
        <sz val="11"/>
        <rFont val="Arial"/>
        <family val="2"/>
      </rPr>
      <t>10</t>
    </r>
    <phoneticPr fontId="6" type="noConversion"/>
  </si>
  <si>
    <r>
      <t>R</t>
    </r>
    <r>
      <rPr>
        <sz val="11"/>
        <rFont val="宋体"/>
        <family val="3"/>
        <charset val="134"/>
      </rPr>
      <t>≥</t>
    </r>
    <r>
      <rPr>
        <sz val="11"/>
        <rFont val="Arial"/>
        <family val="2"/>
      </rPr>
      <t>10</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</si>
  <si>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6" type="noConversion"/>
  </si>
  <si>
    <t>楼面熟地价=适用的基准地价×用途修正系数×期日修正系数×年期修正系数×（容积率修正系数或楼层修正系数）×因素修正系数</t>
    <phoneticPr fontId="6" type="noConversion"/>
  </si>
  <si>
    <t>楼面熟地价=适用的基准地价×用途修正系数×期日修正系数×年期修正系数×因素修正系数×相应用途地下空间修正系数</t>
    <phoneticPr fontId="79" type="noConversion"/>
  </si>
  <si>
    <t>公共服务</t>
    <phoneticPr fontId="79" type="noConversion"/>
  </si>
  <si>
    <t>不低于</t>
    <phoneticPr fontId="6" type="noConversion"/>
  </si>
  <si>
    <t>不高于</t>
    <phoneticPr fontId="6" type="noConversion"/>
  </si>
  <si>
    <t>lpr</t>
    <phoneticPr fontId="6" type="noConversion"/>
  </si>
  <si>
    <t>加浮动点数</t>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</si>
  <si>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6" type="noConversion"/>
  </si>
  <si>
    <r>
      <t>6</t>
    </r>
    <r>
      <rPr>
        <sz val="10"/>
        <color theme="1"/>
        <rFont val="宋体"/>
        <family val="3"/>
        <charset val="134"/>
      </rPr>
      <t>层及以上</t>
    </r>
    <phoneticPr fontId="6" type="noConversion"/>
  </si>
  <si>
    <t>城市规划及区域土地利用方向</t>
    <phoneticPr fontId="6" type="noConversion"/>
  </si>
  <si>
    <t>城市规划及区域土地利用方向</t>
    <phoneticPr fontId="6" type="noConversion"/>
  </si>
  <si>
    <r>
      <rPr>
        <sz val="10"/>
        <color theme="1"/>
        <rFont val="宋体"/>
        <family val="3"/>
        <charset val="134"/>
      </rPr>
      <t>影响因素</t>
    </r>
    <phoneticPr fontId="6" type="noConversion"/>
  </si>
  <si>
    <t>物业聚集程度</t>
    <phoneticPr fontId="6" type="noConversion"/>
  </si>
  <si>
    <r>
      <rPr>
        <sz val="10"/>
        <color theme="1"/>
        <rFont val="宋体"/>
        <family val="3"/>
        <charset val="134"/>
      </rPr>
      <t>交通便捷度</t>
    </r>
    <phoneticPr fontId="6" type="noConversion"/>
  </si>
  <si>
    <r>
      <rPr>
        <sz val="10"/>
        <color theme="1"/>
        <rFont val="宋体"/>
        <family val="3"/>
        <charset val="134"/>
      </rPr>
      <t>临街宽度和深度</t>
    </r>
    <phoneticPr fontId="6"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</si>
  <si>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</si>
  <si>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</si>
  <si>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</si>
  <si>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</si>
  <si>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</si>
  <si>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</si>
  <si>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</si>
  <si>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</si>
  <si>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幅度控制</t>
    </r>
    <r>
      <rPr>
        <sz val="10"/>
        <color rgb="FFFF0000"/>
        <rFont val="Arial"/>
        <family val="2"/>
      </rPr>
      <t>(±)</t>
    </r>
    <phoneticPr fontId="6" type="noConversion"/>
  </si>
  <si>
    <r>
      <rPr>
        <sz val="10"/>
        <color indexed="8"/>
        <rFont val="宋体"/>
        <family val="3"/>
        <charset val="134"/>
      </rPr>
      <t>修正系数</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</si>
  <si>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6" type="noConversion"/>
  </si>
  <si>
    <r>
      <rPr>
        <sz val="10"/>
        <color theme="9" tint="-0.249977111117893"/>
        <rFont val="宋体"/>
        <family val="3"/>
        <charset val="134"/>
      </rPr>
      <t>宗地形状？，但对宗地利用影响？</t>
    </r>
    <phoneticPr fontId="6" type="noConversion"/>
  </si>
  <si>
    <r>
      <rPr>
        <sz val="10"/>
        <color rgb="FFFF0000"/>
        <rFont val="宋体"/>
        <family val="3"/>
        <charset val="134"/>
      </rPr>
      <t>各因素幅度控制</t>
    </r>
    <r>
      <rPr>
        <sz val="10"/>
        <color rgb="FFFF0000"/>
        <rFont val="Arial"/>
        <family val="2"/>
      </rPr>
      <t>(±)</t>
    </r>
    <phoneticPr fontId="6" type="noConversion"/>
  </si>
  <si>
    <r>
      <rPr>
        <sz val="10"/>
        <color indexed="8"/>
        <rFont val="宋体"/>
        <family val="3"/>
        <charset val="134"/>
      </rPr>
      <t>权重</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</si>
  <si>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</si>
  <si>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</si>
  <si>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</si>
  <si>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</si>
  <si>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</si>
  <si>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</si>
  <si>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</si>
  <si>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</si>
  <si>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</si>
  <si>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</si>
  <si>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</si>
  <si>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</si>
  <si>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</si>
  <si>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</si>
  <si>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</si>
  <si>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</si>
  <si>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</si>
  <si>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</si>
  <si>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</si>
  <si>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</si>
  <si>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</si>
  <si>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</si>
  <si>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</si>
  <si>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</si>
  <si>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</si>
  <si>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</si>
  <si>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</si>
  <si>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</si>
  <si>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</si>
  <si>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</si>
  <si>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</si>
  <si>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</si>
  <si>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</si>
  <si>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</si>
  <si>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</si>
  <si>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</si>
  <si>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</si>
  <si>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</si>
  <si>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</si>
  <si>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</si>
  <si>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</si>
  <si>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</si>
  <si>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</si>
  <si>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</si>
  <si>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</si>
  <si>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</si>
  <si>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</si>
  <si>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</si>
  <si>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</si>
  <si>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</si>
  <si>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</si>
  <si>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</si>
  <si>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</si>
  <si>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</si>
  <si>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</si>
  <si>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</si>
  <si>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</si>
  <si>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</si>
  <si>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</si>
  <si>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</si>
  <si>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</si>
  <si>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</si>
  <si>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9" type="noConversion"/>
  </si>
  <si>
    <t>承租人权益价值（单套）</t>
    <phoneticPr fontId="6" type="noConversion"/>
  </si>
  <si>
    <t>万元</t>
    <phoneticPr fontId="140" type="noConversion"/>
  </si>
  <si>
    <t>元/平方米</t>
  </si>
  <si>
    <t>2022-2</t>
    <phoneticPr fontId="6" type="noConversion"/>
  </si>
  <si>
    <t>需转化为价格</t>
    <phoneticPr fontId="137" type="noConversion"/>
  </si>
  <si>
    <t>租金</t>
    <phoneticPr fontId="137" type="noConversion"/>
  </si>
  <si>
    <t>直接资本化率</t>
    <phoneticPr fontId="137" type="noConversion"/>
  </si>
  <si>
    <t>需考虑建筑物残值</t>
  </si>
  <si>
    <t>2022-3</t>
    <phoneticPr fontId="137" type="noConversion"/>
  </si>
  <si>
    <t>2022-2</t>
    <phoneticPr fontId="6" type="noConversion"/>
  </si>
  <si>
    <t>2022-1</t>
    <phoneticPr fontId="6" type="noConversion"/>
  </si>
  <si>
    <t>2022-4</t>
    <phoneticPr fontId="6" type="noConversion"/>
  </si>
  <si>
    <t>2022-3</t>
    <phoneticPr fontId="6" type="noConversion"/>
  </si>
  <si>
    <t>2022-3</t>
    <phoneticPr fontId="6" type="noConversion"/>
  </si>
  <si>
    <t>2022-4</t>
    <phoneticPr fontId="6" type="noConversion"/>
  </si>
  <si>
    <t>2023-1</t>
    <phoneticPr fontId="6" type="noConversion"/>
  </si>
  <si>
    <t>2023-2</t>
    <phoneticPr fontId="6" type="noConversion"/>
  </si>
  <si>
    <t>2023-2</t>
    <phoneticPr fontId="6" type="noConversion"/>
  </si>
  <si>
    <t>2023-3</t>
    <phoneticPr fontId="6" type="noConversion"/>
  </si>
  <si>
    <t>2023-4</t>
    <phoneticPr fontId="6" type="noConversion"/>
  </si>
  <si>
    <t>2023-4</t>
    <phoneticPr fontId="6" type="noConversion"/>
  </si>
  <si>
    <t>2024-3</t>
    <phoneticPr fontId="6" type="noConversion"/>
  </si>
  <si>
    <t>2024-1</t>
    <phoneticPr fontId="6" type="noConversion"/>
  </si>
  <si>
    <t>2024-1</t>
    <phoneticPr fontId="6" type="noConversion"/>
  </si>
  <si>
    <t>2024-2</t>
    <phoneticPr fontId="6" type="noConversion"/>
  </si>
  <si>
    <t>2024-2</t>
    <phoneticPr fontId="6" type="noConversion"/>
  </si>
  <si>
    <t>公示增长率-城六区</t>
    <phoneticPr fontId="145" type="noConversion"/>
  </si>
  <si>
    <t>公示增长率-规划新城</t>
    <phoneticPr fontId="145" type="noConversion"/>
  </si>
  <si>
    <r>
      <t>非中心城区：除城六区外其余十一区，即</t>
    </r>
    <r>
      <rPr>
        <sz val="10"/>
        <rFont val="楷体_GB2312"/>
        <family val="3"/>
        <charset val="134"/>
      </rPr>
      <t>规划新城</t>
    </r>
    <phoneticPr fontId="145"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</si>
  <si>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5" type="noConversion"/>
  </si>
  <si>
    <t>2024-3</t>
    <phoneticPr fontId="6" type="noConversion"/>
  </si>
  <si>
    <r>
      <rPr>
        <sz val="10"/>
        <color rgb="FFFF0000"/>
        <rFont val="楷体_GB2312"/>
        <family val="3"/>
        <charset val="134"/>
      </rPr>
      <t>范围：5</t>
    </r>
    <r>
      <rPr>
        <sz val="10"/>
        <color rgb="FFFF0000"/>
        <rFont val="Arial"/>
        <family val="2"/>
      </rPr>
      <t>%-10%</t>
    </r>
    <phoneticPr fontId="6"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</si>
  <si>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6"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</si>
  <si>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6"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</si>
  <si>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6" type="noConversion"/>
  </si>
  <si>
    <t>建安计算</t>
    <phoneticPr fontId="137" type="noConversion"/>
  </si>
  <si>
    <t>项目</t>
    <phoneticPr fontId="137" type="noConversion"/>
  </si>
  <si>
    <t>面积</t>
    <phoneticPr fontId="137" type="noConversion"/>
  </si>
  <si>
    <t>单价</t>
    <phoneticPr fontId="137" type="noConversion"/>
  </si>
  <si>
    <t>总额</t>
    <phoneticPr fontId="137" type="noConversion"/>
  </si>
  <si>
    <t>主体</t>
    <phoneticPr fontId="137" type="noConversion"/>
  </si>
  <si>
    <t>地上</t>
    <phoneticPr fontId="137" type="noConversion"/>
  </si>
  <si>
    <t>地下</t>
    <phoneticPr fontId="137" type="noConversion"/>
  </si>
  <si>
    <t>设备</t>
    <phoneticPr fontId="137" type="noConversion"/>
  </si>
  <si>
    <t>装修</t>
    <phoneticPr fontId="137" type="noConversion"/>
  </si>
  <si>
    <t>综合</t>
    <phoneticPr fontId="137" type="noConversion"/>
  </si>
  <si>
    <t>室外工程</t>
    <phoneticPr fontId="137" type="noConversion"/>
  </si>
  <si>
    <t>人防工程</t>
    <phoneticPr fontId="137" type="noConversion"/>
  </si>
  <si>
    <t>合计</t>
    <phoneticPr fontId="137" type="noConversion"/>
  </si>
  <si>
    <r>
      <rPr>
        <sz val="10"/>
        <color rgb="FFFF0000"/>
        <rFont val="楷体_GB2312"/>
        <family val="3"/>
        <charset val="134"/>
      </rPr>
      <t>变化：</t>
    </r>
    <r>
      <rPr>
        <sz val="10"/>
        <color rgb="FFFF0000"/>
        <rFont val="Arial"/>
        <family val="2"/>
      </rPr>
      <t>2%-3%</t>
    </r>
    <phoneticPr fontId="6" type="noConversion"/>
  </si>
  <si>
    <t>2025-2</t>
    <phoneticPr fontId="6" type="noConversion"/>
  </si>
  <si>
    <t>2025-3</t>
    <phoneticPr fontId="6" type="noConversion"/>
  </si>
  <si>
    <t>2025-4</t>
    <phoneticPr fontId="6" type="noConversion"/>
  </si>
  <si>
    <t>平均</t>
  </si>
  <si>
    <t>住宅</t>
  </si>
  <si>
    <t>公共服务</t>
  </si>
  <si>
    <t>2025-1</t>
    <phoneticPr fontId="6" type="noConversion"/>
  </si>
  <si>
    <t>2024-4</t>
    <phoneticPr fontId="6" type="noConversion"/>
  </si>
  <si>
    <t>2025-1</t>
    <phoneticPr fontId="6" type="noConversion"/>
  </si>
  <si>
    <t>2025-2</t>
    <phoneticPr fontId="6" type="noConversion"/>
  </si>
  <si>
    <r>
      <t>1</t>
    </r>
    <r>
      <rPr>
        <sz val="11"/>
        <color theme="1"/>
        <rFont val="宋体"/>
        <family val="3"/>
        <charset val="134"/>
        <scheme val="minor"/>
      </rPr>
      <t>5号院5号楼5-1-4等47套住宅、13号院10幢-1-1006等1147个地下车位</t>
    </r>
    <phoneticPr fontId="137" type="noConversion"/>
  </si>
  <si>
    <r>
      <t>4</t>
    </r>
    <r>
      <rPr>
        <sz val="11"/>
        <color theme="1"/>
        <rFont val="宋体"/>
        <family val="3"/>
        <charset val="134"/>
        <scheme val="minor"/>
      </rPr>
      <t>7套住宅</t>
    </r>
    <phoneticPr fontId="137" type="noConversion"/>
  </si>
  <si>
    <t>万元</t>
    <phoneticPr fontId="137" type="noConversion"/>
  </si>
  <si>
    <t>土地</t>
    <phoneticPr fontId="137" type="noConversion"/>
  </si>
  <si>
    <t>建设成本</t>
    <phoneticPr fontId="137" type="noConversion"/>
  </si>
  <si>
    <r>
      <t>1</t>
    </r>
    <r>
      <rPr>
        <sz val="11"/>
        <color theme="1"/>
        <rFont val="宋体"/>
        <family val="3"/>
        <charset val="134"/>
        <scheme val="minor"/>
      </rPr>
      <t>147个车位</t>
    </r>
    <phoneticPr fontId="137" type="noConversion"/>
  </si>
  <si>
    <r>
      <t>6</t>
    </r>
    <r>
      <rPr>
        <sz val="11"/>
        <color theme="1"/>
        <rFont val="宋体"/>
        <family val="3"/>
        <charset val="134"/>
        <scheme val="minor"/>
      </rPr>
      <t>-1-1</t>
    </r>
    <phoneticPr fontId="137" type="noConversion"/>
  </si>
  <si>
    <r>
      <t>6</t>
    </r>
    <r>
      <rPr>
        <sz val="11"/>
        <color theme="1"/>
        <rFont val="宋体"/>
        <family val="3"/>
        <charset val="134"/>
        <scheme val="minor"/>
      </rPr>
      <t>-1-2</t>
    </r>
    <phoneticPr fontId="137" type="noConversion"/>
  </si>
  <si>
    <r>
      <t>6</t>
    </r>
    <r>
      <rPr>
        <sz val="11"/>
        <color theme="1"/>
        <rFont val="宋体"/>
        <family val="3"/>
        <charset val="134"/>
        <scheme val="minor"/>
      </rPr>
      <t>-1-3</t>
    </r>
    <phoneticPr fontId="137" type="noConversion"/>
  </si>
  <si>
    <r>
      <t>6</t>
    </r>
    <r>
      <rPr>
        <sz val="11"/>
        <color theme="1"/>
        <rFont val="宋体"/>
        <family val="3"/>
        <charset val="134"/>
        <scheme val="minor"/>
      </rPr>
      <t>-1-4</t>
    </r>
    <phoneticPr fontId="137" type="noConversion"/>
  </si>
  <si>
    <t>6-2-1</t>
    <phoneticPr fontId="137" type="noConversion"/>
  </si>
  <si>
    <r>
      <t>6</t>
    </r>
    <r>
      <rPr>
        <sz val="11"/>
        <color theme="1"/>
        <rFont val="宋体"/>
        <family val="3"/>
        <charset val="134"/>
        <scheme val="minor"/>
      </rPr>
      <t>-2-2</t>
    </r>
    <phoneticPr fontId="137" type="noConversion"/>
  </si>
  <si>
    <r>
      <t>6</t>
    </r>
    <r>
      <rPr>
        <sz val="11"/>
        <color theme="1"/>
        <rFont val="宋体"/>
        <family val="3"/>
        <charset val="134"/>
        <scheme val="minor"/>
      </rPr>
      <t>-2-3</t>
    </r>
    <phoneticPr fontId="137" type="noConversion"/>
  </si>
  <si>
    <r>
      <t>6</t>
    </r>
    <r>
      <rPr>
        <sz val="11"/>
        <color theme="1"/>
        <rFont val="宋体"/>
        <family val="3"/>
        <charset val="134"/>
        <scheme val="minor"/>
      </rPr>
      <t>-3-3</t>
    </r>
    <phoneticPr fontId="137" type="noConversion"/>
  </si>
  <si>
    <t>6-2-4</t>
    <phoneticPr fontId="137" type="noConversion"/>
  </si>
  <si>
    <r>
      <t>6</t>
    </r>
    <r>
      <rPr>
        <sz val="11"/>
        <color theme="1"/>
        <rFont val="宋体"/>
        <family val="3"/>
        <charset val="134"/>
        <scheme val="minor"/>
      </rPr>
      <t>-3-1</t>
    </r>
    <phoneticPr fontId="137" type="noConversion"/>
  </si>
  <si>
    <r>
      <t>1</t>
    </r>
    <r>
      <rPr>
        <sz val="11"/>
        <color theme="1"/>
        <rFont val="宋体"/>
        <family val="3"/>
        <charset val="134"/>
        <scheme val="minor"/>
      </rPr>
      <t>5-2-2</t>
    </r>
    <phoneticPr fontId="137" type="noConversion"/>
  </si>
  <si>
    <r>
      <t>1</t>
    </r>
    <r>
      <rPr>
        <sz val="11"/>
        <color theme="1"/>
        <rFont val="宋体"/>
        <family val="3"/>
        <charset val="134"/>
        <scheme val="minor"/>
      </rPr>
      <t>5-2-3</t>
    </r>
    <phoneticPr fontId="137" type="noConversion"/>
  </si>
  <si>
    <r>
      <t>1</t>
    </r>
    <r>
      <rPr>
        <sz val="11"/>
        <color theme="1"/>
        <rFont val="宋体"/>
        <family val="3"/>
        <charset val="134"/>
        <scheme val="minor"/>
      </rPr>
      <t>5-3-3</t>
    </r>
    <phoneticPr fontId="137" type="noConversion"/>
  </si>
  <si>
    <r>
      <t>1</t>
    </r>
    <r>
      <rPr>
        <sz val="11"/>
        <color theme="1"/>
        <rFont val="宋体"/>
        <family val="3"/>
        <charset val="134"/>
        <scheme val="minor"/>
      </rPr>
      <t>7-1-4</t>
    </r>
    <phoneticPr fontId="137" type="noConversion"/>
  </si>
  <si>
    <r>
      <t>1</t>
    </r>
    <r>
      <rPr>
        <sz val="11"/>
        <color theme="1"/>
        <rFont val="宋体"/>
        <family val="3"/>
        <charset val="134"/>
        <scheme val="minor"/>
      </rPr>
      <t>7-2-1</t>
    </r>
    <phoneticPr fontId="137" type="noConversion"/>
  </si>
  <si>
    <r>
      <t>1</t>
    </r>
    <r>
      <rPr>
        <sz val="11"/>
        <color theme="1"/>
        <rFont val="宋体"/>
        <family val="3"/>
        <charset val="134"/>
        <scheme val="minor"/>
      </rPr>
      <t>7-2-3</t>
    </r>
    <phoneticPr fontId="137" type="noConversion"/>
  </si>
  <si>
    <r>
      <t>1</t>
    </r>
    <r>
      <rPr>
        <sz val="11"/>
        <color theme="1"/>
        <rFont val="宋体"/>
        <family val="3"/>
        <charset val="134"/>
        <scheme val="minor"/>
      </rPr>
      <t>7-2-4</t>
    </r>
    <phoneticPr fontId="137" type="noConversion"/>
  </si>
  <si>
    <r>
      <t>1</t>
    </r>
    <r>
      <rPr>
        <sz val="11"/>
        <color theme="1"/>
        <rFont val="宋体"/>
        <family val="3"/>
        <charset val="134"/>
        <scheme val="minor"/>
      </rPr>
      <t>7-3-1</t>
    </r>
    <phoneticPr fontId="137" type="noConversion"/>
  </si>
  <si>
    <r>
      <t>1</t>
    </r>
    <r>
      <rPr>
        <sz val="11"/>
        <color theme="1"/>
        <rFont val="宋体"/>
        <family val="3"/>
        <charset val="134"/>
        <scheme val="minor"/>
      </rPr>
      <t>6-3-3</t>
    </r>
    <phoneticPr fontId="137" type="noConversion"/>
  </si>
  <si>
    <r>
      <t>5</t>
    </r>
    <r>
      <rPr>
        <sz val="11"/>
        <color theme="1"/>
        <rFont val="宋体"/>
        <family val="3"/>
        <charset val="134"/>
        <scheme val="minor"/>
      </rPr>
      <t>-1-4</t>
    </r>
    <phoneticPr fontId="137" type="noConversion"/>
  </si>
  <si>
    <r>
      <t>5</t>
    </r>
    <r>
      <rPr>
        <sz val="11"/>
        <color theme="1"/>
        <rFont val="宋体"/>
        <family val="3"/>
        <charset val="134"/>
        <scheme val="minor"/>
      </rPr>
      <t>-2-2</t>
    </r>
    <phoneticPr fontId="137" type="noConversion"/>
  </si>
  <si>
    <r>
      <t>5</t>
    </r>
    <r>
      <rPr>
        <sz val="11"/>
        <color theme="1"/>
        <rFont val="宋体"/>
        <family val="3"/>
        <charset val="134"/>
        <scheme val="minor"/>
      </rPr>
      <t>-2-3</t>
    </r>
    <phoneticPr fontId="137" type="noConversion"/>
  </si>
  <si>
    <r>
      <t>5</t>
    </r>
    <r>
      <rPr>
        <sz val="11"/>
        <color theme="1"/>
        <rFont val="宋体"/>
        <family val="3"/>
        <charset val="134"/>
        <scheme val="minor"/>
      </rPr>
      <t>-2-4</t>
    </r>
    <phoneticPr fontId="137" type="noConversion"/>
  </si>
  <si>
    <t>16-2-2</t>
    <phoneticPr fontId="137" type="noConversion"/>
  </si>
  <si>
    <t>16-3-1</t>
    <phoneticPr fontId="137" type="noConversion"/>
  </si>
  <si>
    <r>
      <t>5</t>
    </r>
    <r>
      <rPr>
        <sz val="11"/>
        <color theme="1"/>
        <rFont val="宋体"/>
        <family val="3"/>
        <charset val="134"/>
        <scheme val="minor"/>
      </rPr>
      <t>-3-3</t>
    </r>
    <phoneticPr fontId="137" type="noConversion"/>
  </si>
  <si>
    <r>
      <t>9</t>
    </r>
    <r>
      <rPr>
        <sz val="11"/>
        <color theme="1"/>
        <rFont val="宋体"/>
        <family val="3"/>
        <charset val="134"/>
        <scheme val="minor"/>
      </rPr>
      <t>-1-2</t>
    </r>
    <phoneticPr fontId="137" type="noConversion"/>
  </si>
  <si>
    <r>
      <t>9</t>
    </r>
    <r>
      <rPr>
        <sz val="11"/>
        <color theme="1"/>
        <rFont val="宋体"/>
        <family val="3"/>
        <charset val="134"/>
        <scheme val="minor"/>
      </rPr>
      <t>-1-3</t>
    </r>
    <phoneticPr fontId="137" type="noConversion"/>
  </si>
  <si>
    <r>
      <t>9</t>
    </r>
    <r>
      <rPr>
        <sz val="11"/>
        <color theme="1"/>
        <rFont val="宋体"/>
        <family val="3"/>
        <charset val="134"/>
        <scheme val="minor"/>
      </rPr>
      <t>-1-4</t>
    </r>
    <phoneticPr fontId="137" type="noConversion"/>
  </si>
  <si>
    <r>
      <t>9</t>
    </r>
    <r>
      <rPr>
        <sz val="11"/>
        <color theme="1"/>
        <rFont val="宋体"/>
        <family val="3"/>
        <charset val="134"/>
        <scheme val="minor"/>
      </rPr>
      <t>-2-1</t>
    </r>
    <phoneticPr fontId="137" type="noConversion"/>
  </si>
  <si>
    <r>
      <t>9</t>
    </r>
    <r>
      <rPr>
        <sz val="11"/>
        <color theme="1"/>
        <rFont val="宋体"/>
        <family val="3"/>
        <charset val="134"/>
        <scheme val="minor"/>
      </rPr>
      <t>-2-2</t>
    </r>
    <phoneticPr fontId="137" type="noConversion"/>
  </si>
  <si>
    <r>
      <t>9</t>
    </r>
    <r>
      <rPr>
        <sz val="11"/>
        <color theme="1"/>
        <rFont val="宋体"/>
        <family val="3"/>
        <charset val="134"/>
        <scheme val="minor"/>
      </rPr>
      <t>-2-3</t>
    </r>
    <phoneticPr fontId="137" type="noConversion"/>
  </si>
  <si>
    <r>
      <t>9</t>
    </r>
    <r>
      <rPr>
        <sz val="11"/>
        <color theme="1"/>
        <rFont val="宋体"/>
        <family val="3"/>
        <charset val="134"/>
        <scheme val="minor"/>
      </rPr>
      <t>-2-4</t>
    </r>
    <phoneticPr fontId="137" type="noConversion"/>
  </si>
  <si>
    <r>
      <t>9</t>
    </r>
    <r>
      <rPr>
        <sz val="11"/>
        <color theme="1"/>
        <rFont val="宋体"/>
        <family val="3"/>
        <charset val="134"/>
        <scheme val="minor"/>
      </rPr>
      <t>-3-3</t>
    </r>
    <phoneticPr fontId="137" type="noConversion"/>
  </si>
  <si>
    <r>
      <t>9</t>
    </r>
    <r>
      <rPr>
        <sz val="11"/>
        <color theme="1"/>
        <rFont val="宋体"/>
        <family val="3"/>
        <charset val="134"/>
        <scheme val="minor"/>
      </rPr>
      <t>-3-4</t>
    </r>
    <phoneticPr fontId="137" type="noConversion"/>
  </si>
  <si>
    <r>
      <t>8</t>
    </r>
    <r>
      <rPr>
        <sz val="11"/>
        <color theme="1"/>
        <rFont val="宋体"/>
        <family val="3"/>
        <charset val="134"/>
        <scheme val="minor"/>
      </rPr>
      <t>-1-1</t>
    </r>
    <phoneticPr fontId="137" type="noConversion"/>
  </si>
  <si>
    <t>8-1-2</t>
    <phoneticPr fontId="137" type="noConversion"/>
  </si>
  <si>
    <r>
      <t>8</t>
    </r>
    <r>
      <rPr>
        <sz val="11"/>
        <color theme="1"/>
        <rFont val="宋体"/>
        <family val="3"/>
        <charset val="134"/>
        <scheme val="minor"/>
      </rPr>
      <t>-2-1</t>
    </r>
    <phoneticPr fontId="137" type="noConversion"/>
  </si>
  <si>
    <r>
      <t>8</t>
    </r>
    <r>
      <rPr>
        <sz val="11"/>
        <color theme="1"/>
        <rFont val="宋体"/>
        <family val="3"/>
        <charset val="134"/>
        <scheme val="minor"/>
      </rPr>
      <t>-2-2</t>
    </r>
    <phoneticPr fontId="137" type="noConversion"/>
  </si>
  <si>
    <r>
      <t>8</t>
    </r>
    <r>
      <rPr>
        <sz val="11"/>
        <color theme="1"/>
        <rFont val="宋体"/>
        <family val="3"/>
        <charset val="134"/>
        <scheme val="minor"/>
      </rPr>
      <t>-3-1</t>
    </r>
    <phoneticPr fontId="137" type="noConversion"/>
  </si>
  <si>
    <r>
      <t>7</t>
    </r>
    <r>
      <rPr>
        <sz val="11"/>
        <color theme="1"/>
        <rFont val="宋体"/>
        <family val="3"/>
        <charset val="134"/>
        <scheme val="minor"/>
      </rPr>
      <t>-1-2</t>
    </r>
    <phoneticPr fontId="137" type="noConversion"/>
  </si>
  <si>
    <r>
      <t>7</t>
    </r>
    <r>
      <rPr>
        <sz val="11"/>
        <color theme="1"/>
        <rFont val="宋体"/>
        <family val="3"/>
        <charset val="134"/>
        <scheme val="minor"/>
      </rPr>
      <t>-1-3</t>
    </r>
    <phoneticPr fontId="137" type="noConversion"/>
  </si>
  <si>
    <r>
      <t>7</t>
    </r>
    <r>
      <rPr>
        <sz val="11"/>
        <color theme="1"/>
        <rFont val="宋体"/>
        <family val="3"/>
        <charset val="134"/>
        <scheme val="minor"/>
      </rPr>
      <t>-1-4</t>
    </r>
    <phoneticPr fontId="137" type="noConversion"/>
  </si>
  <si>
    <r>
      <t>7</t>
    </r>
    <r>
      <rPr>
        <sz val="11"/>
        <color theme="1"/>
        <rFont val="宋体"/>
        <family val="3"/>
        <charset val="134"/>
        <scheme val="minor"/>
      </rPr>
      <t>-2-1</t>
    </r>
    <phoneticPr fontId="137" type="noConversion"/>
  </si>
  <si>
    <r>
      <t>7</t>
    </r>
    <r>
      <rPr>
        <sz val="11"/>
        <color theme="1"/>
        <rFont val="宋体"/>
        <family val="3"/>
        <charset val="134"/>
        <scheme val="minor"/>
      </rPr>
      <t>-2-2</t>
    </r>
    <phoneticPr fontId="137" type="noConversion"/>
  </si>
  <si>
    <r>
      <t>7</t>
    </r>
    <r>
      <rPr>
        <sz val="11"/>
        <color theme="1"/>
        <rFont val="宋体"/>
        <family val="3"/>
        <charset val="134"/>
        <scheme val="minor"/>
      </rPr>
      <t>-2-4</t>
    </r>
    <phoneticPr fontId="137" type="noConversion"/>
  </si>
  <si>
    <r>
      <t>7</t>
    </r>
    <r>
      <rPr>
        <sz val="11"/>
        <color theme="1"/>
        <rFont val="宋体"/>
        <family val="3"/>
        <charset val="134"/>
        <scheme val="minor"/>
      </rPr>
      <t>-3-1</t>
    </r>
    <phoneticPr fontId="137" type="noConversion"/>
  </si>
  <si>
    <t>建筑面积</t>
    <phoneticPr fontId="137" type="noConversion"/>
  </si>
  <si>
    <t>房号</t>
    <phoneticPr fontId="137" type="noConversion"/>
  </si>
  <si>
    <t>车位总面积</t>
    <phoneticPr fontId="137" type="noConversion"/>
  </si>
  <si>
    <t>平均</t>
    <phoneticPr fontId="137" type="noConversion"/>
  </si>
  <si>
    <r>
      <t>2</t>
    </r>
    <r>
      <rPr>
        <sz val="11"/>
        <color theme="1"/>
        <rFont val="宋体"/>
        <family val="3"/>
        <charset val="134"/>
        <scheme val="minor"/>
      </rPr>
      <t>8-38不等</t>
    </r>
    <phoneticPr fontId="137" type="noConversion"/>
  </si>
  <si>
    <t>成新度</t>
  </si>
  <si>
    <t>抵押</t>
  </si>
  <si>
    <t>房地产抵押价值</t>
  </si>
  <si>
    <t>北京市</t>
  </si>
  <si>
    <t>企业</t>
  </si>
  <si>
    <t>居住项目</t>
  </si>
  <si>
    <t>现房</t>
  </si>
  <si>
    <t>是</t>
  </si>
  <si>
    <t>地上</t>
  </si>
  <si>
    <t>地下</t>
  </si>
  <si>
    <t>地下车位</t>
    <phoneticPr fontId="137" type="noConversion"/>
  </si>
  <si>
    <r>
      <t>1</t>
    </r>
    <r>
      <rPr>
        <sz val="11"/>
        <color theme="1"/>
        <rFont val="宋体"/>
        <family val="3"/>
        <charset val="134"/>
        <scheme val="minor"/>
      </rPr>
      <t>0幢-2-2001</t>
    </r>
    <phoneticPr fontId="137" type="noConversion"/>
  </si>
  <si>
    <t>面积</t>
    <phoneticPr fontId="137" type="noConversion"/>
  </si>
  <si>
    <t>建成年代</t>
    <phoneticPr fontId="6" type="noConversion"/>
  </si>
  <si>
    <t>根据中指</t>
    <phoneticPr fontId="6" type="noConversion"/>
  </si>
  <si>
    <t>拱辰街道</t>
    <phoneticPr fontId="6" type="noConversion"/>
  </si>
  <si>
    <t>押一</t>
  </si>
  <si>
    <t>钢混</t>
  </si>
  <si>
    <t>非生产用房</t>
  </si>
  <si>
    <t>否</t>
  </si>
  <si>
    <t>收益法 （车位）</t>
    <phoneticPr fontId="19" type="noConversion"/>
  </si>
  <si>
    <t>单套模式</t>
  </si>
  <si>
    <t>售价</t>
  </si>
  <si>
    <t>正常</t>
  </si>
  <si>
    <t>天恒水岸壹号</t>
    <phoneticPr fontId="6" type="noConversion"/>
  </si>
  <si>
    <t>———天恒水岸壹号——— 现房下跃109m²，地上精装 带南向花园 25 m²+6 米挑空地下室 50m²（地下毛坯） 📣428万起📣 ❀❀❀❀❀❀❀❀❀❀❀❀❀❀ 叠拼中心楼王13/14 号楼加推，上叠 185m² 709 万起，下叠 199m²799 万起</t>
    <phoneticPr fontId="137" type="noConversion"/>
  </si>
  <si>
    <t>上叠</t>
    <phoneticPr fontId="137" type="noConversion"/>
  </si>
  <si>
    <t>下叠</t>
    <phoneticPr fontId="137" type="noConversion"/>
  </si>
  <si>
    <t>总价</t>
    <phoneticPr fontId="137" type="noConversion"/>
  </si>
  <si>
    <t>链家在售</t>
    <phoneticPr fontId="137" type="noConversion"/>
  </si>
  <si>
    <t>上叠 185m² 699 万起（使用 380m²） 下叠 199m²799 万起（使用 400m²）</t>
    <phoneticPr fontId="137" type="noConversion"/>
  </si>
  <si>
    <t>元/月</t>
    <phoneticPr fontId="137" type="noConversion"/>
  </si>
  <si>
    <t>别墅区的车位是业主的。不租</t>
    <phoneticPr fontId="137" type="noConversion"/>
  </si>
  <si>
    <t>地下车位</t>
    <phoneticPr fontId="137" type="noConversion"/>
  </si>
  <si>
    <t>自定义</t>
  </si>
  <si>
    <t>地下车位售价</t>
    <phoneticPr fontId="137" type="noConversion"/>
  </si>
  <si>
    <t>万元左右</t>
    <phoneticPr fontId="137" type="noConversion"/>
  </si>
  <si>
    <t>别墅区车位，按照临停小时计算</t>
    <phoneticPr fontId="137" type="noConversion"/>
  </si>
  <si>
    <t>叠拼目前没有往外出租的，没有租金报价</t>
    <phoneticPr fontId="137" type="noConversion"/>
  </si>
  <si>
    <t>平层139.98，共15层，低楼层，精装修，空房无家具家电，季付价8000元/月</t>
    <phoneticPr fontId="137" type="noConversion"/>
  </si>
  <si>
    <t>比较法-住宅</t>
  </si>
  <si>
    <t>比较法-车位</t>
  </si>
  <si>
    <t>收益法 (元)</t>
  </si>
  <si>
    <t>5-1-4</t>
  </si>
  <si>
    <t>5-1-4</t>
    <phoneticPr fontId="27" type="noConversion"/>
  </si>
  <si>
    <t>6-1-1</t>
  </si>
  <si>
    <t>6-1-2</t>
  </si>
  <si>
    <t>6-1-3</t>
  </si>
  <si>
    <t>6-1-4</t>
  </si>
  <si>
    <t>6-2-1</t>
  </si>
  <si>
    <t>6-2-2</t>
  </si>
  <si>
    <t>6-2-3</t>
  </si>
  <si>
    <t>6-2-4</t>
  </si>
  <si>
    <t>6-3-1</t>
  </si>
  <si>
    <t>6-3-3</t>
  </si>
  <si>
    <t>15-2-2</t>
  </si>
  <si>
    <t>15-2-3</t>
  </si>
  <si>
    <t>15-3-3</t>
  </si>
  <si>
    <t>17-1-4</t>
  </si>
  <si>
    <t>17-2-1</t>
  </si>
  <si>
    <t>17-2-3</t>
  </si>
  <si>
    <t>17-2-4</t>
  </si>
  <si>
    <t>17-3-1</t>
  </si>
  <si>
    <t>16-2-2</t>
  </si>
  <si>
    <t>16-3-1</t>
  </si>
  <si>
    <t>16-3-3</t>
  </si>
  <si>
    <t>5-2-2</t>
  </si>
  <si>
    <t>5-2-3</t>
  </si>
  <si>
    <t>5-2-4</t>
  </si>
  <si>
    <t>5-3-3</t>
  </si>
  <si>
    <t>9-1-2</t>
  </si>
  <si>
    <t>9-1-3</t>
  </si>
  <si>
    <t>9-1-4</t>
  </si>
  <si>
    <t>9-2-1</t>
  </si>
  <si>
    <t>9-2-2</t>
  </si>
  <si>
    <t>9-2-3</t>
  </si>
  <si>
    <t>9-2-4</t>
  </si>
  <si>
    <t>9-3-3</t>
  </si>
  <si>
    <t>9-3-4</t>
  </si>
  <si>
    <t>8-1-1</t>
  </si>
  <si>
    <t>8-1-2</t>
  </si>
  <si>
    <t>8-2-1</t>
  </si>
  <si>
    <t>8-2-2</t>
  </si>
  <si>
    <t>8-3-1</t>
  </si>
  <si>
    <t>7-1-2</t>
  </si>
  <si>
    <t>7-1-3</t>
  </si>
  <si>
    <t>7-1-4</t>
  </si>
  <si>
    <t>7-2-1</t>
  </si>
  <si>
    <t>7-2-2</t>
  </si>
  <si>
    <t>7-2-4</t>
  </si>
  <si>
    <t>7-3-1</t>
  </si>
  <si>
    <t>楼面单价</t>
  </si>
  <si>
    <t>城镇住宅用地</t>
  </si>
  <si>
    <t>自定义容积率</t>
  </si>
  <si>
    <t>Ⅶ-房1</t>
  </si>
  <si>
    <t>有</t>
  </si>
  <si>
    <t>无</t>
  </si>
  <si>
    <t>500-1000米</t>
  </si>
  <si>
    <t>与级别开发程度一致</t>
  </si>
  <si>
    <t>中心城区以外</t>
  </si>
  <si>
    <t>较好</t>
  </si>
  <si>
    <t>较差</t>
  </si>
  <si>
    <t>好</t>
  </si>
  <si>
    <t>未包含在土地购买价格中</t>
  </si>
  <si>
    <t>已包含在土地取得成本中</t>
  </si>
  <si>
    <t>全部缴纳</t>
  </si>
  <si>
    <t>成本法-车位</t>
    <phoneticPr fontId="19" type="noConversion"/>
  </si>
  <si>
    <t>住宅总面积</t>
    <phoneticPr fontId="137" type="noConversion"/>
  </si>
  <si>
    <t>合计</t>
    <phoneticPr fontId="137" type="noConversion"/>
  </si>
  <si>
    <t>总价</t>
    <phoneticPr fontId="137" type="noConversion"/>
  </si>
  <si>
    <t>2024年世联总价值</t>
    <phoneticPr fontId="137" type="noConversion"/>
  </si>
  <si>
    <t>住宅</t>
    <phoneticPr fontId="137" type="noConversion"/>
  </si>
  <si>
    <t>车位</t>
    <phoneticPr fontId="137" type="noConversion"/>
  </si>
  <si>
    <t>单价</t>
    <phoneticPr fontId="137" type="noConversion"/>
  </si>
  <si>
    <r>
      <t>2</t>
    </r>
    <r>
      <rPr>
        <sz val="11"/>
        <color theme="1"/>
        <rFont val="宋体"/>
        <family val="2"/>
        <scheme val="minor"/>
      </rPr>
      <t>025年康正总价</t>
    </r>
    <phoneticPr fontId="137" type="noConversion"/>
  </si>
  <si>
    <t>万元</t>
    <phoneticPr fontId="137" type="noConversion"/>
  </si>
  <si>
    <t>成本法-住宅</t>
    <phoneticPr fontId="19" type="noConversion"/>
  </si>
  <si>
    <t>基准地价修正-住宅</t>
    <phoneticPr fontId="19" type="noConversion"/>
  </si>
  <si>
    <r>
      <rPr>
        <sz val="10"/>
        <color theme="9" tint="-0.249977111117893"/>
        <rFont val="宋体"/>
        <family val="3"/>
        <charset val="134"/>
      </rPr>
      <t>房山区揽秀南街</t>
    </r>
    <r>
      <rPr>
        <sz val="10"/>
        <color theme="9" tint="-0.249977111117893"/>
        <rFont val="Arial"/>
        <family val="2"/>
      </rPr>
      <t>15</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5-1-4</t>
    </r>
    <r>
      <rPr>
        <sz val="10"/>
        <color theme="9" tint="-0.249977111117893"/>
        <rFont val="宋体"/>
        <family val="3"/>
        <charset val="134"/>
      </rPr>
      <t>等</t>
    </r>
    <r>
      <rPr>
        <sz val="10"/>
        <color theme="9" tint="-0.249977111117893"/>
        <rFont val="Arial"/>
        <family val="2"/>
      </rPr>
      <t>47</t>
    </r>
    <r>
      <rPr>
        <sz val="10"/>
        <color theme="9" tint="-0.249977111117893"/>
        <rFont val="宋体"/>
        <family val="3"/>
        <charset val="134"/>
      </rPr>
      <t>套住宅、</t>
    </r>
    <r>
      <rPr>
        <sz val="10"/>
        <color theme="9" tint="-0.249977111117893"/>
        <rFont val="Arial"/>
        <family val="2"/>
      </rPr>
      <t>13</t>
    </r>
    <r>
      <rPr>
        <sz val="10"/>
        <color theme="9" tint="-0.249977111117893"/>
        <rFont val="宋体"/>
        <family val="3"/>
        <charset val="134"/>
      </rPr>
      <t>号院</t>
    </r>
    <r>
      <rPr>
        <sz val="10"/>
        <color theme="9" tint="-0.249977111117893"/>
        <rFont val="Arial"/>
        <family val="2"/>
      </rPr>
      <t>10</t>
    </r>
    <r>
      <rPr>
        <sz val="10"/>
        <color theme="9" tint="-0.249977111117893"/>
        <rFont val="宋体"/>
        <family val="3"/>
        <charset val="134"/>
      </rPr>
      <t>幢</t>
    </r>
    <r>
      <rPr>
        <sz val="10"/>
        <color theme="9" tint="-0.249977111117893"/>
        <rFont val="Arial"/>
        <family val="2"/>
      </rPr>
      <t>-1-1006</t>
    </r>
    <r>
      <rPr>
        <sz val="10"/>
        <color theme="9" tint="-0.249977111117893"/>
        <rFont val="宋体"/>
        <family val="3"/>
        <charset val="134"/>
      </rPr>
      <t>等</t>
    </r>
    <r>
      <rPr>
        <sz val="10"/>
        <color theme="9" tint="-0.249977111117893"/>
        <rFont val="Arial"/>
        <family val="2"/>
      </rPr>
      <t>1147</t>
    </r>
    <r>
      <rPr>
        <sz val="10"/>
        <color theme="9" tint="-0.249977111117893"/>
        <rFont val="宋体"/>
        <family val="3"/>
        <charset val="134"/>
      </rPr>
      <t>个地下车位</t>
    </r>
    <phoneticPr fontId="9" type="noConversion"/>
  </si>
  <si>
    <t>情况3</t>
  </si>
  <si>
    <t>自行开发建设</t>
  </si>
  <si>
    <t>非个人房产</t>
  </si>
  <si>
    <t>出让金+开发费</t>
  </si>
  <si>
    <t>企业提供（在右侧录入）</t>
  </si>
  <si>
    <t>根据委托书</t>
    <phoneticPr fontId="137" type="noConversion"/>
  </si>
  <si>
    <t>成本法-住宅</t>
  </si>
  <si>
    <t>建筑形式</t>
    <phoneticPr fontId="6" type="noConversion"/>
  </si>
  <si>
    <t>上叠</t>
  </si>
  <si>
    <t>上叠</t>
    <phoneticPr fontId="27" type="noConversion"/>
  </si>
  <si>
    <t>下叠</t>
    <phoneticPr fontId="27" type="noConversion"/>
  </si>
  <si>
    <t>下叠</t>
    <phoneticPr fontId="137" type="noConversion"/>
  </si>
  <si>
    <t>上叠</t>
    <phoneticPr fontId="137" type="noConversion"/>
  </si>
  <si>
    <t>地块名称</t>
  </si>
  <si>
    <t>省份</t>
  </si>
  <si>
    <t>城市</t>
  </si>
  <si>
    <t>区县</t>
  </si>
  <si>
    <t>板块</t>
  </si>
  <si>
    <t>公告编号</t>
  </si>
  <si>
    <t>地块编号</t>
  </si>
  <si>
    <t>土地位置</t>
  </si>
  <si>
    <t>建设用地面积(㎡)</t>
  </si>
  <si>
    <t>规划建筑面积(㎡)</t>
  </si>
  <si>
    <t>容积率上限</t>
  </si>
  <si>
    <t>成交时间</t>
  </si>
  <si>
    <t>成交价(万元)</t>
  </si>
  <si>
    <t>成交土地单价(元/㎡)</t>
  </si>
  <si>
    <t>成交每亩价(万元/亩)</t>
  </si>
  <si>
    <t>成交楼面价(元/㎡)</t>
  </si>
  <si>
    <t>推出特殊政策</t>
  </si>
  <si>
    <t>成交特殊政策</t>
  </si>
  <si>
    <t>特殊用地类型</t>
  </si>
  <si>
    <t>保障房类型</t>
  </si>
  <si>
    <t>推出保障房面积(㎡)</t>
  </si>
  <si>
    <t>成交保障房面积(㎡)</t>
  </si>
  <si>
    <t>推出自住房面积(㎡)</t>
  </si>
  <si>
    <t>成交自住房面积(㎡)</t>
  </si>
  <si>
    <t>用地性质</t>
  </si>
  <si>
    <t>详细规划</t>
  </si>
  <si>
    <t>建设用地分类</t>
  </si>
  <si>
    <t>出让年限(年)</t>
  </si>
  <si>
    <t>容积率</t>
  </si>
  <si>
    <t>商业比例(%)</t>
  </si>
  <si>
    <t>建筑密度</t>
  </si>
  <si>
    <t>限制高度</t>
  </si>
  <si>
    <t>出让方式</t>
  </si>
  <si>
    <t>集中供地</t>
  </si>
  <si>
    <t>公告时间</t>
  </si>
  <si>
    <t>起始时间</t>
  </si>
  <si>
    <t>截止时间</t>
  </si>
  <si>
    <t>交易状态</t>
  </si>
  <si>
    <t>开工进度</t>
  </si>
  <si>
    <t>受让单位</t>
  </si>
  <si>
    <t>拿地企业</t>
  </si>
  <si>
    <t>企业性质</t>
  </si>
  <si>
    <t>是否城投企业</t>
  </si>
  <si>
    <t>起始价(万元)</t>
  </si>
  <si>
    <t>保证金(万元)</t>
  </si>
  <si>
    <t>保证金截止时间</t>
  </si>
  <si>
    <t>推出土地单价(元/㎡)</t>
  </si>
  <si>
    <t>推出每亩价(万元/亩)</t>
  </si>
  <si>
    <t>推出楼面价(元/㎡)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</si>
  <si>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</si>
  <si>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</si>
  <si>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</si>
  <si>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</si>
  <si>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</si>
  <si>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</si>
  <si>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</si>
  <si>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</si>
  <si>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</si>
  <si>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</si>
  <si>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</si>
  <si>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</si>
  <si>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关联拟出让土地</t>
  </si>
  <si>
    <t>拟出让土地名称</t>
  </si>
  <si>
    <t>最早约定支付日期</t>
  </si>
  <si>
    <t>最早约定支付金额(万元)</t>
  </si>
  <si>
    <t>北京市房山区良乡大学城拓展东区FS00-0125-0008地块二类城镇住宅用地、FS00-0125-0004地块幼儿园用地</t>
  </si>
  <si>
    <t>北京</t>
  </si>
  <si>
    <t>房山区</t>
  </si>
  <si>
    <t>良乡大学城南</t>
  </si>
  <si>
    <t>京土储挂(房)[2024]027号</t>
  </si>
  <si>
    <t>房山区良乡大学城拓展东区</t>
  </si>
  <si>
    <t>2024-08-01</t>
  </si>
  <si>
    <t/>
  </si>
  <si>
    <t>住宅用地</t>
  </si>
  <si>
    <t>二类城镇住宅用地、幼儿园用地</t>
  </si>
  <si>
    <t>R居住用地</t>
  </si>
  <si>
    <t>居住 70 年 商业 40 年 办公 50 年</t>
  </si>
  <si>
    <t>0004:0.8,0008:2</t>
  </si>
  <si>
    <t>0004:16,0008:36</t>
  </si>
  <si>
    <t>挂牌</t>
  </si>
  <si>
    <t>2024-06-28</t>
  </si>
  <si>
    <t>2024-07-18</t>
  </si>
  <si>
    <t>已成交</t>
  </si>
  <si>
    <t>未开工</t>
  </si>
  <si>
    <t>北京城乡房屋建设开发有限责任公司</t>
  </si>
  <si>
    <t>北京建工</t>
  </si>
  <si>
    <t>地方国有企业</t>
  </si>
  <si>
    <t>城投企业</t>
  </si>
  <si>
    <t>2024-08-01 15:00</t>
  </si>
  <si>
    <t>7830元/㎡(八级住宅用途2021-01-01)</t>
  </si>
  <si>
    <t>璟贤瑞庭</t>
  </si>
  <si>
    <t>房山区拱辰街道</t>
  </si>
  <si>
    <t>北京市房山区长阳镇北广阳城棚户区改造二片区FS00-0105-0011、0023地块项目R2二类居住用地</t>
  </si>
  <si>
    <t>篱笆房</t>
  </si>
  <si>
    <t>京土储挂(房)[2023]062号</t>
  </si>
  <si>
    <t>房山区长阳镇及拱辰街道</t>
  </si>
  <si>
    <t>2023-12-20</t>
  </si>
  <si>
    <t>限地价,摇号/摇珠/抽签</t>
  </si>
  <si>
    <t>R2二类居住用地</t>
  </si>
  <si>
    <t>住宅70年</t>
  </si>
  <si>
    <t>0011:1.7,0023:2.1</t>
  </si>
  <si>
    <t>2023-11-16</t>
  </si>
  <si>
    <t>2023-12-06</t>
  </si>
  <si>
    <t>已开工</t>
  </si>
  <si>
    <t>北京城建房地产开发有限公司</t>
  </si>
  <si>
    <t>北京城建集团</t>
  </si>
  <si>
    <t>2023-12-20 15:00</t>
  </si>
  <si>
    <t>未触达</t>
  </si>
  <si>
    <t>10740元/㎡(七级住宅用途2021-01-01)</t>
  </si>
  <si>
    <t>北京城建·和知筑</t>
  </si>
  <si>
    <t>房山区长阳镇</t>
  </si>
  <si>
    <t>北京市房山区阎村镇FS07-0104-0077地块R2二类居住用地</t>
  </si>
  <si>
    <t>阎村西</t>
  </si>
  <si>
    <t>京土储挂(房)[2023]043号</t>
  </si>
  <si>
    <t>房山区阎村镇</t>
  </si>
  <si>
    <t>2023-09-26</t>
  </si>
  <si>
    <t>城镇住宅-普通商品住房用地</t>
  </si>
  <si>
    <t>70年</t>
  </si>
  <si>
    <t>1.50</t>
  </si>
  <si>
    <t>2023-08-22</t>
  </si>
  <si>
    <t>2023-09-12</t>
  </si>
  <si>
    <t>北京巨燕置业有限公司</t>
  </si>
  <si>
    <t>民营企业</t>
  </si>
  <si>
    <t>5540元/㎡(九级住宅用途2021-01-01)</t>
  </si>
  <si>
    <t>巨燕·燕京府</t>
  </si>
  <si>
    <t>北京市房山区城关中心区FS00-0230-0018地块R2二类居住用地</t>
  </si>
  <si>
    <t>城关</t>
  </si>
  <si>
    <t>京土储挂(房)[2023]028号</t>
  </si>
  <si>
    <t>房山区城关街道</t>
  </si>
  <si>
    <t>2023-06-30</t>
  </si>
  <si>
    <t>限地价</t>
  </si>
  <si>
    <t>≤2.8</t>
  </si>
  <si>
    <t>2023-05-26</t>
  </si>
  <si>
    <t>2023-06-15</t>
  </si>
  <si>
    <t>北京建工地产有限责任公司</t>
  </si>
  <si>
    <t>2023-06-29 17:00</t>
  </si>
  <si>
    <t>3630元/㎡(十级住宅用途2021-01-01)</t>
  </si>
  <si>
    <t>北京建工·揽星樾</t>
  </si>
  <si>
    <t>北京市房山区良乡大学城主园区FS00-0120-0023地块R2二类居住用地</t>
  </si>
  <si>
    <t>京土储挂(房)[2022]077号</t>
  </si>
  <si>
    <t>良乡高教园区</t>
  </si>
  <si>
    <t>2023-02-07</t>
  </si>
  <si>
    <t>限地价,现房销售,摇号/摇珠/抽签,限房价</t>
  </si>
  <si>
    <t>限地价,限房价</t>
  </si>
  <si>
    <t>2.50</t>
  </si>
  <si>
    <t>&lt;60米</t>
  </si>
  <si>
    <t>2022年第5批次</t>
  </si>
  <si>
    <t>2022-12-30</t>
  </si>
  <si>
    <t>2023-01-19</t>
  </si>
  <si>
    <t>中建智地置业有限公司</t>
  </si>
  <si>
    <t>中建一局</t>
  </si>
  <si>
    <t>中央国有企业</t>
  </si>
  <si>
    <t>2023-02-06 17:00</t>
  </si>
  <si>
    <t>中建房山·国贤府</t>
  </si>
  <si>
    <t>北京市房山区拱辰街道办事处FS00-LX05-0045地块R2二类居住用地</t>
  </si>
  <si>
    <t>良乡大学城北</t>
  </si>
  <si>
    <t>京土储挂(房)[2022]014号</t>
  </si>
  <si>
    <t>房山区拱辰街道办事处</t>
  </si>
  <si>
    <t>2022-02-16</t>
  </si>
  <si>
    <t>限房价,限地价,报高标准商品住宅建设方案,现房销售</t>
  </si>
  <si>
    <t>限房价,限地价</t>
  </si>
  <si>
    <t>1.60</t>
  </si>
  <si>
    <t>2022年第1批次</t>
  </si>
  <si>
    <t>2022-01-07</t>
  </si>
  <si>
    <t>2022-01-28</t>
  </si>
  <si>
    <t>2022-02-15 15:00</t>
  </si>
  <si>
    <t>春和印象</t>
  </si>
  <si>
    <t>北京市房山区拱辰街道FS00-0111-0017,0019地块R2二类居住用地(配建“保障性租赁住房”)</t>
  </si>
  <si>
    <t>京土整储挂(房)[2021]084号</t>
  </si>
  <si>
    <t>房山区拱辰街道东羊庄村</t>
  </si>
  <si>
    <t>2021-12-27</t>
  </si>
  <si>
    <t>限房价,限地价,报高标准商品住宅建设方案</t>
  </si>
  <si>
    <t>含保障房用地,含租赁住房用地</t>
  </si>
  <si>
    <t>保障性租赁住房</t>
  </si>
  <si>
    <t>居住70年,商业40年,办公54年</t>
  </si>
  <si>
    <t>2021年第3批次</t>
  </si>
  <si>
    <t>2021-11-19</t>
  </si>
  <si>
    <t>2021-12-10</t>
  </si>
  <si>
    <t>2021-12-24</t>
  </si>
  <si>
    <t>2021-12-23 15:00</t>
  </si>
  <si>
    <t>触达</t>
  </si>
  <si>
    <t>中建·学府印悦</t>
  </si>
  <si>
    <t>北京市房山区长沟镇新型城镇化建设北部浅山区土地一级开发项目FS12-0100-6017地块R2二类居住用地</t>
  </si>
  <si>
    <t>长沟镇</t>
  </si>
  <si>
    <t>京土整储挂(房)[2021]067号</t>
  </si>
  <si>
    <t>房山区长沟镇</t>
  </si>
  <si>
    <t>2021-10-12</t>
  </si>
  <si>
    <t>1.10</t>
  </si>
  <si>
    <t>2021年第2批次</t>
  </si>
  <si>
    <t>2021-08-30</t>
  </si>
  <si>
    <t>2021-09-23</t>
  </si>
  <si>
    <t>2021-10-11 15:00</t>
  </si>
  <si>
    <t>2180元/㎡(十一级住宅用途2021-01-01)</t>
  </si>
  <si>
    <t>北京市房山区轨道交通房山线稻田站02-5-09地块R2二类居住用地</t>
  </si>
  <si>
    <t>长阳西</t>
  </si>
  <si>
    <t>京土整储挂(房)[2020]025号</t>
  </si>
  <si>
    <t>2020-07-14</t>
  </si>
  <si>
    <t>限地价,竞自持,报高标准商品住宅建设方案</t>
  </si>
  <si>
    <t>居住70年</t>
  </si>
  <si>
    <t>≤2.4</t>
  </si>
  <si>
    <t>≤30%</t>
  </si>
  <si>
    <t>≤60米</t>
  </si>
  <si>
    <t>2020-06-10</t>
  </si>
  <si>
    <t>2020-06-30</t>
  </si>
  <si>
    <t>北京中海地产有限公司</t>
  </si>
  <si>
    <t>中海地产</t>
  </si>
  <si>
    <t>2020-07-13 15:00</t>
  </si>
  <si>
    <t>中海寰宇视界 ，中海寰宇视界SMART墅</t>
  </si>
  <si>
    <t>北京市房山区拱辰街道办事处FS00-LX05-0046、0056地块R2二类居住用地</t>
  </si>
  <si>
    <t>京土整储挂(房)[2020]018号</t>
  </si>
  <si>
    <t>2020-05-19</t>
  </si>
  <si>
    <t>限地价,限房价,竞自持,报高标准商品住宅建设方案</t>
  </si>
  <si>
    <t>配建自住房/共有产权房用地,纯自住房/共有产权房用地</t>
  </si>
  <si>
    <t>≤1.6</t>
  </si>
  <si>
    <t>≤18米</t>
  </si>
  <si>
    <t>2020-04-13</t>
  </si>
  <si>
    <t>2020-05-06</t>
  </si>
  <si>
    <t>中建一局集团房地产开发有限公司 、北京市城投嘉业房地产开发有限责任公司联合体</t>
  </si>
  <si>
    <t>2020-05-18 15:00</t>
  </si>
  <si>
    <t>中建·京西印玥</t>
  </si>
  <si>
    <t>北京市房山区青龙湖镇FS16-0201-0013地块R2二类居住用地</t>
  </si>
  <si>
    <t>青龙湖镇</t>
  </si>
  <si>
    <t>京土整储挂(房)[2018]012号</t>
  </si>
  <si>
    <t>房山区青龙湖镇</t>
  </si>
  <si>
    <t>2018-07-04</t>
  </si>
  <si>
    <t>限地价,限房价,竞自持,报高标准商品住宅建设方案,90/70</t>
  </si>
  <si>
    <t>限地价,限房价,90/70</t>
  </si>
  <si>
    <t>居住70年、商业40年、办公50年</t>
  </si>
  <si>
    <t>≤35%</t>
  </si>
  <si>
    <t>≤24</t>
  </si>
  <si>
    <t>2018-05-31</t>
  </si>
  <si>
    <t>2018-06-20</t>
  </si>
  <si>
    <t>已竣工</t>
  </si>
  <si>
    <t>深圳市新威佳辰投资咨询有限公司</t>
  </si>
  <si>
    <t>金地集团</t>
  </si>
  <si>
    <t>混合所有制</t>
  </si>
  <si>
    <t>2018-07-03 15:00</t>
  </si>
  <si>
    <t>金地·大湖风华</t>
  </si>
  <si>
    <t>房山区周口店镇02-0001等地块R2二类居住用地</t>
  </si>
  <si>
    <t>京土整储挂(房)[2017]042号</t>
  </si>
  <si>
    <t>房山区周口店镇</t>
  </si>
  <si>
    <t>2017-07-18</t>
  </si>
  <si>
    <t>限地价,限房价,竞自持,90/70</t>
  </si>
  <si>
    <t>含租赁住房用地</t>
  </si>
  <si>
    <t>2017-06-14</t>
  </si>
  <si>
    <t>2017-07-04</t>
  </si>
  <si>
    <t>北京万科企业有限公司 、深圳安创投资管理有限公司联合体</t>
  </si>
  <si>
    <t>万科</t>
  </si>
  <si>
    <t>2017-07-17 15:00</t>
  </si>
  <si>
    <t>万科七橡墅</t>
  </si>
  <si>
    <t>房山区韩村河镇02-0066地块</t>
  </si>
  <si>
    <t>韩村河镇</t>
  </si>
  <si>
    <t>京土整储挂(房)[2016]026号</t>
  </si>
  <si>
    <t>房山区韩村河镇</t>
  </si>
  <si>
    <t>2016-12-20</t>
  </si>
  <si>
    <t>限房价</t>
  </si>
  <si>
    <t>自住房/共有产权房</t>
  </si>
  <si>
    <t>1.40</t>
  </si>
  <si>
    <t>2016-11-16</t>
  </si>
  <si>
    <t>2016-12-06</t>
  </si>
  <si>
    <t>北京韩村河房地产开发有限公司</t>
  </si>
  <si>
    <t>2016-12-19 15:00</t>
  </si>
  <si>
    <t>韩建慧园</t>
  </si>
  <si>
    <t>房山区阎村镇04-0084地块R2二类居住用地</t>
  </si>
  <si>
    <t>京土整储挂(房)[2013]020号</t>
  </si>
  <si>
    <t>2013-02-28</t>
  </si>
  <si>
    <t>公共租赁房</t>
  </si>
  <si>
    <t>居住70年、商业40年、综合50年</t>
  </si>
  <si>
    <t>2013-01-25</t>
  </si>
  <si>
    <t>2013-02-16</t>
  </si>
  <si>
    <t>北京天恒乐活城置业有限公司</t>
  </si>
  <si>
    <t>房山区阎村镇02-0026地块R2二类居住用地项目</t>
  </si>
  <si>
    <t>京土整储挂(房)[2013]016号</t>
  </si>
  <si>
    <t>北京惠通华远国际会展中心有限公司</t>
  </si>
  <si>
    <t>东亚朗悦居</t>
  </si>
  <si>
    <t>房山区窦店镇01-0050、01-0055地块居住用地</t>
  </si>
  <si>
    <t>窦店镇</t>
  </si>
  <si>
    <t>京土整储挂(房)[2012]086号</t>
  </si>
  <si>
    <t>房山区窦店镇</t>
  </si>
  <si>
    <t>2013-01-24</t>
  </si>
  <si>
    <t>2012-12-21</t>
  </si>
  <si>
    <t>2013-01-10</t>
  </si>
  <si>
    <t>北京城建和泰房地产开发有限责任公司</t>
  </si>
  <si>
    <t>北京城建琨廷</t>
  </si>
  <si>
    <t>北京房山区长沟镇镇区改造一期B地块一类居住及居住区公共服务设施用地</t>
  </si>
  <si>
    <t>京土整储挂(房)[2011]096号</t>
  </si>
  <si>
    <t>2011-11-14</t>
  </si>
  <si>
    <t>R1一类居住用地、R1居住区公共服务设施用地</t>
  </si>
  <si>
    <t>R1一类居住用地、R2二类居住用地、A公共管理与公共服务用地</t>
  </si>
  <si>
    <t>1</t>
  </si>
  <si>
    <t>2011-09-07</t>
  </si>
  <si>
    <t>北京大河鸣泽投资管理有限公司</t>
  </si>
  <si>
    <t>房山区长阳镇哑叭河02-04-11二类居住用地项目(配建限价商品房)</t>
  </si>
  <si>
    <t>京土整储挂(房)[2011]086号</t>
  </si>
  <si>
    <t>2011-09-06</t>
  </si>
  <si>
    <t>2011-08-22</t>
  </si>
  <si>
    <t>北京天资置业集团有限公司</t>
  </si>
  <si>
    <t>天资华府</t>
  </si>
  <si>
    <t>良乡北潞馨家园住宅小区</t>
  </si>
  <si>
    <t>京土整储招(房)[2006]060号</t>
  </si>
  <si>
    <t>房山区良乡卫星城西侧</t>
  </si>
  <si>
    <t>2006-10-13</t>
  </si>
  <si>
    <t>1.19</t>
  </si>
  <si>
    <t>招标</t>
  </si>
  <si>
    <t>北京昊远隆基房地产开发总公司</t>
  </si>
  <si>
    <t>北潞馨家园 ，北潞·尚界</t>
  </si>
  <si>
    <t>房山区长沟镇(镇区改造一期A地块北区)居住项目国有建设用地</t>
  </si>
  <si>
    <t>大石窝镇</t>
  </si>
  <si>
    <t>京土整储招(房)[2010]098号</t>
  </si>
  <si>
    <t>2010-11-03</t>
  </si>
  <si>
    <t>居住用地</t>
  </si>
  <si>
    <t>居住70年商业40年综合50年</t>
  </si>
  <si>
    <t>0.59</t>
  </si>
  <si>
    <t>2010-10-20</t>
  </si>
  <si>
    <t>长海御墅</t>
  </si>
  <si>
    <t>房山区窦店镇(田家园小区)住宅项目用地</t>
  </si>
  <si>
    <t>京土整储挂(房)[2008]041号</t>
  </si>
  <si>
    <t>2008-11-24</t>
  </si>
  <si>
    <t>住宅及居住公共设施</t>
  </si>
  <si>
    <t>U公用设施用地、R居住用地</t>
  </si>
  <si>
    <t>2008-11-10</t>
  </si>
  <si>
    <t>北京田家园房地产开发有限公司</t>
  </si>
  <si>
    <t>天地新城</t>
  </si>
  <si>
    <t>房山区长阳镇(广阳城住宅小区)居住项目国有建设用地</t>
  </si>
  <si>
    <t>京土整储挂(房)[2010]148号</t>
  </si>
  <si>
    <t>房山区长阳镇(东至北京市长阳农工商公司;西至北京鑫海碧波房地产开发有限公司;南至黄良铁路;北至长阳镇人民政府国有土地)</t>
  </si>
  <si>
    <t>2010-12-28</t>
  </si>
  <si>
    <t>2010-12-14</t>
  </si>
  <si>
    <t>北京昂内房地产开发有限公司与北京亚太环宇投资管理有限公司联合体</t>
  </si>
  <si>
    <t>邑上公馆</t>
  </si>
  <si>
    <t>房山区房山新城良乡组团11街区11-04-01等地块二类居住及托幼用地</t>
  </si>
  <si>
    <t>京土整储挂(房)[2011]093号</t>
  </si>
  <si>
    <t>2011-09-21</t>
  </si>
  <si>
    <t>R2二类居住用地、R53托幼用地</t>
  </si>
  <si>
    <t>2.32</t>
  </si>
  <si>
    <t>北京韩建房地产开发有限公司</t>
  </si>
  <si>
    <t>韩建青春誌</t>
  </si>
  <si>
    <t>房山区广阳家园A、B区(D、E地块)居住项目用地</t>
  </si>
  <si>
    <t>京土整储挂(房)[2007]062号</t>
  </si>
  <si>
    <t>房山区长阳镇长阳一村</t>
  </si>
  <si>
    <t>2007-12-17</t>
  </si>
  <si>
    <t>居住、可兼容配套</t>
  </si>
  <si>
    <t>居住70年、商业40年</t>
  </si>
  <si>
    <t>2007-12-03</t>
  </si>
  <si>
    <t>中铁房地产集团有限公司</t>
  </si>
  <si>
    <t>中国铁建</t>
  </si>
  <si>
    <t>原香小镇一区</t>
  </si>
  <si>
    <t>房山区长阳镇04-2-04二类居住用地</t>
  </si>
  <si>
    <t>京土整储挂(房)[2011]075号</t>
  </si>
  <si>
    <t>2011-08-19</t>
  </si>
  <si>
    <t>2011-08-04</t>
  </si>
  <si>
    <t>北京文鹏金瑞房地产开发有限公司</t>
  </si>
  <si>
    <t>房山区良乡高教园区中央设施区西区北侧住宅混合公建项目国有建设用地</t>
  </si>
  <si>
    <t>京土整储挂(房)[2010]139号</t>
  </si>
  <si>
    <t>房山区拱辰街道办事处(东至学园北街(良乡高教园十六号路);西至阳光北大街;南至长虹东路;北至明理西路(良乡高教园六号路))</t>
  </si>
  <si>
    <t>2010-12-24</t>
  </si>
  <si>
    <t>住宅混合公建用地</t>
  </si>
  <si>
    <t>2.80</t>
  </si>
  <si>
    <t>2010-12-09</t>
  </si>
  <si>
    <t>2010-12-20</t>
  </si>
  <si>
    <t>北京首都开发股份有限公司</t>
  </si>
  <si>
    <t>首开股份</t>
  </si>
  <si>
    <t>首开熙悦睿府书香</t>
  </si>
  <si>
    <t>房山区高教园区09-03-09F1住宅混合公建用地</t>
  </si>
  <si>
    <t>京土整储挂(房)[2011]141号</t>
  </si>
  <si>
    <t>房山区良乡高教园区</t>
  </si>
  <si>
    <t>2011-12-19</t>
  </si>
  <si>
    <t>F1住宅混合公建用地</t>
  </si>
  <si>
    <t>住宅70年,商业40年,综合50年</t>
  </si>
  <si>
    <t>2011-11-29</t>
  </si>
  <si>
    <t>北京房开控股集团有限公司 、北京韩建房地产开发有限公司联合体</t>
  </si>
  <si>
    <t>智汇雅苑</t>
  </si>
  <si>
    <t>住宅</t>
    <phoneticPr fontId="33" type="noConversion"/>
  </si>
  <si>
    <r>
      <rPr>
        <sz val="11"/>
        <rFont val="宋体"/>
        <family val="3"/>
        <charset val="134"/>
      </rPr>
      <t>宗地面积根据</t>
    </r>
    <r>
      <rPr>
        <sz val="11"/>
        <rFont val="Arial"/>
        <family val="2"/>
      </rPr>
      <t>2023-1-0333</t>
    </r>
    <phoneticPr fontId="33" type="noConversion"/>
  </si>
  <si>
    <t>七通</t>
  </si>
  <si>
    <t>七通</t>
    <phoneticPr fontId="33" type="noConversion"/>
  </si>
  <si>
    <t>六通</t>
  </si>
  <si>
    <t>六通</t>
    <phoneticPr fontId="33" type="noConversion"/>
  </si>
  <si>
    <t>五通</t>
  </si>
  <si>
    <t>五通</t>
    <phoneticPr fontId="33" type="noConversion"/>
  </si>
  <si>
    <t>一般</t>
  </si>
  <si>
    <t>六级</t>
    <phoneticPr fontId="33" type="noConversion"/>
  </si>
  <si>
    <t>七级</t>
    <phoneticPr fontId="33" type="noConversion"/>
  </si>
  <si>
    <t>八级</t>
    <phoneticPr fontId="33" type="noConversion"/>
  </si>
  <si>
    <t>较规则</t>
  </si>
  <si>
    <t>较规则</t>
    <phoneticPr fontId="33" type="noConversion"/>
  </si>
  <si>
    <t>不规则</t>
    <phoneticPr fontId="33" type="noConversion"/>
  </si>
  <si>
    <t>较好</t>
    <phoneticPr fontId="33" type="noConversion"/>
  </si>
  <si>
    <t>需求：住宅3.3+车位1.9，共5.2亿</t>
    <phoneticPr fontId="137" type="noConversion"/>
  </si>
  <si>
    <t>规则</t>
    <phoneticPr fontId="33" type="noConversion"/>
  </si>
  <si>
    <t>收益法-住宅</t>
    <phoneticPr fontId="19" type="noConversion"/>
  </si>
  <si>
    <t>住宅车位面积合计</t>
    <phoneticPr fontId="137" type="noConversion"/>
  </si>
  <si>
    <t>叠拼</t>
  </si>
  <si>
    <t>叠拼</t>
    <phoneticPr fontId="27" type="noConversion"/>
  </si>
  <si>
    <t>钢混</t>
    <phoneticPr fontId="27" type="noConversion"/>
  </si>
  <si>
    <t>上叠</t>
    <phoneticPr fontId="27" type="noConversion"/>
  </si>
  <si>
    <t>下叠</t>
    <phoneticPr fontId="27" type="noConversion"/>
  </si>
  <si>
    <t>精装修</t>
    <phoneticPr fontId="27" type="noConversion"/>
  </si>
  <si>
    <t>普通装修</t>
    <phoneticPr fontId="27" type="noConversion"/>
  </si>
  <si>
    <t>简单装修</t>
    <phoneticPr fontId="27" type="noConversion"/>
  </si>
  <si>
    <t>毛坯</t>
  </si>
  <si>
    <t>毛坯</t>
    <phoneticPr fontId="27" type="noConversion"/>
  </si>
  <si>
    <t>住宅</t>
    <phoneticPr fontId="27" type="noConversion"/>
  </si>
  <si>
    <r>
      <t>60-70</t>
    </r>
    <r>
      <rPr>
        <sz val="11"/>
        <color indexed="8"/>
        <rFont val="宋体"/>
        <family val="3"/>
        <charset val="134"/>
      </rPr>
      <t>（含）</t>
    </r>
    <phoneticPr fontId="27" type="noConversion"/>
  </si>
  <si>
    <t>地下车位</t>
  </si>
  <si>
    <t>地下车位</t>
    <phoneticPr fontId="34" type="noConversion"/>
  </si>
  <si>
    <r>
      <rPr>
        <sz val="9"/>
        <color rgb="FF000000"/>
        <rFont val="宋体"/>
        <family val="3"/>
        <charset val="134"/>
      </rPr>
      <t>楼层</t>
    </r>
    <phoneticPr fontId="6" type="noConversion"/>
  </si>
  <si>
    <r>
      <rPr>
        <sz val="9"/>
        <color rgb="FF000000"/>
        <rFont val="宋体"/>
        <family val="3"/>
        <charset val="134"/>
      </rPr>
      <t>车位号</t>
    </r>
    <phoneticPr fontId="6" type="noConversion"/>
  </si>
  <si>
    <r>
      <rPr>
        <sz val="9"/>
        <rFont val="宋体"/>
        <family val="3"/>
        <charset val="134"/>
      </rPr>
      <t>房山区揽秀南街</t>
    </r>
    <r>
      <rPr>
        <sz val="9"/>
        <rFont val="Arial"/>
        <family val="2"/>
      </rPr>
      <t>13</t>
    </r>
    <r>
      <rPr>
        <sz val="9"/>
        <rFont val="宋体"/>
        <family val="3"/>
        <charset val="134"/>
      </rPr>
      <t>号院</t>
    </r>
  </si>
  <si>
    <r>
      <rPr>
        <sz val="9"/>
        <rFont val="宋体"/>
        <family val="3"/>
        <charset val="134"/>
      </rPr>
      <t>车库</t>
    </r>
  </si>
  <si>
    <r>
      <rPr>
        <sz val="9"/>
        <rFont val="Arial"/>
        <family val="2"/>
      </rPr>
      <t>10</t>
    </r>
    <r>
      <rPr>
        <sz val="9"/>
        <rFont val="宋体"/>
        <family val="3"/>
        <charset val="134"/>
      </rPr>
      <t>幢</t>
    </r>
  </si>
  <si>
    <r>
      <rPr>
        <sz val="9"/>
        <rFont val="Arial"/>
        <family val="2"/>
      </rPr>
      <t>-2</t>
    </r>
    <r>
      <rPr>
        <sz val="9"/>
        <rFont val="宋体"/>
        <family val="3"/>
        <charset val="134"/>
      </rPr>
      <t>层</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</si>
  <si>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2001</t>
    </r>
  </si>
  <si>
    <r>
      <t>10</t>
    </r>
    <r>
      <rPr>
        <sz val="9"/>
        <rFont val="宋体"/>
        <family val="3"/>
        <charset val="134"/>
      </rPr>
      <t>幢</t>
    </r>
    <r>
      <rPr>
        <sz val="9"/>
        <rFont val="Arial"/>
        <family val="2"/>
      </rPr>
      <t>-2-2002</t>
    </r>
    <phoneticPr fontId="6"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</si>
  <si>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2003</t>
    </r>
  </si>
  <si>
    <r>
      <rPr>
        <sz val="9"/>
        <rFont val="Arial"/>
        <family val="2"/>
      </rPr>
      <t>10</t>
    </r>
    <r>
      <rPr>
        <sz val="9"/>
        <rFont val="宋体"/>
        <family val="3"/>
        <charset val="134"/>
      </rPr>
      <t>幢</t>
    </r>
    <r>
      <rPr>
        <sz val="9"/>
        <rFont val="Arial"/>
        <family val="2"/>
      </rPr>
      <t>-2-2004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</si>
  <si>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2005</t>
    </r>
  </si>
  <si>
    <r>
      <rPr>
        <sz val="9"/>
        <rFont val="Arial"/>
        <family val="2"/>
      </rPr>
      <t>10</t>
    </r>
    <r>
      <rPr>
        <sz val="9"/>
        <rFont val="宋体"/>
        <family val="3"/>
        <charset val="134"/>
      </rPr>
      <t>幢</t>
    </r>
    <r>
      <rPr>
        <sz val="9"/>
        <rFont val="Arial"/>
        <family val="2"/>
      </rPr>
      <t>-2-2006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</si>
  <si>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2007</t>
    </r>
  </si>
  <si>
    <r>
      <rPr>
        <sz val="9"/>
        <rFont val="Arial"/>
        <family val="2"/>
      </rPr>
      <t>10</t>
    </r>
    <r>
      <rPr>
        <sz val="9"/>
        <rFont val="宋体"/>
        <family val="3"/>
        <charset val="134"/>
      </rPr>
      <t>幢</t>
    </r>
    <r>
      <rPr>
        <sz val="9"/>
        <rFont val="Arial"/>
        <family val="2"/>
      </rPr>
      <t>-2-2008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</si>
  <si>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2009</t>
    </r>
  </si>
  <si>
    <r>
      <rPr>
        <sz val="9"/>
        <rFont val="Arial"/>
        <family val="2"/>
      </rPr>
      <t>10</t>
    </r>
    <r>
      <rPr>
        <sz val="9"/>
        <rFont val="宋体"/>
        <family val="3"/>
        <charset val="134"/>
      </rPr>
      <t>幢</t>
    </r>
    <r>
      <rPr>
        <sz val="9"/>
        <rFont val="Arial"/>
        <family val="2"/>
      </rPr>
      <t>-2-2010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</si>
  <si>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2011</t>
    </r>
  </si>
  <si>
    <r>
      <rPr>
        <sz val="9"/>
        <rFont val="Arial"/>
        <family val="2"/>
      </rPr>
      <t>10</t>
    </r>
    <r>
      <rPr>
        <sz val="9"/>
        <rFont val="宋体"/>
        <family val="3"/>
        <charset val="134"/>
      </rPr>
      <t>幢</t>
    </r>
    <r>
      <rPr>
        <sz val="9"/>
        <rFont val="Arial"/>
        <family val="2"/>
      </rPr>
      <t>-2-2012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</si>
  <si>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2013</t>
    </r>
  </si>
  <si>
    <r>
      <rPr>
        <sz val="9"/>
        <rFont val="Arial"/>
        <family val="2"/>
      </rPr>
      <t>10</t>
    </r>
    <r>
      <rPr>
        <sz val="9"/>
        <rFont val="宋体"/>
        <family val="3"/>
        <charset val="134"/>
      </rPr>
      <t>幢</t>
    </r>
    <r>
      <rPr>
        <sz val="9"/>
        <rFont val="Arial"/>
        <family val="2"/>
      </rPr>
      <t>-2-2014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</si>
  <si>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2015</t>
    </r>
  </si>
  <si>
    <r>
      <rPr>
        <sz val="9"/>
        <rFont val="Arial"/>
        <family val="2"/>
      </rPr>
      <t>10</t>
    </r>
    <r>
      <rPr>
        <sz val="9"/>
        <rFont val="宋体"/>
        <family val="3"/>
        <charset val="134"/>
      </rPr>
      <t>幢</t>
    </r>
    <r>
      <rPr>
        <sz val="9"/>
        <rFont val="Arial"/>
        <family val="2"/>
      </rPr>
      <t>-2-2016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</si>
  <si>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2017</t>
    </r>
  </si>
  <si>
    <r>
      <rPr>
        <sz val="9"/>
        <rFont val="Arial"/>
        <family val="2"/>
      </rPr>
      <t>10</t>
    </r>
    <r>
      <rPr>
        <sz val="9"/>
        <rFont val="宋体"/>
        <family val="3"/>
        <charset val="134"/>
      </rPr>
      <t>幢</t>
    </r>
    <r>
      <rPr>
        <sz val="9"/>
        <rFont val="Arial"/>
        <family val="2"/>
      </rPr>
      <t>-2-2018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</si>
  <si>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2019</t>
    </r>
  </si>
  <si>
    <r>
      <rPr>
        <sz val="9"/>
        <rFont val="Arial"/>
        <family val="2"/>
      </rPr>
      <t>10</t>
    </r>
    <r>
      <rPr>
        <sz val="9"/>
        <rFont val="宋体"/>
        <family val="3"/>
        <charset val="134"/>
      </rPr>
      <t>幢</t>
    </r>
    <r>
      <rPr>
        <sz val="9"/>
        <rFont val="Arial"/>
        <family val="2"/>
      </rPr>
      <t>-2-2020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</si>
  <si>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2021</t>
    </r>
  </si>
  <si>
    <r>
      <rPr>
        <sz val="9"/>
        <rFont val="Arial"/>
        <family val="2"/>
      </rPr>
      <t>10</t>
    </r>
    <r>
      <rPr>
        <sz val="9"/>
        <rFont val="宋体"/>
        <family val="3"/>
        <charset val="134"/>
      </rPr>
      <t>幢</t>
    </r>
    <r>
      <rPr>
        <sz val="9"/>
        <rFont val="Arial"/>
        <family val="2"/>
      </rPr>
      <t>-2-2022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</si>
  <si>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2023</t>
    </r>
  </si>
  <si>
    <r>
      <rPr>
        <sz val="9"/>
        <rFont val="Arial"/>
        <family val="2"/>
      </rPr>
      <t>10</t>
    </r>
    <r>
      <rPr>
        <sz val="9"/>
        <rFont val="宋体"/>
        <family val="3"/>
        <charset val="134"/>
      </rPr>
      <t>幢</t>
    </r>
    <r>
      <rPr>
        <sz val="9"/>
        <rFont val="Arial"/>
        <family val="2"/>
      </rPr>
      <t>-2-2024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</si>
  <si>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2025</t>
    </r>
  </si>
  <si>
    <r>
      <rPr>
        <sz val="9"/>
        <rFont val="Arial"/>
        <family val="2"/>
      </rPr>
      <t>10</t>
    </r>
    <r>
      <rPr>
        <sz val="9"/>
        <rFont val="宋体"/>
        <family val="3"/>
        <charset val="134"/>
      </rPr>
      <t>幢</t>
    </r>
    <r>
      <rPr>
        <sz val="9"/>
        <rFont val="Arial"/>
        <family val="2"/>
      </rPr>
      <t>-2-2026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</si>
  <si>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2027</t>
    </r>
  </si>
  <si>
    <r>
      <rPr>
        <sz val="9"/>
        <rFont val="Arial"/>
        <family val="2"/>
      </rPr>
      <t>10</t>
    </r>
    <r>
      <rPr>
        <sz val="9"/>
        <rFont val="宋体"/>
        <family val="3"/>
        <charset val="134"/>
      </rPr>
      <t>幢</t>
    </r>
    <r>
      <rPr>
        <sz val="9"/>
        <rFont val="Arial"/>
        <family val="2"/>
      </rPr>
      <t>-2-2028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</si>
  <si>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2029</t>
    </r>
  </si>
  <si>
    <r>
      <rPr>
        <sz val="9"/>
        <rFont val="Arial"/>
        <family val="2"/>
      </rPr>
      <t>10</t>
    </r>
    <r>
      <rPr>
        <sz val="9"/>
        <rFont val="宋体"/>
        <family val="3"/>
        <charset val="134"/>
      </rPr>
      <t>幢</t>
    </r>
    <r>
      <rPr>
        <sz val="9"/>
        <rFont val="Arial"/>
        <family val="2"/>
      </rPr>
      <t>-2-2030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</si>
  <si>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2031</t>
    </r>
  </si>
  <si>
    <r>
      <t>-2</t>
    </r>
    <r>
      <rPr>
        <sz val="9"/>
        <color rgb="FF000000"/>
        <rFont val="宋体"/>
        <family val="3"/>
        <charset val="134"/>
      </rPr>
      <t>层</t>
    </r>
    <phoneticPr fontId="6" type="noConversion"/>
  </si>
  <si>
    <r>
      <rPr>
        <sz val="9"/>
        <rFont val="Arial"/>
        <family val="2"/>
      </rPr>
      <t>10</t>
    </r>
    <r>
      <rPr>
        <sz val="9"/>
        <rFont val="宋体"/>
        <family val="3"/>
        <charset val="134"/>
      </rPr>
      <t>幢</t>
    </r>
    <r>
      <rPr>
        <sz val="9"/>
        <rFont val="Arial"/>
        <family val="2"/>
      </rPr>
      <t>-2-2032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</si>
  <si>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2033</t>
    </r>
  </si>
  <si>
    <r>
      <rPr>
        <sz val="9"/>
        <rFont val="Arial"/>
        <family val="2"/>
      </rPr>
      <t>10</t>
    </r>
    <r>
      <rPr>
        <sz val="9"/>
        <rFont val="宋体"/>
        <family val="3"/>
        <charset val="134"/>
      </rPr>
      <t>幢</t>
    </r>
    <r>
      <rPr>
        <sz val="9"/>
        <rFont val="Arial"/>
        <family val="2"/>
      </rPr>
      <t>-2-2034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</si>
  <si>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2035</t>
    </r>
  </si>
  <si>
    <r>
      <rPr>
        <sz val="9"/>
        <rFont val="Arial"/>
        <family val="2"/>
      </rPr>
      <t>10</t>
    </r>
    <r>
      <rPr>
        <sz val="9"/>
        <rFont val="宋体"/>
        <family val="3"/>
        <charset val="134"/>
      </rPr>
      <t>幢</t>
    </r>
    <r>
      <rPr>
        <sz val="9"/>
        <rFont val="Arial"/>
        <family val="2"/>
      </rPr>
      <t>-2-2036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</si>
  <si>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2037</t>
    </r>
  </si>
  <si>
    <r>
      <rPr>
        <sz val="9"/>
        <rFont val="Arial"/>
        <family val="2"/>
      </rPr>
      <t>10</t>
    </r>
    <r>
      <rPr>
        <sz val="9"/>
        <rFont val="宋体"/>
        <family val="3"/>
        <charset val="134"/>
      </rPr>
      <t>幢</t>
    </r>
    <r>
      <rPr>
        <sz val="9"/>
        <rFont val="Arial"/>
        <family val="2"/>
      </rPr>
      <t>-2-2038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</si>
  <si>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2039</t>
    </r>
  </si>
  <si>
    <r>
      <t>10</t>
    </r>
    <r>
      <rPr>
        <sz val="9"/>
        <rFont val="宋体"/>
        <family val="3"/>
        <charset val="134"/>
      </rPr>
      <t>幢</t>
    </r>
    <r>
      <rPr>
        <sz val="9"/>
        <rFont val="Arial"/>
        <family val="2"/>
      </rPr>
      <t>-2-2040</t>
    </r>
    <phoneticPr fontId="6"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</si>
  <si>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2041</t>
    </r>
  </si>
  <si>
    <r>
      <rPr>
        <sz val="9"/>
        <rFont val="Arial"/>
        <family val="2"/>
      </rPr>
      <t>10</t>
    </r>
    <r>
      <rPr>
        <sz val="9"/>
        <rFont val="宋体"/>
        <family val="3"/>
        <charset val="134"/>
      </rPr>
      <t>幢</t>
    </r>
    <r>
      <rPr>
        <sz val="9"/>
        <rFont val="Arial"/>
        <family val="2"/>
      </rPr>
      <t>-2-2042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</si>
  <si>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2043</t>
    </r>
  </si>
  <si>
    <r>
      <rPr>
        <sz val="9"/>
        <rFont val="Arial"/>
        <family val="2"/>
      </rPr>
      <t>10</t>
    </r>
    <r>
      <rPr>
        <sz val="9"/>
        <rFont val="宋体"/>
        <family val="3"/>
        <charset val="134"/>
      </rPr>
      <t>幢</t>
    </r>
    <r>
      <rPr>
        <sz val="9"/>
        <rFont val="Arial"/>
        <family val="2"/>
      </rPr>
      <t>-2-2044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</si>
  <si>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2045</t>
    </r>
  </si>
  <si>
    <r>
      <rPr>
        <sz val="9"/>
        <rFont val="Arial"/>
        <family val="2"/>
      </rPr>
      <t>10</t>
    </r>
    <r>
      <rPr>
        <sz val="9"/>
        <rFont val="宋体"/>
        <family val="3"/>
        <charset val="134"/>
      </rPr>
      <t>幢</t>
    </r>
    <r>
      <rPr>
        <sz val="9"/>
        <rFont val="Arial"/>
        <family val="2"/>
      </rPr>
      <t>-2-2046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</si>
  <si>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2047</t>
    </r>
  </si>
  <si>
    <r>
      <rPr>
        <sz val="9"/>
        <rFont val="Arial"/>
        <family val="2"/>
      </rPr>
      <t>10</t>
    </r>
    <r>
      <rPr>
        <sz val="9"/>
        <rFont val="宋体"/>
        <family val="3"/>
        <charset val="134"/>
      </rPr>
      <t>幢</t>
    </r>
    <r>
      <rPr>
        <sz val="9"/>
        <rFont val="Arial"/>
        <family val="2"/>
      </rPr>
      <t>-2-2048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</si>
  <si>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2049</t>
    </r>
  </si>
  <si>
    <r>
      <rPr>
        <sz val="9"/>
        <rFont val="Arial"/>
        <family val="2"/>
      </rPr>
      <t>10</t>
    </r>
    <r>
      <rPr>
        <sz val="9"/>
        <rFont val="宋体"/>
        <family val="3"/>
        <charset val="134"/>
      </rPr>
      <t>幢</t>
    </r>
    <r>
      <rPr>
        <sz val="9"/>
        <rFont val="Arial"/>
        <family val="2"/>
      </rPr>
      <t>-2-2050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</si>
  <si>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2051</t>
    </r>
  </si>
  <si>
    <r>
      <rPr>
        <sz val="9"/>
        <rFont val="Arial"/>
        <family val="2"/>
      </rPr>
      <t>10</t>
    </r>
    <r>
      <rPr>
        <sz val="9"/>
        <rFont val="宋体"/>
        <family val="3"/>
        <charset val="134"/>
      </rPr>
      <t>幢</t>
    </r>
    <r>
      <rPr>
        <sz val="9"/>
        <rFont val="Arial"/>
        <family val="2"/>
      </rPr>
      <t>-2-2052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</si>
  <si>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2053</t>
    </r>
  </si>
  <si>
    <r>
      <rPr>
        <sz val="9"/>
        <rFont val="Arial"/>
        <family val="2"/>
      </rPr>
      <t>10</t>
    </r>
    <r>
      <rPr>
        <sz val="9"/>
        <rFont val="宋体"/>
        <family val="3"/>
        <charset val="134"/>
      </rPr>
      <t>幢</t>
    </r>
    <r>
      <rPr>
        <sz val="9"/>
        <rFont val="Arial"/>
        <family val="2"/>
      </rPr>
      <t>-2-2054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</si>
  <si>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2055</t>
    </r>
  </si>
  <si>
    <r>
      <rPr>
        <sz val="9"/>
        <rFont val="Arial"/>
        <family val="2"/>
      </rPr>
      <t>10</t>
    </r>
    <r>
      <rPr>
        <sz val="9"/>
        <rFont val="宋体"/>
        <family val="3"/>
        <charset val="134"/>
      </rPr>
      <t>幢</t>
    </r>
    <r>
      <rPr>
        <sz val="9"/>
        <rFont val="Arial"/>
        <family val="2"/>
      </rPr>
      <t>-2-2056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</si>
  <si>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2057</t>
    </r>
  </si>
  <si>
    <r>
      <rPr>
        <sz val="9"/>
        <rFont val="Arial"/>
        <family val="2"/>
      </rPr>
      <t>10</t>
    </r>
    <r>
      <rPr>
        <sz val="9"/>
        <rFont val="宋体"/>
        <family val="3"/>
        <charset val="134"/>
      </rPr>
      <t>幢</t>
    </r>
    <r>
      <rPr>
        <sz val="9"/>
        <rFont val="Arial"/>
        <family val="2"/>
      </rPr>
      <t>-2-2058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</si>
  <si>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2059</t>
    </r>
  </si>
  <si>
    <r>
      <rPr>
        <sz val="9"/>
        <rFont val="Arial"/>
        <family val="2"/>
      </rPr>
      <t>10</t>
    </r>
    <r>
      <rPr>
        <sz val="9"/>
        <rFont val="宋体"/>
        <family val="3"/>
        <charset val="134"/>
      </rPr>
      <t>幢</t>
    </r>
    <r>
      <rPr>
        <sz val="9"/>
        <rFont val="Arial"/>
        <family val="2"/>
      </rPr>
      <t>-2-2060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</si>
  <si>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2061</t>
    </r>
  </si>
  <si>
    <r>
      <rPr>
        <sz val="9"/>
        <rFont val="Arial"/>
        <family val="2"/>
      </rPr>
      <t>10</t>
    </r>
    <r>
      <rPr>
        <sz val="9"/>
        <rFont val="宋体"/>
        <family val="3"/>
        <charset val="134"/>
      </rPr>
      <t>幢</t>
    </r>
    <r>
      <rPr>
        <sz val="9"/>
        <rFont val="Arial"/>
        <family val="2"/>
      </rPr>
      <t>-2-2062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</si>
  <si>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2063</t>
    </r>
  </si>
  <si>
    <r>
      <rPr>
        <sz val="9"/>
        <rFont val="Arial"/>
        <family val="2"/>
      </rPr>
      <t>10</t>
    </r>
    <r>
      <rPr>
        <sz val="9"/>
        <rFont val="宋体"/>
        <family val="3"/>
        <charset val="134"/>
      </rPr>
      <t>幢</t>
    </r>
    <r>
      <rPr>
        <sz val="9"/>
        <rFont val="Arial"/>
        <family val="2"/>
      </rPr>
      <t>-2-2064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</si>
  <si>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2065</t>
    </r>
  </si>
  <si>
    <r>
      <rPr>
        <sz val="9"/>
        <rFont val="Arial"/>
        <family val="2"/>
      </rPr>
      <t>10</t>
    </r>
    <r>
      <rPr>
        <sz val="9"/>
        <rFont val="宋体"/>
        <family val="3"/>
        <charset val="134"/>
      </rPr>
      <t>幢</t>
    </r>
    <r>
      <rPr>
        <sz val="9"/>
        <rFont val="Arial"/>
        <family val="2"/>
      </rPr>
      <t>-2-2066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</si>
  <si>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2067</t>
    </r>
  </si>
  <si>
    <r>
      <rPr>
        <sz val="9"/>
        <rFont val="Arial"/>
        <family val="2"/>
      </rPr>
      <t>10</t>
    </r>
    <r>
      <rPr>
        <sz val="9"/>
        <rFont val="宋体"/>
        <family val="3"/>
        <charset val="134"/>
      </rPr>
      <t>幢</t>
    </r>
    <r>
      <rPr>
        <sz val="9"/>
        <rFont val="Arial"/>
        <family val="2"/>
      </rPr>
      <t>-2-2068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</si>
  <si>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2069</t>
    </r>
  </si>
  <si>
    <r>
      <rPr>
        <sz val="9"/>
        <rFont val="Arial"/>
        <family val="2"/>
      </rPr>
      <t>10</t>
    </r>
    <r>
      <rPr>
        <sz val="9"/>
        <rFont val="宋体"/>
        <family val="3"/>
        <charset val="134"/>
      </rPr>
      <t>幢</t>
    </r>
    <r>
      <rPr>
        <sz val="9"/>
        <rFont val="Arial"/>
        <family val="2"/>
      </rPr>
      <t>-2-2070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</si>
  <si>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2071</t>
    </r>
  </si>
  <si>
    <r>
      <rPr>
        <sz val="9"/>
        <rFont val="Arial"/>
        <family val="2"/>
      </rPr>
      <t>10</t>
    </r>
    <r>
      <rPr>
        <sz val="9"/>
        <rFont val="宋体"/>
        <family val="3"/>
        <charset val="134"/>
      </rPr>
      <t>幢</t>
    </r>
    <r>
      <rPr>
        <sz val="9"/>
        <rFont val="Arial"/>
        <family val="2"/>
      </rPr>
      <t>-2-2072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</si>
  <si>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2073</t>
    </r>
  </si>
  <si>
    <r>
      <rPr>
        <sz val="9"/>
        <rFont val="Arial"/>
        <family val="2"/>
      </rPr>
      <t>10</t>
    </r>
    <r>
      <rPr>
        <sz val="9"/>
        <rFont val="宋体"/>
        <family val="3"/>
        <charset val="134"/>
      </rPr>
      <t>幢</t>
    </r>
    <r>
      <rPr>
        <sz val="9"/>
        <rFont val="Arial"/>
        <family val="2"/>
      </rPr>
      <t>-2-2074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</si>
  <si>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2075</t>
    </r>
  </si>
  <si>
    <r>
      <rPr>
        <sz val="9"/>
        <rFont val="Arial"/>
        <family val="2"/>
      </rPr>
      <t>10</t>
    </r>
    <r>
      <rPr>
        <sz val="9"/>
        <rFont val="宋体"/>
        <family val="3"/>
        <charset val="134"/>
      </rPr>
      <t>幢</t>
    </r>
    <r>
      <rPr>
        <sz val="9"/>
        <rFont val="Arial"/>
        <family val="2"/>
      </rPr>
      <t>-2-2076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</si>
  <si>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2077</t>
    </r>
  </si>
  <si>
    <r>
      <rPr>
        <sz val="9"/>
        <rFont val="Arial"/>
        <family val="2"/>
      </rPr>
      <t>10</t>
    </r>
    <r>
      <rPr>
        <sz val="9"/>
        <rFont val="宋体"/>
        <family val="3"/>
        <charset val="134"/>
      </rPr>
      <t>幢</t>
    </r>
    <r>
      <rPr>
        <sz val="9"/>
        <rFont val="Arial"/>
        <family val="2"/>
      </rPr>
      <t>-2-2078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</si>
  <si>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2079</t>
    </r>
  </si>
  <si>
    <r>
      <rPr>
        <sz val="9"/>
        <rFont val="Arial"/>
        <family val="2"/>
      </rPr>
      <t>10</t>
    </r>
    <r>
      <rPr>
        <sz val="9"/>
        <rFont val="宋体"/>
        <family val="3"/>
        <charset val="134"/>
      </rPr>
      <t>幢</t>
    </r>
    <r>
      <rPr>
        <sz val="9"/>
        <rFont val="Arial"/>
        <family val="2"/>
      </rPr>
      <t>-2-2080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</si>
  <si>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2081</t>
    </r>
  </si>
  <si>
    <r>
      <rPr>
        <sz val="9"/>
        <rFont val="Arial"/>
        <family val="2"/>
      </rPr>
      <t>10</t>
    </r>
    <r>
      <rPr>
        <sz val="9"/>
        <rFont val="宋体"/>
        <family val="3"/>
        <charset val="134"/>
      </rPr>
      <t>幢</t>
    </r>
    <r>
      <rPr>
        <sz val="9"/>
        <rFont val="Arial"/>
        <family val="2"/>
      </rPr>
      <t>-2-2082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</si>
  <si>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2083</t>
    </r>
  </si>
  <si>
    <r>
      <rPr>
        <sz val="9"/>
        <rFont val="Arial"/>
        <family val="2"/>
      </rPr>
      <t>10</t>
    </r>
    <r>
      <rPr>
        <sz val="9"/>
        <rFont val="宋体"/>
        <family val="3"/>
        <charset val="134"/>
      </rPr>
      <t>幢</t>
    </r>
    <r>
      <rPr>
        <sz val="9"/>
        <rFont val="Arial"/>
        <family val="2"/>
      </rPr>
      <t>-2-2084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</si>
  <si>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2085</t>
    </r>
  </si>
  <si>
    <r>
      <rPr>
        <sz val="9"/>
        <rFont val="Arial"/>
        <family val="2"/>
      </rPr>
      <t>10</t>
    </r>
    <r>
      <rPr>
        <sz val="9"/>
        <rFont val="宋体"/>
        <family val="3"/>
        <charset val="134"/>
      </rPr>
      <t>幢</t>
    </r>
    <r>
      <rPr>
        <sz val="9"/>
        <rFont val="Arial"/>
        <family val="2"/>
      </rPr>
      <t>-2-2086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</si>
  <si>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2087</t>
    </r>
  </si>
  <si>
    <r>
      <rPr>
        <sz val="9"/>
        <rFont val="Arial"/>
        <family val="2"/>
      </rPr>
      <t>10</t>
    </r>
    <r>
      <rPr>
        <sz val="9"/>
        <rFont val="宋体"/>
        <family val="3"/>
        <charset val="134"/>
      </rPr>
      <t>幢</t>
    </r>
    <r>
      <rPr>
        <sz val="9"/>
        <rFont val="Arial"/>
        <family val="2"/>
      </rPr>
      <t>-2-2088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</si>
  <si>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2089</t>
    </r>
  </si>
  <si>
    <r>
      <t>10</t>
    </r>
    <r>
      <rPr>
        <sz val="9"/>
        <rFont val="宋体"/>
        <family val="3"/>
        <charset val="134"/>
      </rPr>
      <t>幢</t>
    </r>
    <r>
      <rPr>
        <sz val="9"/>
        <rFont val="Arial"/>
        <family val="2"/>
      </rPr>
      <t>-2-2090</t>
    </r>
    <phoneticPr fontId="6"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</si>
  <si>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2091</t>
    </r>
  </si>
  <si>
    <r>
      <rPr>
        <sz val="9"/>
        <rFont val="Arial"/>
        <family val="2"/>
      </rPr>
      <t>10</t>
    </r>
    <r>
      <rPr>
        <sz val="9"/>
        <rFont val="宋体"/>
        <family val="3"/>
        <charset val="134"/>
      </rPr>
      <t>幢</t>
    </r>
    <r>
      <rPr>
        <sz val="9"/>
        <rFont val="Arial"/>
        <family val="2"/>
      </rPr>
      <t>-2-2092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</si>
  <si>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2093</t>
    </r>
  </si>
  <si>
    <r>
      <rPr>
        <sz val="9"/>
        <rFont val="Arial"/>
        <family val="2"/>
      </rPr>
      <t>10</t>
    </r>
    <r>
      <rPr>
        <sz val="9"/>
        <rFont val="宋体"/>
        <family val="3"/>
        <charset val="134"/>
      </rPr>
      <t>幢</t>
    </r>
    <r>
      <rPr>
        <sz val="9"/>
        <rFont val="Arial"/>
        <family val="2"/>
      </rPr>
      <t>-2-2094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</si>
  <si>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2095</t>
    </r>
  </si>
  <si>
    <r>
      <rPr>
        <sz val="9"/>
        <rFont val="Arial"/>
        <family val="2"/>
      </rPr>
      <t>10</t>
    </r>
    <r>
      <rPr>
        <sz val="9"/>
        <rFont val="宋体"/>
        <family val="3"/>
        <charset val="134"/>
      </rPr>
      <t>幢</t>
    </r>
    <r>
      <rPr>
        <sz val="9"/>
        <rFont val="Arial"/>
        <family val="2"/>
      </rPr>
      <t>-2-2096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</si>
  <si>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2097</t>
    </r>
  </si>
  <si>
    <r>
      <rPr>
        <sz val="9"/>
        <rFont val="Arial"/>
        <family val="2"/>
      </rPr>
      <t>10</t>
    </r>
    <r>
      <rPr>
        <sz val="9"/>
        <rFont val="宋体"/>
        <family val="3"/>
        <charset val="134"/>
      </rPr>
      <t>幢</t>
    </r>
    <r>
      <rPr>
        <sz val="9"/>
        <rFont val="Arial"/>
        <family val="2"/>
      </rPr>
      <t>-2-2098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</si>
  <si>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2099</t>
    </r>
  </si>
  <si>
    <r>
      <rPr>
        <sz val="9"/>
        <rFont val="Arial"/>
        <family val="2"/>
      </rPr>
      <t>10</t>
    </r>
    <r>
      <rPr>
        <sz val="9"/>
        <rFont val="宋体"/>
        <family val="3"/>
        <charset val="134"/>
      </rPr>
      <t>幢</t>
    </r>
    <r>
      <rPr>
        <sz val="9"/>
        <rFont val="Arial"/>
        <family val="2"/>
      </rPr>
      <t>-2-2100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</si>
  <si>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2101</t>
    </r>
  </si>
  <si>
    <r>
      <rPr>
        <sz val="9"/>
        <rFont val="Arial"/>
        <family val="2"/>
      </rPr>
      <t>10</t>
    </r>
    <r>
      <rPr>
        <sz val="9"/>
        <rFont val="宋体"/>
        <family val="3"/>
        <charset val="134"/>
      </rPr>
      <t>幢</t>
    </r>
    <r>
      <rPr>
        <sz val="9"/>
        <rFont val="Arial"/>
        <family val="2"/>
      </rPr>
      <t>-2-2102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</si>
  <si>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2103</t>
    </r>
  </si>
  <si>
    <r>
      <rPr>
        <sz val="9"/>
        <rFont val="Arial"/>
        <family val="2"/>
      </rPr>
      <t>10</t>
    </r>
    <r>
      <rPr>
        <sz val="9"/>
        <rFont val="宋体"/>
        <family val="3"/>
        <charset val="134"/>
      </rPr>
      <t>幢</t>
    </r>
    <r>
      <rPr>
        <sz val="9"/>
        <rFont val="Arial"/>
        <family val="2"/>
      </rPr>
      <t>-2-2104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</si>
  <si>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2105</t>
    </r>
  </si>
  <si>
    <r>
      <rPr>
        <sz val="9"/>
        <rFont val="Arial"/>
        <family val="2"/>
      </rPr>
      <t>10</t>
    </r>
    <r>
      <rPr>
        <sz val="9"/>
        <rFont val="宋体"/>
        <family val="3"/>
        <charset val="134"/>
      </rPr>
      <t>幢</t>
    </r>
    <r>
      <rPr>
        <sz val="9"/>
        <rFont val="Arial"/>
        <family val="2"/>
      </rPr>
      <t>-2-2106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</si>
  <si>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2107</t>
    </r>
  </si>
  <si>
    <r>
      <rPr>
        <sz val="9"/>
        <rFont val="Arial"/>
        <family val="2"/>
      </rPr>
      <t>10</t>
    </r>
    <r>
      <rPr>
        <sz val="9"/>
        <rFont val="宋体"/>
        <family val="3"/>
        <charset val="134"/>
      </rPr>
      <t>幢</t>
    </r>
    <r>
      <rPr>
        <sz val="9"/>
        <rFont val="Arial"/>
        <family val="2"/>
      </rPr>
      <t>-2-2108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</si>
  <si>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2109</t>
    </r>
  </si>
  <si>
    <r>
      <rPr>
        <sz val="9"/>
        <rFont val="Arial"/>
        <family val="2"/>
      </rPr>
      <t>10</t>
    </r>
    <r>
      <rPr>
        <sz val="9"/>
        <rFont val="宋体"/>
        <family val="3"/>
        <charset val="134"/>
      </rPr>
      <t>幢</t>
    </r>
    <r>
      <rPr>
        <sz val="9"/>
        <rFont val="Arial"/>
        <family val="2"/>
      </rPr>
      <t>-2-2110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</si>
  <si>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2111</t>
    </r>
  </si>
  <si>
    <r>
      <rPr>
        <sz val="9"/>
        <rFont val="Arial"/>
        <family val="2"/>
      </rPr>
      <t>10</t>
    </r>
    <r>
      <rPr>
        <sz val="9"/>
        <rFont val="宋体"/>
        <family val="3"/>
        <charset val="134"/>
      </rPr>
      <t>幢</t>
    </r>
    <r>
      <rPr>
        <sz val="9"/>
        <rFont val="Arial"/>
        <family val="2"/>
      </rPr>
      <t>-2-2112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</si>
  <si>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2113</t>
    </r>
  </si>
  <si>
    <r>
      <rPr>
        <sz val="9"/>
        <rFont val="Arial"/>
        <family val="2"/>
      </rPr>
      <t>10</t>
    </r>
    <r>
      <rPr>
        <sz val="9"/>
        <rFont val="宋体"/>
        <family val="3"/>
        <charset val="134"/>
      </rPr>
      <t>幢</t>
    </r>
    <r>
      <rPr>
        <sz val="9"/>
        <rFont val="Arial"/>
        <family val="2"/>
      </rPr>
      <t>-2-2114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</si>
  <si>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2115</t>
    </r>
  </si>
  <si>
    <r>
      <rPr>
        <sz val="9"/>
        <rFont val="Arial"/>
        <family val="2"/>
      </rPr>
      <t>10</t>
    </r>
    <r>
      <rPr>
        <sz val="9"/>
        <rFont val="宋体"/>
        <family val="3"/>
        <charset val="134"/>
      </rPr>
      <t>幢</t>
    </r>
    <r>
      <rPr>
        <sz val="9"/>
        <rFont val="Arial"/>
        <family val="2"/>
      </rPr>
      <t>-2-2116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</si>
  <si>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2117</t>
    </r>
  </si>
  <si>
    <r>
      <rPr>
        <sz val="9"/>
        <rFont val="Arial"/>
        <family val="2"/>
      </rPr>
      <t>10</t>
    </r>
    <r>
      <rPr>
        <sz val="9"/>
        <rFont val="宋体"/>
        <family val="3"/>
        <charset val="134"/>
      </rPr>
      <t>幢</t>
    </r>
    <r>
      <rPr>
        <sz val="9"/>
        <rFont val="Arial"/>
        <family val="2"/>
      </rPr>
      <t>-2-2118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</si>
  <si>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2119</t>
    </r>
  </si>
  <si>
    <r>
      <rPr>
        <sz val="9"/>
        <rFont val="Arial"/>
        <family val="2"/>
      </rPr>
      <t>10</t>
    </r>
    <r>
      <rPr>
        <sz val="9"/>
        <rFont val="宋体"/>
        <family val="3"/>
        <charset val="134"/>
      </rPr>
      <t>幢</t>
    </r>
    <r>
      <rPr>
        <sz val="9"/>
        <rFont val="Arial"/>
        <family val="2"/>
      </rPr>
      <t>-2-2120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</si>
  <si>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2121</t>
    </r>
  </si>
  <si>
    <r>
      <rPr>
        <sz val="9"/>
        <rFont val="Arial"/>
        <family val="2"/>
      </rPr>
      <t>10</t>
    </r>
    <r>
      <rPr>
        <sz val="9"/>
        <rFont val="宋体"/>
        <family val="3"/>
        <charset val="134"/>
      </rPr>
      <t>幢</t>
    </r>
    <r>
      <rPr>
        <sz val="9"/>
        <rFont val="Arial"/>
        <family val="2"/>
      </rPr>
      <t>-2-2122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</si>
  <si>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2123</t>
    </r>
  </si>
  <si>
    <r>
      <rPr>
        <sz val="9"/>
        <rFont val="Arial"/>
        <family val="2"/>
      </rPr>
      <t>10</t>
    </r>
    <r>
      <rPr>
        <sz val="9"/>
        <rFont val="宋体"/>
        <family val="3"/>
        <charset val="134"/>
      </rPr>
      <t>幢</t>
    </r>
    <r>
      <rPr>
        <sz val="9"/>
        <rFont val="Arial"/>
        <family val="2"/>
      </rPr>
      <t>-2-2124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</si>
  <si>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2125</t>
    </r>
  </si>
  <si>
    <r>
      <rPr>
        <sz val="9"/>
        <rFont val="Arial"/>
        <family val="2"/>
      </rPr>
      <t>10</t>
    </r>
    <r>
      <rPr>
        <sz val="9"/>
        <rFont val="宋体"/>
        <family val="3"/>
        <charset val="134"/>
      </rPr>
      <t>幢</t>
    </r>
    <r>
      <rPr>
        <sz val="9"/>
        <rFont val="Arial"/>
        <family val="2"/>
      </rPr>
      <t>-2-2126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</si>
  <si>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2127</t>
    </r>
  </si>
  <si>
    <r>
      <rPr>
        <sz val="9"/>
        <rFont val="Arial"/>
        <family val="2"/>
      </rPr>
      <t>10</t>
    </r>
    <r>
      <rPr>
        <sz val="9"/>
        <rFont val="宋体"/>
        <family val="3"/>
        <charset val="134"/>
      </rPr>
      <t>幢</t>
    </r>
    <r>
      <rPr>
        <sz val="9"/>
        <rFont val="Arial"/>
        <family val="2"/>
      </rPr>
      <t>-2-2128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</si>
  <si>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2129</t>
    </r>
  </si>
  <si>
    <r>
      <rPr>
        <sz val="9"/>
        <rFont val="Arial"/>
        <family val="2"/>
      </rPr>
      <t>10</t>
    </r>
    <r>
      <rPr>
        <sz val="9"/>
        <rFont val="宋体"/>
        <family val="3"/>
        <charset val="134"/>
      </rPr>
      <t>幢</t>
    </r>
    <r>
      <rPr>
        <sz val="9"/>
        <rFont val="Arial"/>
        <family val="2"/>
      </rPr>
      <t>-2-2130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</si>
  <si>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2131</t>
    </r>
  </si>
  <si>
    <r>
      <rPr>
        <sz val="9"/>
        <rFont val="Arial"/>
        <family val="2"/>
      </rPr>
      <t>10</t>
    </r>
    <r>
      <rPr>
        <sz val="9"/>
        <rFont val="宋体"/>
        <family val="3"/>
        <charset val="134"/>
      </rPr>
      <t>幢</t>
    </r>
    <r>
      <rPr>
        <sz val="9"/>
        <rFont val="Arial"/>
        <family val="2"/>
      </rPr>
      <t>-2-2132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</si>
  <si>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2133</t>
    </r>
  </si>
  <si>
    <r>
      <rPr>
        <sz val="9"/>
        <rFont val="Arial"/>
        <family val="2"/>
      </rPr>
      <t>10</t>
    </r>
    <r>
      <rPr>
        <sz val="9"/>
        <rFont val="宋体"/>
        <family val="3"/>
        <charset val="134"/>
      </rPr>
      <t>幢</t>
    </r>
    <r>
      <rPr>
        <sz val="9"/>
        <rFont val="Arial"/>
        <family val="2"/>
      </rPr>
      <t>-2-2134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</si>
  <si>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2135</t>
    </r>
  </si>
  <si>
    <r>
      <rPr>
        <sz val="9"/>
        <rFont val="Arial"/>
        <family val="2"/>
      </rPr>
      <t>10</t>
    </r>
    <r>
      <rPr>
        <sz val="9"/>
        <rFont val="宋体"/>
        <family val="3"/>
        <charset val="134"/>
      </rPr>
      <t>幢</t>
    </r>
    <r>
      <rPr>
        <sz val="9"/>
        <rFont val="Arial"/>
        <family val="2"/>
      </rPr>
      <t>-2-2136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</si>
  <si>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2137</t>
    </r>
  </si>
  <si>
    <r>
      <rPr>
        <sz val="9"/>
        <rFont val="Arial"/>
        <family val="2"/>
      </rPr>
      <t>10</t>
    </r>
    <r>
      <rPr>
        <sz val="9"/>
        <rFont val="宋体"/>
        <family val="3"/>
        <charset val="134"/>
      </rPr>
      <t>幢</t>
    </r>
    <r>
      <rPr>
        <sz val="9"/>
        <rFont val="Arial"/>
        <family val="2"/>
      </rPr>
      <t>-2-2138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</si>
  <si>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2139</t>
    </r>
  </si>
  <si>
    <r>
      <rPr>
        <sz val="9"/>
        <rFont val="Arial"/>
        <family val="2"/>
      </rPr>
      <t>10</t>
    </r>
    <r>
      <rPr>
        <sz val="9"/>
        <rFont val="宋体"/>
        <family val="3"/>
        <charset val="134"/>
      </rPr>
      <t>幢</t>
    </r>
    <r>
      <rPr>
        <sz val="9"/>
        <rFont val="Arial"/>
        <family val="2"/>
      </rPr>
      <t>-2-2140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</si>
  <si>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2141</t>
    </r>
  </si>
  <si>
    <r>
      <rPr>
        <sz val="9"/>
        <rFont val="Arial"/>
        <family val="2"/>
      </rPr>
      <t>10</t>
    </r>
    <r>
      <rPr>
        <sz val="9"/>
        <rFont val="宋体"/>
        <family val="3"/>
        <charset val="134"/>
      </rPr>
      <t>幢</t>
    </r>
    <r>
      <rPr>
        <sz val="9"/>
        <rFont val="Arial"/>
        <family val="2"/>
      </rPr>
      <t>-2-2142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</si>
  <si>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2143</t>
    </r>
  </si>
  <si>
    <r>
      <rPr>
        <sz val="9"/>
        <rFont val="Arial"/>
        <family val="2"/>
      </rPr>
      <t>10</t>
    </r>
    <r>
      <rPr>
        <sz val="9"/>
        <rFont val="宋体"/>
        <family val="3"/>
        <charset val="134"/>
      </rPr>
      <t>幢</t>
    </r>
    <r>
      <rPr>
        <sz val="9"/>
        <rFont val="Arial"/>
        <family val="2"/>
      </rPr>
      <t>-2-2144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</si>
  <si>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2145</t>
    </r>
  </si>
  <si>
    <r>
      <rPr>
        <sz val="9"/>
        <rFont val="Arial"/>
        <family val="2"/>
      </rPr>
      <t>10</t>
    </r>
    <r>
      <rPr>
        <sz val="9"/>
        <rFont val="宋体"/>
        <family val="3"/>
        <charset val="134"/>
      </rPr>
      <t>幢</t>
    </r>
    <r>
      <rPr>
        <sz val="9"/>
        <rFont val="Arial"/>
        <family val="2"/>
      </rPr>
      <t>-2-2146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</si>
  <si>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2147</t>
    </r>
  </si>
  <si>
    <r>
      <rPr>
        <sz val="9"/>
        <rFont val="Arial"/>
        <family val="2"/>
      </rPr>
      <t>10</t>
    </r>
    <r>
      <rPr>
        <sz val="9"/>
        <rFont val="宋体"/>
        <family val="3"/>
        <charset val="134"/>
      </rPr>
      <t>幢</t>
    </r>
    <r>
      <rPr>
        <sz val="9"/>
        <rFont val="Arial"/>
        <family val="2"/>
      </rPr>
      <t>-2-2148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</si>
  <si>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2149</t>
    </r>
  </si>
  <si>
    <r>
      <rPr>
        <sz val="9"/>
        <rFont val="Arial"/>
        <family val="2"/>
      </rPr>
      <t>10</t>
    </r>
    <r>
      <rPr>
        <sz val="9"/>
        <rFont val="宋体"/>
        <family val="3"/>
        <charset val="134"/>
      </rPr>
      <t>幢</t>
    </r>
    <r>
      <rPr>
        <sz val="9"/>
        <rFont val="Arial"/>
        <family val="2"/>
      </rPr>
      <t>-2-2150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</si>
  <si>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2151</t>
    </r>
  </si>
  <si>
    <r>
      <rPr>
        <sz val="9"/>
        <rFont val="Arial"/>
        <family val="2"/>
      </rPr>
      <t>10</t>
    </r>
    <r>
      <rPr>
        <sz val="9"/>
        <rFont val="宋体"/>
        <family val="3"/>
        <charset val="134"/>
      </rPr>
      <t>幢</t>
    </r>
    <r>
      <rPr>
        <sz val="9"/>
        <rFont val="Arial"/>
        <family val="2"/>
      </rPr>
      <t>-2-2152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</si>
  <si>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2153</t>
    </r>
  </si>
  <si>
    <r>
      <rPr>
        <sz val="9"/>
        <rFont val="Arial"/>
        <family val="2"/>
      </rPr>
      <t>10</t>
    </r>
    <r>
      <rPr>
        <sz val="9"/>
        <rFont val="宋体"/>
        <family val="3"/>
        <charset val="134"/>
      </rPr>
      <t>幢</t>
    </r>
    <r>
      <rPr>
        <sz val="9"/>
        <rFont val="Arial"/>
        <family val="2"/>
      </rPr>
      <t>-2-2154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</si>
  <si>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2155</t>
    </r>
  </si>
  <si>
    <r>
      <rPr>
        <sz val="9"/>
        <rFont val="Arial"/>
        <family val="2"/>
      </rPr>
      <t>10</t>
    </r>
    <r>
      <rPr>
        <sz val="9"/>
        <rFont val="宋体"/>
        <family val="3"/>
        <charset val="134"/>
      </rPr>
      <t>幢</t>
    </r>
    <r>
      <rPr>
        <sz val="9"/>
        <rFont val="Arial"/>
        <family val="2"/>
      </rPr>
      <t>-2-2156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</si>
  <si>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2157</t>
    </r>
  </si>
  <si>
    <r>
      <rPr>
        <sz val="9"/>
        <rFont val="Arial"/>
        <family val="2"/>
      </rPr>
      <t>10</t>
    </r>
    <r>
      <rPr>
        <sz val="9"/>
        <rFont val="宋体"/>
        <family val="3"/>
        <charset val="134"/>
      </rPr>
      <t>幢</t>
    </r>
    <r>
      <rPr>
        <sz val="9"/>
        <rFont val="Arial"/>
        <family val="2"/>
      </rPr>
      <t>-2-2158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</si>
  <si>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2159</t>
    </r>
  </si>
  <si>
    <r>
      <rPr>
        <sz val="9"/>
        <rFont val="Arial"/>
        <family val="2"/>
      </rPr>
      <t>10</t>
    </r>
    <r>
      <rPr>
        <sz val="9"/>
        <rFont val="宋体"/>
        <family val="3"/>
        <charset val="134"/>
      </rPr>
      <t>幢</t>
    </r>
    <r>
      <rPr>
        <sz val="9"/>
        <rFont val="Arial"/>
        <family val="2"/>
      </rPr>
      <t>-2-2160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</si>
  <si>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2161</t>
    </r>
  </si>
  <si>
    <r>
      <rPr>
        <sz val="9"/>
        <rFont val="Arial"/>
        <family val="2"/>
      </rPr>
      <t>10</t>
    </r>
    <r>
      <rPr>
        <sz val="9"/>
        <rFont val="宋体"/>
        <family val="3"/>
        <charset val="134"/>
      </rPr>
      <t>幢</t>
    </r>
    <r>
      <rPr>
        <sz val="9"/>
        <rFont val="Arial"/>
        <family val="2"/>
      </rPr>
      <t>-2-2162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</si>
  <si>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2163</t>
    </r>
  </si>
  <si>
    <r>
      <rPr>
        <sz val="9"/>
        <rFont val="Arial"/>
        <family val="2"/>
      </rPr>
      <t>10</t>
    </r>
    <r>
      <rPr>
        <sz val="9"/>
        <rFont val="宋体"/>
        <family val="3"/>
        <charset val="134"/>
      </rPr>
      <t>幢</t>
    </r>
    <r>
      <rPr>
        <sz val="9"/>
        <rFont val="Arial"/>
        <family val="2"/>
      </rPr>
      <t>-2-2164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</si>
  <si>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2165</t>
    </r>
  </si>
  <si>
    <r>
      <rPr>
        <sz val="9"/>
        <rFont val="Arial"/>
        <family val="2"/>
      </rPr>
      <t>10</t>
    </r>
    <r>
      <rPr>
        <sz val="9"/>
        <rFont val="宋体"/>
        <family val="3"/>
        <charset val="134"/>
      </rPr>
      <t>幢</t>
    </r>
    <r>
      <rPr>
        <sz val="9"/>
        <rFont val="Arial"/>
        <family val="2"/>
      </rPr>
      <t>-2-2166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</si>
  <si>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2167</t>
    </r>
  </si>
  <si>
    <r>
      <rPr>
        <sz val="9"/>
        <rFont val="Arial"/>
        <family val="2"/>
      </rPr>
      <t>10</t>
    </r>
    <r>
      <rPr>
        <sz val="9"/>
        <rFont val="宋体"/>
        <family val="3"/>
        <charset val="134"/>
      </rPr>
      <t>幢</t>
    </r>
    <r>
      <rPr>
        <sz val="9"/>
        <rFont val="Arial"/>
        <family val="2"/>
      </rPr>
      <t>-2-2168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</si>
  <si>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2169</t>
    </r>
  </si>
  <si>
    <r>
      <rPr>
        <sz val="9"/>
        <rFont val="Arial"/>
        <family val="2"/>
      </rPr>
      <t>10</t>
    </r>
    <r>
      <rPr>
        <sz val="9"/>
        <rFont val="宋体"/>
        <family val="3"/>
        <charset val="134"/>
      </rPr>
      <t>幢</t>
    </r>
    <r>
      <rPr>
        <sz val="9"/>
        <rFont val="Arial"/>
        <family val="2"/>
      </rPr>
      <t>-2-2170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</si>
  <si>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2171</t>
    </r>
  </si>
  <si>
    <r>
      <rPr>
        <sz val="9"/>
        <rFont val="Arial"/>
        <family val="2"/>
      </rPr>
      <t>10</t>
    </r>
    <r>
      <rPr>
        <sz val="9"/>
        <rFont val="宋体"/>
        <family val="3"/>
        <charset val="134"/>
      </rPr>
      <t>幢</t>
    </r>
    <r>
      <rPr>
        <sz val="9"/>
        <rFont val="Arial"/>
        <family val="2"/>
      </rPr>
      <t>-2-2172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</si>
  <si>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2173</t>
    </r>
  </si>
  <si>
    <r>
      <rPr>
        <sz val="9"/>
        <rFont val="Arial"/>
        <family val="2"/>
      </rPr>
      <t>10</t>
    </r>
    <r>
      <rPr>
        <sz val="9"/>
        <rFont val="宋体"/>
        <family val="3"/>
        <charset val="134"/>
      </rPr>
      <t>幢</t>
    </r>
    <r>
      <rPr>
        <sz val="9"/>
        <rFont val="Arial"/>
        <family val="2"/>
      </rPr>
      <t>-2-2174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</si>
  <si>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2175</t>
    </r>
  </si>
  <si>
    <r>
      <rPr>
        <sz val="9"/>
        <rFont val="Arial"/>
        <family val="2"/>
      </rPr>
      <t>10</t>
    </r>
    <r>
      <rPr>
        <sz val="9"/>
        <rFont val="宋体"/>
        <family val="3"/>
        <charset val="134"/>
      </rPr>
      <t>幢</t>
    </r>
    <r>
      <rPr>
        <sz val="9"/>
        <rFont val="Arial"/>
        <family val="2"/>
      </rPr>
      <t>-2-2176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</si>
  <si>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2177</t>
    </r>
  </si>
  <si>
    <r>
      <rPr>
        <sz val="9"/>
        <rFont val="Arial"/>
        <family val="2"/>
      </rPr>
      <t>10</t>
    </r>
    <r>
      <rPr>
        <sz val="9"/>
        <rFont val="宋体"/>
        <family val="3"/>
        <charset val="134"/>
      </rPr>
      <t>幢</t>
    </r>
    <r>
      <rPr>
        <sz val="9"/>
        <rFont val="Arial"/>
        <family val="2"/>
      </rPr>
      <t>-2-2178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</si>
  <si>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2179</t>
    </r>
  </si>
  <si>
    <r>
      <rPr>
        <sz val="9"/>
        <rFont val="Arial"/>
        <family val="2"/>
      </rPr>
      <t>10</t>
    </r>
    <r>
      <rPr>
        <sz val="9"/>
        <rFont val="宋体"/>
        <family val="3"/>
        <charset val="134"/>
      </rPr>
      <t>幢</t>
    </r>
    <r>
      <rPr>
        <sz val="9"/>
        <rFont val="Arial"/>
        <family val="2"/>
      </rPr>
      <t>-2-2180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</si>
  <si>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2181</t>
    </r>
  </si>
  <si>
    <r>
      <rPr>
        <sz val="9"/>
        <rFont val="Arial"/>
        <family val="2"/>
      </rPr>
      <t>10</t>
    </r>
    <r>
      <rPr>
        <sz val="9"/>
        <rFont val="宋体"/>
        <family val="3"/>
        <charset val="134"/>
      </rPr>
      <t>幢</t>
    </r>
    <r>
      <rPr>
        <sz val="9"/>
        <rFont val="Arial"/>
        <family val="2"/>
      </rPr>
      <t>-2-2182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</si>
  <si>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2183</t>
    </r>
  </si>
  <si>
    <r>
      <rPr>
        <sz val="9"/>
        <rFont val="Arial"/>
        <family val="2"/>
      </rPr>
      <t>10</t>
    </r>
    <r>
      <rPr>
        <sz val="9"/>
        <rFont val="宋体"/>
        <family val="3"/>
        <charset val="134"/>
      </rPr>
      <t>幢</t>
    </r>
    <r>
      <rPr>
        <sz val="9"/>
        <rFont val="Arial"/>
        <family val="2"/>
      </rPr>
      <t>-2-2184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</si>
  <si>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2185</t>
    </r>
  </si>
  <si>
    <r>
      <t>10</t>
    </r>
    <r>
      <rPr>
        <sz val="9"/>
        <rFont val="宋体"/>
        <family val="3"/>
        <charset val="134"/>
      </rPr>
      <t>幢</t>
    </r>
    <r>
      <rPr>
        <sz val="9"/>
        <rFont val="Arial"/>
        <family val="2"/>
      </rPr>
      <t>-2-2186</t>
    </r>
    <phoneticPr fontId="6"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</si>
  <si>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2187</t>
    </r>
  </si>
  <si>
    <r>
      <rPr>
        <sz val="9"/>
        <rFont val="Arial"/>
        <family val="2"/>
      </rPr>
      <t>10</t>
    </r>
    <r>
      <rPr>
        <sz val="9"/>
        <rFont val="宋体"/>
        <family val="3"/>
        <charset val="134"/>
      </rPr>
      <t>幢</t>
    </r>
    <r>
      <rPr>
        <sz val="9"/>
        <rFont val="Arial"/>
        <family val="2"/>
      </rPr>
      <t>-2-2188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</si>
  <si>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2189</t>
    </r>
  </si>
  <si>
    <r>
      <rPr>
        <sz val="9"/>
        <rFont val="Arial"/>
        <family val="2"/>
      </rPr>
      <t>10</t>
    </r>
    <r>
      <rPr>
        <sz val="9"/>
        <rFont val="宋体"/>
        <family val="3"/>
        <charset val="134"/>
      </rPr>
      <t>幢</t>
    </r>
    <r>
      <rPr>
        <sz val="9"/>
        <rFont val="Arial"/>
        <family val="2"/>
      </rPr>
      <t>-2-2190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</si>
  <si>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2191</t>
    </r>
  </si>
  <si>
    <r>
      <rPr>
        <sz val="9"/>
        <rFont val="Arial"/>
        <family val="2"/>
      </rPr>
      <t>10</t>
    </r>
    <r>
      <rPr>
        <sz val="9"/>
        <rFont val="宋体"/>
        <family val="3"/>
        <charset val="134"/>
      </rPr>
      <t>幢</t>
    </r>
    <r>
      <rPr>
        <sz val="9"/>
        <rFont val="Arial"/>
        <family val="2"/>
      </rPr>
      <t>-2-2192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</si>
  <si>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2193</t>
    </r>
  </si>
  <si>
    <r>
      <rPr>
        <sz val="9"/>
        <rFont val="Arial"/>
        <family val="2"/>
      </rPr>
      <t>10</t>
    </r>
    <r>
      <rPr>
        <sz val="9"/>
        <rFont val="宋体"/>
        <family val="3"/>
        <charset val="134"/>
      </rPr>
      <t>幢</t>
    </r>
    <r>
      <rPr>
        <sz val="9"/>
        <rFont val="Arial"/>
        <family val="2"/>
      </rPr>
      <t>-2-2194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</si>
  <si>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2195</t>
    </r>
  </si>
  <si>
    <r>
      <rPr>
        <sz val="9"/>
        <rFont val="Arial"/>
        <family val="2"/>
      </rPr>
      <t>10</t>
    </r>
    <r>
      <rPr>
        <sz val="9"/>
        <rFont val="宋体"/>
        <family val="3"/>
        <charset val="134"/>
      </rPr>
      <t>幢</t>
    </r>
    <r>
      <rPr>
        <sz val="9"/>
        <rFont val="Arial"/>
        <family val="2"/>
      </rPr>
      <t>-2-2196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</si>
  <si>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2197</t>
    </r>
  </si>
  <si>
    <r>
      <rPr>
        <sz val="9"/>
        <rFont val="Arial"/>
        <family val="2"/>
      </rPr>
      <t>10</t>
    </r>
    <r>
      <rPr>
        <sz val="9"/>
        <rFont val="宋体"/>
        <family val="3"/>
        <charset val="134"/>
      </rPr>
      <t>幢</t>
    </r>
    <r>
      <rPr>
        <sz val="9"/>
        <rFont val="Arial"/>
        <family val="2"/>
      </rPr>
      <t>-2-2198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</si>
  <si>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2199</t>
    </r>
  </si>
  <si>
    <r>
      <rPr>
        <sz val="9"/>
        <rFont val="Arial"/>
        <family val="2"/>
      </rPr>
      <t>10</t>
    </r>
    <r>
      <rPr>
        <sz val="9"/>
        <rFont val="宋体"/>
        <family val="3"/>
        <charset val="134"/>
      </rPr>
      <t>幢</t>
    </r>
    <r>
      <rPr>
        <sz val="9"/>
        <rFont val="Arial"/>
        <family val="2"/>
      </rPr>
      <t>-2-2200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</si>
  <si>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2201</t>
    </r>
  </si>
  <si>
    <r>
      <rPr>
        <sz val="9"/>
        <rFont val="Arial"/>
        <family val="2"/>
      </rPr>
      <t>10</t>
    </r>
    <r>
      <rPr>
        <sz val="9"/>
        <rFont val="宋体"/>
        <family val="3"/>
        <charset val="134"/>
      </rPr>
      <t>幢</t>
    </r>
    <r>
      <rPr>
        <sz val="9"/>
        <rFont val="Arial"/>
        <family val="2"/>
      </rPr>
      <t>-2-2202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</si>
  <si>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2203</t>
    </r>
  </si>
  <si>
    <r>
      <rPr>
        <sz val="9"/>
        <rFont val="Arial"/>
        <family val="2"/>
      </rPr>
      <t>10</t>
    </r>
    <r>
      <rPr>
        <sz val="9"/>
        <rFont val="宋体"/>
        <family val="3"/>
        <charset val="134"/>
      </rPr>
      <t>幢</t>
    </r>
    <r>
      <rPr>
        <sz val="9"/>
        <rFont val="Arial"/>
        <family val="2"/>
      </rPr>
      <t>-2-2204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</si>
  <si>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2205</t>
    </r>
  </si>
  <si>
    <r>
      <rPr>
        <sz val="9"/>
        <rFont val="Arial"/>
        <family val="2"/>
      </rPr>
      <t>10</t>
    </r>
    <r>
      <rPr>
        <sz val="9"/>
        <rFont val="宋体"/>
        <family val="3"/>
        <charset val="134"/>
      </rPr>
      <t>幢</t>
    </r>
    <r>
      <rPr>
        <sz val="9"/>
        <rFont val="Arial"/>
        <family val="2"/>
      </rPr>
      <t>-2-2206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</si>
  <si>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2207</t>
    </r>
  </si>
  <si>
    <r>
      <rPr>
        <sz val="9"/>
        <rFont val="Arial"/>
        <family val="2"/>
      </rPr>
      <t>10</t>
    </r>
    <r>
      <rPr>
        <sz val="9"/>
        <rFont val="宋体"/>
        <family val="3"/>
        <charset val="134"/>
      </rPr>
      <t>幢</t>
    </r>
    <r>
      <rPr>
        <sz val="9"/>
        <rFont val="Arial"/>
        <family val="2"/>
      </rPr>
      <t>-2-2208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</si>
  <si>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2209</t>
    </r>
  </si>
  <si>
    <r>
      <rPr>
        <sz val="9"/>
        <rFont val="Arial"/>
        <family val="2"/>
      </rPr>
      <t>10</t>
    </r>
    <r>
      <rPr>
        <sz val="9"/>
        <rFont val="宋体"/>
        <family val="3"/>
        <charset val="134"/>
      </rPr>
      <t>幢</t>
    </r>
    <r>
      <rPr>
        <sz val="9"/>
        <rFont val="Arial"/>
        <family val="2"/>
      </rPr>
      <t>-2-2210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</si>
  <si>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2211</t>
    </r>
  </si>
  <si>
    <r>
      <rPr>
        <sz val="9"/>
        <rFont val="Arial"/>
        <family val="2"/>
      </rPr>
      <t>10</t>
    </r>
    <r>
      <rPr>
        <sz val="9"/>
        <rFont val="宋体"/>
        <family val="3"/>
        <charset val="134"/>
      </rPr>
      <t>幢</t>
    </r>
    <r>
      <rPr>
        <sz val="9"/>
        <rFont val="Arial"/>
        <family val="2"/>
      </rPr>
      <t>-2-2212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</si>
  <si>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2213</t>
    </r>
  </si>
  <si>
    <r>
      <rPr>
        <sz val="9"/>
        <rFont val="Arial"/>
        <family val="2"/>
      </rPr>
      <t>10</t>
    </r>
    <r>
      <rPr>
        <sz val="9"/>
        <rFont val="宋体"/>
        <family val="3"/>
        <charset val="134"/>
      </rPr>
      <t>幢</t>
    </r>
    <r>
      <rPr>
        <sz val="9"/>
        <rFont val="Arial"/>
        <family val="2"/>
      </rPr>
      <t>-2-2214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</si>
  <si>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2215</t>
    </r>
  </si>
  <si>
    <r>
      <rPr>
        <sz val="9"/>
        <rFont val="Arial"/>
        <family val="2"/>
      </rPr>
      <t>10</t>
    </r>
    <r>
      <rPr>
        <sz val="9"/>
        <rFont val="宋体"/>
        <family val="3"/>
        <charset val="134"/>
      </rPr>
      <t>幢</t>
    </r>
    <r>
      <rPr>
        <sz val="9"/>
        <rFont val="Arial"/>
        <family val="2"/>
      </rPr>
      <t>-2-2216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</si>
  <si>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2217</t>
    </r>
  </si>
  <si>
    <r>
      <rPr>
        <sz val="9"/>
        <rFont val="Arial"/>
        <family val="2"/>
      </rPr>
      <t>10</t>
    </r>
    <r>
      <rPr>
        <sz val="9"/>
        <rFont val="宋体"/>
        <family val="3"/>
        <charset val="134"/>
      </rPr>
      <t>幢</t>
    </r>
    <r>
      <rPr>
        <sz val="9"/>
        <rFont val="Arial"/>
        <family val="2"/>
      </rPr>
      <t>-2-2218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</si>
  <si>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2219</t>
    </r>
  </si>
  <si>
    <r>
      <rPr>
        <sz val="9"/>
        <rFont val="Arial"/>
        <family val="2"/>
      </rPr>
      <t>10</t>
    </r>
    <r>
      <rPr>
        <sz val="9"/>
        <rFont val="宋体"/>
        <family val="3"/>
        <charset val="134"/>
      </rPr>
      <t>幢</t>
    </r>
    <r>
      <rPr>
        <sz val="9"/>
        <rFont val="Arial"/>
        <family val="2"/>
      </rPr>
      <t>-2-2220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</si>
  <si>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2221</t>
    </r>
  </si>
  <si>
    <r>
      <rPr>
        <sz val="9"/>
        <rFont val="Arial"/>
        <family val="2"/>
      </rPr>
      <t>10</t>
    </r>
    <r>
      <rPr>
        <sz val="9"/>
        <rFont val="宋体"/>
        <family val="3"/>
        <charset val="134"/>
      </rPr>
      <t>幢</t>
    </r>
    <r>
      <rPr>
        <sz val="9"/>
        <rFont val="Arial"/>
        <family val="2"/>
      </rPr>
      <t>-2-2222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</si>
  <si>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2223</t>
    </r>
  </si>
  <si>
    <r>
      <rPr>
        <sz val="9"/>
        <rFont val="Arial"/>
        <family val="2"/>
      </rPr>
      <t>10</t>
    </r>
    <r>
      <rPr>
        <sz val="9"/>
        <rFont val="宋体"/>
        <family val="3"/>
        <charset val="134"/>
      </rPr>
      <t>幢</t>
    </r>
    <r>
      <rPr>
        <sz val="9"/>
        <rFont val="Arial"/>
        <family val="2"/>
      </rPr>
      <t>-2-2224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</si>
  <si>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2225</t>
    </r>
  </si>
  <si>
    <r>
      <rPr>
        <sz val="9"/>
        <rFont val="Arial"/>
        <family val="2"/>
      </rPr>
      <t>10</t>
    </r>
    <r>
      <rPr>
        <sz val="9"/>
        <rFont val="宋体"/>
        <family val="3"/>
        <charset val="134"/>
      </rPr>
      <t>幢</t>
    </r>
    <r>
      <rPr>
        <sz val="9"/>
        <rFont val="Arial"/>
        <family val="2"/>
      </rPr>
      <t>-2-2226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</si>
  <si>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2227</t>
    </r>
  </si>
  <si>
    <r>
      <rPr>
        <sz val="9"/>
        <rFont val="Arial"/>
        <family val="2"/>
      </rPr>
      <t>10</t>
    </r>
    <r>
      <rPr>
        <sz val="9"/>
        <rFont val="宋体"/>
        <family val="3"/>
        <charset val="134"/>
      </rPr>
      <t>幢</t>
    </r>
    <r>
      <rPr>
        <sz val="9"/>
        <rFont val="Arial"/>
        <family val="2"/>
      </rPr>
      <t>-2-2228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</si>
  <si>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2229</t>
    </r>
  </si>
  <si>
    <r>
      <rPr>
        <sz val="9"/>
        <rFont val="Arial"/>
        <family val="2"/>
      </rPr>
      <t>10</t>
    </r>
    <r>
      <rPr>
        <sz val="9"/>
        <rFont val="宋体"/>
        <family val="3"/>
        <charset val="134"/>
      </rPr>
      <t>幢</t>
    </r>
    <r>
      <rPr>
        <sz val="9"/>
        <rFont val="Arial"/>
        <family val="2"/>
      </rPr>
      <t>-2-2230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</si>
  <si>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2231</t>
    </r>
  </si>
  <si>
    <r>
      <rPr>
        <sz val="9"/>
        <rFont val="Arial"/>
        <family val="2"/>
      </rPr>
      <t>10</t>
    </r>
    <r>
      <rPr>
        <sz val="9"/>
        <rFont val="宋体"/>
        <family val="3"/>
        <charset val="134"/>
      </rPr>
      <t>幢</t>
    </r>
    <r>
      <rPr>
        <sz val="9"/>
        <rFont val="Arial"/>
        <family val="2"/>
      </rPr>
      <t>-2-2232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</si>
  <si>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2233</t>
    </r>
  </si>
  <si>
    <r>
      <rPr>
        <sz val="9"/>
        <rFont val="Arial"/>
        <family val="2"/>
      </rPr>
      <t>10</t>
    </r>
    <r>
      <rPr>
        <sz val="9"/>
        <rFont val="宋体"/>
        <family val="3"/>
        <charset val="134"/>
      </rPr>
      <t>幢</t>
    </r>
    <r>
      <rPr>
        <sz val="9"/>
        <rFont val="Arial"/>
        <family val="2"/>
      </rPr>
      <t>-2-2234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</si>
  <si>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2235</t>
    </r>
  </si>
  <si>
    <r>
      <rPr>
        <sz val="9"/>
        <rFont val="Arial"/>
        <family val="2"/>
      </rPr>
      <t>10</t>
    </r>
    <r>
      <rPr>
        <sz val="9"/>
        <rFont val="宋体"/>
        <family val="3"/>
        <charset val="134"/>
      </rPr>
      <t>幢</t>
    </r>
    <r>
      <rPr>
        <sz val="9"/>
        <rFont val="Arial"/>
        <family val="2"/>
      </rPr>
      <t>-2-2236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</si>
  <si>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2237</t>
    </r>
  </si>
  <si>
    <r>
      <rPr>
        <sz val="9"/>
        <rFont val="Arial"/>
        <family val="2"/>
      </rPr>
      <t>10</t>
    </r>
    <r>
      <rPr>
        <sz val="9"/>
        <rFont val="宋体"/>
        <family val="3"/>
        <charset val="134"/>
      </rPr>
      <t>幢</t>
    </r>
    <r>
      <rPr>
        <sz val="9"/>
        <rFont val="Arial"/>
        <family val="2"/>
      </rPr>
      <t>-2-2238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</si>
  <si>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2239</t>
    </r>
  </si>
  <si>
    <r>
      <rPr>
        <sz val="9"/>
        <rFont val="Arial"/>
        <family val="2"/>
      </rPr>
      <t>10</t>
    </r>
    <r>
      <rPr>
        <sz val="9"/>
        <rFont val="宋体"/>
        <family val="3"/>
        <charset val="134"/>
      </rPr>
      <t>幢</t>
    </r>
    <r>
      <rPr>
        <sz val="9"/>
        <rFont val="Arial"/>
        <family val="2"/>
      </rPr>
      <t>-2-2240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</si>
  <si>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2241</t>
    </r>
  </si>
  <si>
    <r>
      <rPr>
        <sz val="9"/>
        <rFont val="Arial"/>
        <family val="2"/>
      </rPr>
      <t>10</t>
    </r>
    <r>
      <rPr>
        <sz val="9"/>
        <rFont val="宋体"/>
        <family val="3"/>
        <charset val="134"/>
      </rPr>
      <t>幢</t>
    </r>
    <r>
      <rPr>
        <sz val="9"/>
        <rFont val="Arial"/>
        <family val="2"/>
      </rPr>
      <t>-2-2242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</si>
  <si>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2243</t>
    </r>
  </si>
  <si>
    <r>
      <rPr>
        <sz val="9"/>
        <rFont val="Arial"/>
        <family val="2"/>
      </rPr>
      <t>10</t>
    </r>
    <r>
      <rPr>
        <sz val="9"/>
        <rFont val="宋体"/>
        <family val="3"/>
        <charset val="134"/>
      </rPr>
      <t>幢</t>
    </r>
    <r>
      <rPr>
        <sz val="9"/>
        <rFont val="Arial"/>
        <family val="2"/>
      </rPr>
      <t>-2-2244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</si>
  <si>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2245</t>
    </r>
  </si>
  <si>
    <r>
      <rPr>
        <sz val="9"/>
        <rFont val="Arial"/>
        <family val="2"/>
      </rPr>
      <t>10</t>
    </r>
    <r>
      <rPr>
        <sz val="9"/>
        <rFont val="宋体"/>
        <family val="3"/>
        <charset val="134"/>
      </rPr>
      <t>幢</t>
    </r>
    <r>
      <rPr>
        <sz val="9"/>
        <rFont val="Arial"/>
        <family val="2"/>
      </rPr>
      <t>-2-2246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</si>
  <si>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2247</t>
    </r>
  </si>
  <si>
    <r>
      <rPr>
        <sz val="9"/>
        <rFont val="Arial"/>
        <family val="2"/>
      </rPr>
      <t>10</t>
    </r>
    <r>
      <rPr>
        <sz val="9"/>
        <rFont val="宋体"/>
        <family val="3"/>
        <charset val="134"/>
      </rPr>
      <t>幢</t>
    </r>
    <r>
      <rPr>
        <sz val="9"/>
        <rFont val="Arial"/>
        <family val="2"/>
      </rPr>
      <t>-2-2248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</si>
  <si>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2249</t>
    </r>
  </si>
  <si>
    <r>
      <rPr>
        <sz val="9"/>
        <rFont val="Arial"/>
        <family val="2"/>
      </rPr>
      <t>10</t>
    </r>
    <r>
      <rPr>
        <sz val="9"/>
        <rFont val="宋体"/>
        <family val="3"/>
        <charset val="134"/>
      </rPr>
      <t>幢</t>
    </r>
    <r>
      <rPr>
        <sz val="9"/>
        <rFont val="Arial"/>
        <family val="2"/>
      </rPr>
      <t>-2-2250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</si>
  <si>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2251</t>
    </r>
  </si>
  <si>
    <r>
      <rPr>
        <sz val="9"/>
        <rFont val="Arial"/>
        <family val="2"/>
      </rPr>
      <t>10</t>
    </r>
    <r>
      <rPr>
        <sz val="9"/>
        <rFont val="宋体"/>
        <family val="3"/>
        <charset val="134"/>
      </rPr>
      <t>幢</t>
    </r>
    <r>
      <rPr>
        <sz val="9"/>
        <rFont val="Arial"/>
        <family val="2"/>
      </rPr>
      <t>-2-2252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</si>
  <si>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2253</t>
    </r>
  </si>
  <si>
    <r>
      <rPr>
        <sz val="9"/>
        <rFont val="Arial"/>
        <family val="2"/>
      </rPr>
      <t>10</t>
    </r>
    <r>
      <rPr>
        <sz val="9"/>
        <rFont val="宋体"/>
        <family val="3"/>
        <charset val="134"/>
      </rPr>
      <t>幢</t>
    </r>
    <r>
      <rPr>
        <sz val="9"/>
        <rFont val="Arial"/>
        <family val="2"/>
      </rPr>
      <t>-2-2254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</si>
  <si>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2255</t>
    </r>
  </si>
  <si>
    <r>
      <rPr>
        <sz val="9"/>
        <rFont val="Arial"/>
        <family val="2"/>
      </rPr>
      <t>10</t>
    </r>
    <r>
      <rPr>
        <sz val="9"/>
        <rFont val="宋体"/>
        <family val="3"/>
        <charset val="134"/>
      </rPr>
      <t>幢</t>
    </r>
    <r>
      <rPr>
        <sz val="9"/>
        <rFont val="Arial"/>
        <family val="2"/>
      </rPr>
      <t>-2-2256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</si>
  <si>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2257</t>
    </r>
  </si>
  <si>
    <r>
      <rPr>
        <sz val="9"/>
        <rFont val="Arial"/>
        <family val="2"/>
      </rPr>
      <t>10</t>
    </r>
    <r>
      <rPr>
        <sz val="9"/>
        <rFont val="宋体"/>
        <family val="3"/>
        <charset val="134"/>
      </rPr>
      <t>幢</t>
    </r>
    <r>
      <rPr>
        <sz val="9"/>
        <rFont val="Arial"/>
        <family val="2"/>
      </rPr>
      <t>-2-2258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</si>
  <si>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2259</t>
    </r>
  </si>
  <si>
    <r>
      <rPr>
        <sz val="9"/>
        <rFont val="Arial"/>
        <family val="2"/>
      </rPr>
      <t>10</t>
    </r>
    <r>
      <rPr>
        <sz val="9"/>
        <rFont val="宋体"/>
        <family val="3"/>
        <charset val="134"/>
      </rPr>
      <t>幢</t>
    </r>
    <r>
      <rPr>
        <sz val="9"/>
        <rFont val="Arial"/>
        <family val="2"/>
      </rPr>
      <t>-2-2260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</si>
  <si>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2261</t>
    </r>
  </si>
  <si>
    <r>
      <rPr>
        <sz val="9"/>
        <rFont val="Arial"/>
        <family val="2"/>
      </rPr>
      <t>10</t>
    </r>
    <r>
      <rPr>
        <sz val="9"/>
        <rFont val="宋体"/>
        <family val="3"/>
        <charset val="134"/>
      </rPr>
      <t>幢</t>
    </r>
    <r>
      <rPr>
        <sz val="9"/>
        <rFont val="Arial"/>
        <family val="2"/>
      </rPr>
      <t>-2-2262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</si>
  <si>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2263</t>
    </r>
  </si>
  <si>
    <r>
      <rPr>
        <sz val="9"/>
        <rFont val="Arial"/>
        <family val="2"/>
      </rPr>
      <t>10</t>
    </r>
    <r>
      <rPr>
        <sz val="9"/>
        <rFont val="宋体"/>
        <family val="3"/>
        <charset val="134"/>
      </rPr>
      <t>幢</t>
    </r>
    <r>
      <rPr>
        <sz val="9"/>
        <rFont val="Arial"/>
        <family val="2"/>
      </rPr>
      <t>-2-2264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</si>
  <si>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2265</t>
    </r>
  </si>
  <si>
    <r>
      <rPr>
        <sz val="9"/>
        <rFont val="Arial"/>
        <family val="2"/>
      </rPr>
      <t>10</t>
    </r>
    <r>
      <rPr>
        <sz val="9"/>
        <rFont val="宋体"/>
        <family val="3"/>
        <charset val="134"/>
      </rPr>
      <t>幢</t>
    </r>
    <r>
      <rPr>
        <sz val="9"/>
        <rFont val="Arial"/>
        <family val="2"/>
      </rPr>
      <t>-2-2266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</si>
  <si>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2267</t>
    </r>
  </si>
  <si>
    <r>
      <rPr>
        <sz val="9"/>
        <rFont val="Arial"/>
        <family val="2"/>
      </rPr>
      <t>10</t>
    </r>
    <r>
      <rPr>
        <sz val="9"/>
        <rFont val="宋体"/>
        <family val="3"/>
        <charset val="134"/>
      </rPr>
      <t>幢</t>
    </r>
    <r>
      <rPr>
        <sz val="9"/>
        <rFont val="Arial"/>
        <family val="2"/>
      </rPr>
      <t>-2-2268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</si>
  <si>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2269</t>
    </r>
  </si>
  <si>
    <r>
      <rPr>
        <sz val="9"/>
        <rFont val="Arial"/>
        <family val="2"/>
      </rPr>
      <t>10</t>
    </r>
    <r>
      <rPr>
        <sz val="9"/>
        <rFont val="宋体"/>
        <family val="3"/>
        <charset val="134"/>
      </rPr>
      <t>幢</t>
    </r>
    <r>
      <rPr>
        <sz val="9"/>
        <rFont val="Arial"/>
        <family val="2"/>
      </rPr>
      <t>-2-2270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</si>
  <si>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2271</t>
    </r>
  </si>
  <si>
    <r>
      <rPr>
        <sz val="9"/>
        <rFont val="Arial"/>
        <family val="2"/>
      </rPr>
      <t>10</t>
    </r>
    <r>
      <rPr>
        <sz val="9"/>
        <rFont val="宋体"/>
        <family val="3"/>
        <charset val="134"/>
      </rPr>
      <t>幢</t>
    </r>
    <r>
      <rPr>
        <sz val="9"/>
        <rFont val="Arial"/>
        <family val="2"/>
      </rPr>
      <t>-2-2272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</si>
  <si>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2273</t>
    </r>
  </si>
  <si>
    <r>
      <rPr>
        <sz val="9"/>
        <rFont val="Arial"/>
        <family val="2"/>
      </rPr>
      <t>10</t>
    </r>
    <r>
      <rPr>
        <sz val="9"/>
        <rFont val="宋体"/>
        <family val="3"/>
        <charset val="134"/>
      </rPr>
      <t>幢</t>
    </r>
    <r>
      <rPr>
        <sz val="9"/>
        <rFont val="Arial"/>
        <family val="2"/>
      </rPr>
      <t>-2-2274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</si>
  <si>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2275</t>
    </r>
  </si>
  <si>
    <r>
      <rPr>
        <sz val="9"/>
        <rFont val="Arial"/>
        <family val="2"/>
      </rPr>
      <t>10</t>
    </r>
    <r>
      <rPr>
        <sz val="9"/>
        <rFont val="宋体"/>
        <family val="3"/>
        <charset val="134"/>
      </rPr>
      <t>幢</t>
    </r>
    <r>
      <rPr>
        <sz val="9"/>
        <rFont val="Arial"/>
        <family val="2"/>
      </rPr>
      <t>-2-2276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</si>
  <si>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2277</t>
    </r>
  </si>
  <si>
    <r>
      <rPr>
        <sz val="9"/>
        <rFont val="Arial"/>
        <family val="2"/>
      </rPr>
      <t>10</t>
    </r>
    <r>
      <rPr>
        <sz val="9"/>
        <rFont val="宋体"/>
        <family val="3"/>
        <charset val="134"/>
      </rPr>
      <t>幢</t>
    </r>
    <r>
      <rPr>
        <sz val="9"/>
        <rFont val="Arial"/>
        <family val="2"/>
      </rPr>
      <t>-2-2278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</si>
  <si>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2279</t>
    </r>
  </si>
  <si>
    <r>
      <rPr>
        <sz val="9"/>
        <rFont val="Arial"/>
        <family val="2"/>
      </rPr>
      <t>10</t>
    </r>
    <r>
      <rPr>
        <sz val="9"/>
        <rFont val="宋体"/>
        <family val="3"/>
        <charset val="134"/>
      </rPr>
      <t>幢</t>
    </r>
    <r>
      <rPr>
        <sz val="9"/>
        <rFont val="Arial"/>
        <family val="2"/>
      </rPr>
      <t>-2-2280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</si>
  <si>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2281</t>
    </r>
  </si>
  <si>
    <r>
      <rPr>
        <sz val="9"/>
        <rFont val="Arial"/>
        <family val="2"/>
      </rPr>
      <t>10</t>
    </r>
    <r>
      <rPr>
        <sz val="9"/>
        <rFont val="宋体"/>
        <family val="3"/>
        <charset val="134"/>
      </rPr>
      <t>幢</t>
    </r>
    <r>
      <rPr>
        <sz val="9"/>
        <rFont val="Arial"/>
        <family val="2"/>
      </rPr>
      <t>-2-2282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</si>
  <si>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2283</t>
    </r>
  </si>
  <si>
    <r>
      <rPr>
        <sz val="9"/>
        <rFont val="Arial"/>
        <family val="2"/>
      </rPr>
      <t>10</t>
    </r>
    <r>
      <rPr>
        <sz val="9"/>
        <rFont val="宋体"/>
        <family val="3"/>
        <charset val="134"/>
      </rPr>
      <t>幢</t>
    </r>
    <r>
      <rPr>
        <sz val="9"/>
        <rFont val="Arial"/>
        <family val="2"/>
      </rPr>
      <t>-2-2284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</si>
  <si>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2285</t>
    </r>
  </si>
  <si>
    <r>
      <rPr>
        <sz val="9"/>
        <rFont val="Arial"/>
        <family val="2"/>
      </rPr>
      <t>10</t>
    </r>
    <r>
      <rPr>
        <sz val="9"/>
        <rFont val="宋体"/>
        <family val="3"/>
        <charset val="134"/>
      </rPr>
      <t>幢</t>
    </r>
    <r>
      <rPr>
        <sz val="9"/>
        <rFont val="Arial"/>
        <family val="2"/>
      </rPr>
      <t>-2-2286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</si>
  <si>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2287</t>
    </r>
  </si>
  <si>
    <r>
      <rPr>
        <sz val="9"/>
        <rFont val="Arial"/>
        <family val="2"/>
      </rPr>
      <t>10</t>
    </r>
    <r>
      <rPr>
        <sz val="9"/>
        <rFont val="宋体"/>
        <family val="3"/>
        <charset val="134"/>
      </rPr>
      <t>幢</t>
    </r>
    <r>
      <rPr>
        <sz val="9"/>
        <rFont val="Arial"/>
        <family val="2"/>
      </rPr>
      <t>-2-2288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</si>
  <si>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2289</t>
    </r>
  </si>
  <si>
    <r>
      <rPr>
        <sz val="9"/>
        <rFont val="Arial"/>
        <family val="2"/>
      </rPr>
      <t>10</t>
    </r>
    <r>
      <rPr>
        <sz val="9"/>
        <rFont val="宋体"/>
        <family val="3"/>
        <charset val="134"/>
      </rPr>
      <t>幢</t>
    </r>
    <r>
      <rPr>
        <sz val="9"/>
        <rFont val="Arial"/>
        <family val="2"/>
      </rPr>
      <t>-2-2290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</si>
  <si>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2291</t>
    </r>
  </si>
  <si>
    <r>
      <rPr>
        <sz val="9"/>
        <rFont val="Arial"/>
        <family val="2"/>
      </rPr>
      <t>10</t>
    </r>
    <r>
      <rPr>
        <sz val="9"/>
        <rFont val="宋体"/>
        <family val="3"/>
        <charset val="134"/>
      </rPr>
      <t>幢</t>
    </r>
    <r>
      <rPr>
        <sz val="9"/>
        <rFont val="Arial"/>
        <family val="2"/>
      </rPr>
      <t>-2-2292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</si>
  <si>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2293</t>
    </r>
  </si>
  <si>
    <r>
      <rPr>
        <sz val="9"/>
        <rFont val="Arial"/>
        <family val="2"/>
      </rPr>
      <t>10</t>
    </r>
    <r>
      <rPr>
        <sz val="9"/>
        <rFont val="宋体"/>
        <family val="3"/>
        <charset val="134"/>
      </rPr>
      <t>幢</t>
    </r>
    <r>
      <rPr>
        <sz val="9"/>
        <rFont val="Arial"/>
        <family val="2"/>
      </rPr>
      <t>-2-2294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</si>
  <si>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2295</t>
    </r>
  </si>
  <si>
    <r>
      <rPr>
        <sz val="9"/>
        <rFont val="Arial"/>
        <family val="2"/>
      </rPr>
      <t>10</t>
    </r>
    <r>
      <rPr>
        <sz val="9"/>
        <rFont val="宋体"/>
        <family val="3"/>
        <charset val="134"/>
      </rPr>
      <t>幢</t>
    </r>
    <r>
      <rPr>
        <sz val="9"/>
        <rFont val="Arial"/>
        <family val="2"/>
      </rPr>
      <t>-2-2296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</si>
  <si>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2297</t>
    </r>
  </si>
  <si>
    <r>
      <rPr>
        <sz val="9"/>
        <rFont val="Arial"/>
        <family val="2"/>
      </rPr>
      <t>10</t>
    </r>
    <r>
      <rPr>
        <sz val="9"/>
        <rFont val="宋体"/>
        <family val="3"/>
        <charset val="134"/>
      </rPr>
      <t>幢</t>
    </r>
    <r>
      <rPr>
        <sz val="9"/>
        <rFont val="Arial"/>
        <family val="2"/>
      </rPr>
      <t>-2-2298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</si>
  <si>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2299</t>
    </r>
  </si>
  <si>
    <r>
      <rPr>
        <sz val="9"/>
        <rFont val="Arial"/>
        <family val="2"/>
      </rPr>
      <t>10</t>
    </r>
    <r>
      <rPr>
        <sz val="9"/>
        <rFont val="宋体"/>
        <family val="3"/>
        <charset val="134"/>
      </rPr>
      <t>幢</t>
    </r>
    <r>
      <rPr>
        <sz val="9"/>
        <rFont val="Arial"/>
        <family val="2"/>
      </rPr>
      <t>-2-2300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</si>
  <si>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2301</t>
    </r>
  </si>
  <si>
    <r>
      <rPr>
        <sz val="9"/>
        <rFont val="Arial"/>
        <family val="2"/>
      </rPr>
      <t>10</t>
    </r>
    <r>
      <rPr>
        <sz val="9"/>
        <rFont val="宋体"/>
        <family val="3"/>
        <charset val="134"/>
      </rPr>
      <t>幢</t>
    </r>
    <r>
      <rPr>
        <sz val="9"/>
        <rFont val="Arial"/>
        <family val="2"/>
      </rPr>
      <t>-2-2302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</si>
  <si>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2303</t>
    </r>
  </si>
  <si>
    <r>
      <rPr>
        <sz val="9"/>
        <rFont val="Arial"/>
        <family val="2"/>
      </rPr>
      <t>10</t>
    </r>
    <r>
      <rPr>
        <sz val="9"/>
        <rFont val="宋体"/>
        <family val="3"/>
        <charset val="134"/>
      </rPr>
      <t>幢</t>
    </r>
    <r>
      <rPr>
        <sz val="9"/>
        <rFont val="Arial"/>
        <family val="2"/>
      </rPr>
      <t>-2-2304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</si>
  <si>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2305</t>
    </r>
  </si>
  <si>
    <r>
      <rPr>
        <sz val="9"/>
        <rFont val="Arial"/>
        <family val="2"/>
      </rPr>
      <t>10</t>
    </r>
    <r>
      <rPr>
        <sz val="9"/>
        <rFont val="宋体"/>
        <family val="3"/>
        <charset val="134"/>
      </rPr>
      <t>幢</t>
    </r>
    <r>
      <rPr>
        <sz val="9"/>
        <rFont val="Arial"/>
        <family val="2"/>
      </rPr>
      <t>-2-2306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</si>
  <si>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2307</t>
    </r>
  </si>
  <si>
    <r>
      <rPr>
        <sz val="9"/>
        <rFont val="Arial"/>
        <family val="2"/>
      </rPr>
      <t>10</t>
    </r>
    <r>
      <rPr>
        <sz val="9"/>
        <rFont val="宋体"/>
        <family val="3"/>
        <charset val="134"/>
      </rPr>
      <t>幢</t>
    </r>
    <r>
      <rPr>
        <sz val="9"/>
        <rFont val="Arial"/>
        <family val="2"/>
      </rPr>
      <t>-2-2308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</si>
  <si>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2309</t>
    </r>
  </si>
  <si>
    <r>
      <rPr>
        <sz val="9"/>
        <rFont val="Arial"/>
        <family val="2"/>
      </rPr>
      <t>10</t>
    </r>
    <r>
      <rPr>
        <sz val="9"/>
        <rFont val="宋体"/>
        <family val="3"/>
        <charset val="134"/>
      </rPr>
      <t>幢</t>
    </r>
    <r>
      <rPr>
        <sz val="9"/>
        <rFont val="Arial"/>
        <family val="2"/>
      </rPr>
      <t>-2-2310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</si>
  <si>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2311</t>
    </r>
  </si>
  <si>
    <r>
      <rPr>
        <sz val="9"/>
        <rFont val="Arial"/>
        <family val="2"/>
      </rPr>
      <t>-1</t>
    </r>
    <r>
      <rPr>
        <sz val="9"/>
        <rFont val="宋体"/>
        <family val="3"/>
        <charset val="134"/>
      </rPr>
      <t>层</t>
    </r>
  </si>
  <si>
    <r>
      <rPr>
        <sz val="9"/>
        <rFont val="Arial"/>
        <family val="2"/>
      </rPr>
      <t>10</t>
    </r>
    <r>
      <rPr>
        <sz val="9"/>
        <rFont val="宋体"/>
        <family val="3"/>
        <charset val="134"/>
      </rPr>
      <t>幢</t>
    </r>
    <r>
      <rPr>
        <sz val="9"/>
        <rFont val="Arial"/>
        <family val="2"/>
      </rPr>
      <t>-1-1003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</si>
  <si>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1004</t>
    </r>
  </si>
  <si>
    <r>
      <rPr>
        <sz val="9"/>
        <rFont val="Arial"/>
        <family val="2"/>
      </rPr>
      <t>10</t>
    </r>
    <r>
      <rPr>
        <sz val="9"/>
        <rFont val="宋体"/>
        <family val="3"/>
        <charset val="134"/>
      </rPr>
      <t>幢</t>
    </r>
    <r>
      <rPr>
        <sz val="9"/>
        <rFont val="Arial"/>
        <family val="2"/>
      </rPr>
      <t>-1-1005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</si>
  <si>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1006</t>
    </r>
  </si>
  <si>
    <r>
      <rPr>
        <sz val="9"/>
        <rFont val="Arial"/>
        <family val="2"/>
      </rPr>
      <t>10</t>
    </r>
    <r>
      <rPr>
        <sz val="9"/>
        <rFont val="宋体"/>
        <family val="3"/>
        <charset val="134"/>
      </rPr>
      <t>幢</t>
    </r>
    <r>
      <rPr>
        <sz val="9"/>
        <rFont val="Arial"/>
        <family val="2"/>
      </rPr>
      <t>-1-1009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</si>
  <si>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1010</t>
    </r>
  </si>
  <si>
    <r>
      <rPr>
        <sz val="9"/>
        <rFont val="Arial"/>
        <family val="2"/>
      </rPr>
      <t>10</t>
    </r>
    <r>
      <rPr>
        <sz val="9"/>
        <rFont val="宋体"/>
        <family val="3"/>
        <charset val="134"/>
      </rPr>
      <t>幢</t>
    </r>
    <r>
      <rPr>
        <sz val="9"/>
        <rFont val="Arial"/>
        <family val="2"/>
      </rPr>
      <t>-1-1011</t>
    </r>
  </si>
  <si>
    <r>
      <t>-1</t>
    </r>
    <r>
      <rPr>
        <sz val="9"/>
        <rFont val="宋体"/>
        <family val="3"/>
        <charset val="134"/>
      </rPr>
      <t>层</t>
    </r>
    <phoneticPr fontId="6"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</si>
  <si>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1012</t>
    </r>
  </si>
  <si>
    <r>
      <rPr>
        <sz val="9"/>
        <rFont val="Arial"/>
        <family val="2"/>
      </rPr>
      <t>10</t>
    </r>
    <r>
      <rPr>
        <sz val="9"/>
        <rFont val="宋体"/>
        <family val="3"/>
        <charset val="134"/>
      </rPr>
      <t>幢</t>
    </r>
    <r>
      <rPr>
        <sz val="9"/>
        <rFont val="Arial"/>
        <family val="2"/>
      </rPr>
      <t>-1-1013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</si>
  <si>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1014</t>
    </r>
  </si>
  <si>
    <r>
      <rPr>
        <sz val="9"/>
        <rFont val="Arial"/>
        <family val="2"/>
      </rPr>
      <t>10</t>
    </r>
    <r>
      <rPr>
        <sz val="9"/>
        <rFont val="宋体"/>
        <family val="3"/>
        <charset val="134"/>
      </rPr>
      <t>幢</t>
    </r>
    <r>
      <rPr>
        <sz val="9"/>
        <rFont val="Arial"/>
        <family val="2"/>
      </rPr>
      <t>-1-1015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</si>
  <si>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1016</t>
    </r>
  </si>
  <si>
    <r>
      <rPr>
        <sz val="9"/>
        <rFont val="Arial"/>
        <family val="2"/>
      </rPr>
      <t>10</t>
    </r>
    <r>
      <rPr>
        <sz val="9"/>
        <rFont val="宋体"/>
        <family val="3"/>
        <charset val="134"/>
      </rPr>
      <t>幢</t>
    </r>
    <r>
      <rPr>
        <sz val="9"/>
        <rFont val="Arial"/>
        <family val="2"/>
      </rPr>
      <t>-1-1017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</si>
  <si>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1018</t>
    </r>
  </si>
  <si>
    <r>
      <rPr>
        <sz val="9"/>
        <rFont val="Arial"/>
        <family val="2"/>
      </rPr>
      <t>10</t>
    </r>
    <r>
      <rPr>
        <sz val="9"/>
        <rFont val="宋体"/>
        <family val="3"/>
        <charset val="134"/>
      </rPr>
      <t>幢</t>
    </r>
    <r>
      <rPr>
        <sz val="9"/>
        <rFont val="Arial"/>
        <family val="2"/>
      </rPr>
      <t>-1-1019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</si>
  <si>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1022</t>
    </r>
  </si>
  <si>
    <r>
      <rPr>
        <sz val="9"/>
        <rFont val="Arial"/>
        <family val="2"/>
      </rPr>
      <t>10</t>
    </r>
    <r>
      <rPr>
        <sz val="9"/>
        <rFont val="宋体"/>
        <family val="3"/>
        <charset val="134"/>
      </rPr>
      <t>幢</t>
    </r>
    <r>
      <rPr>
        <sz val="9"/>
        <rFont val="Arial"/>
        <family val="2"/>
      </rPr>
      <t>-1-1023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</si>
  <si>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1024</t>
    </r>
  </si>
  <si>
    <r>
      <rPr>
        <sz val="9"/>
        <rFont val="Arial"/>
        <family val="2"/>
      </rPr>
      <t>10</t>
    </r>
    <r>
      <rPr>
        <sz val="9"/>
        <rFont val="宋体"/>
        <family val="3"/>
        <charset val="134"/>
      </rPr>
      <t>幢</t>
    </r>
    <r>
      <rPr>
        <sz val="9"/>
        <rFont val="Arial"/>
        <family val="2"/>
      </rPr>
      <t>-1-1025</t>
    </r>
  </si>
  <si>
    <r>
      <rPr>
        <sz val="9"/>
        <rFont val="Arial"/>
        <family val="2"/>
      </rPr>
      <t>10</t>
    </r>
    <r>
      <rPr>
        <sz val="9"/>
        <rFont val="宋体"/>
        <family val="3"/>
        <charset val="134"/>
      </rPr>
      <t>幢</t>
    </r>
    <r>
      <rPr>
        <sz val="9"/>
        <rFont val="Arial"/>
        <family val="2"/>
      </rPr>
      <t>-1-1027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</si>
  <si>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1028</t>
    </r>
  </si>
  <si>
    <r>
      <rPr>
        <sz val="9"/>
        <rFont val="Arial"/>
        <family val="2"/>
      </rPr>
      <t>10</t>
    </r>
    <r>
      <rPr>
        <sz val="9"/>
        <rFont val="宋体"/>
        <family val="3"/>
        <charset val="134"/>
      </rPr>
      <t>幢</t>
    </r>
    <r>
      <rPr>
        <sz val="9"/>
        <rFont val="Arial"/>
        <family val="2"/>
      </rPr>
      <t>-1-1029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</si>
  <si>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1031</t>
    </r>
  </si>
  <si>
    <r>
      <rPr>
        <sz val="9"/>
        <rFont val="Arial"/>
        <family val="2"/>
      </rPr>
      <t>10</t>
    </r>
    <r>
      <rPr>
        <sz val="9"/>
        <rFont val="宋体"/>
        <family val="3"/>
        <charset val="134"/>
      </rPr>
      <t>幢</t>
    </r>
    <r>
      <rPr>
        <sz val="9"/>
        <rFont val="Arial"/>
        <family val="2"/>
      </rPr>
      <t>-1-1032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</si>
  <si>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1033</t>
    </r>
  </si>
  <si>
    <r>
      <rPr>
        <sz val="9"/>
        <rFont val="Arial"/>
        <family val="2"/>
      </rPr>
      <t>10</t>
    </r>
    <r>
      <rPr>
        <sz val="9"/>
        <rFont val="宋体"/>
        <family val="3"/>
        <charset val="134"/>
      </rPr>
      <t>幢</t>
    </r>
    <r>
      <rPr>
        <sz val="9"/>
        <rFont val="Arial"/>
        <family val="2"/>
      </rPr>
      <t>-1-1034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</si>
  <si>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1037</t>
    </r>
  </si>
  <si>
    <r>
      <rPr>
        <sz val="9"/>
        <rFont val="Arial"/>
        <family val="2"/>
      </rPr>
      <t>10</t>
    </r>
    <r>
      <rPr>
        <sz val="9"/>
        <rFont val="宋体"/>
        <family val="3"/>
        <charset val="134"/>
      </rPr>
      <t>幢</t>
    </r>
    <r>
      <rPr>
        <sz val="9"/>
        <rFont val="Arial"/>
        <family val="2"/>
      </rPr>
      <t>-1-1038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</si>
  <si>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1039</t>
    </r>
  </si>
  <si>
    <r>
      <rPr>
        <sz val="9"/>
        <rFont val="Arial"/>
        <family val="2"/>
      </rPr>
      <t>10</t>
    </r>
    <r>
      <rPr>
        <sz val="9"/>
        <rFont val="宋体"/>
        <family val="3"/>
        <charset val="134"/>
      </rPr>
      <t>幢</t>
    </r>
    <r>
      <rPr>
        <sz val="9"/>
        <rFont val="Arial"/>
        <family val="2"/>
      </rPr>
      <t>-1-1040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</si>
  <si>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1041</t>
    </r>
  </si>
  <si>
    <r>
      <rPr>
        <sz val="9"/>
        <rFont val="Arial"/>
        <family val="2"/>
      </rPr>
      <t>10</t>
    </r>
    <r>
      <rPr>
        <sz val="9"/>
        <rFont val="宋体"/>
        <family val="3"/>
        <charset val="134"/>
      </rPr>
      <t>幢</t>
    </r>
    <r>
      <rPr>
        <sz val="9"/>
        <rFont val="Arial"/>
        <family val="2"/>
      </rPr>
      <t>-1-1042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</si>
  <si>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1043</t>
    </r>
  </si>
  <si>
    <r>
      <rPr>
        <sz val="9"/>
        <rFont val="Arial"/>
        <family val="2"/>
      </rPr>
      <t>10</t>
    </r>
    <r>
      <rPr>
        <sz val="9"/>
        <rFont val="宋体"/>
        <family val="3"/>
        <charset val="134"/>
      </rPr>
      <t>幢</t>
    </r>
    <r>
      <rPr>
        <sz val="9"/>
        <rFont val="Arial"/>
        <family val="2"/>
      </rPr>
      <t>-1-1044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</si>
  <si>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1045</t>
    </r>
  </si>
  <si>
    <r>
      <rPr>
        <sz val="9"/>
        <rFont val="Arial"/>
        <family val="2"/>
      </rPr>
      <t>10</t>
    </r>
    <r>
      <rPr>
        <sz val="9"/>
        <rFont val="宋体"/>
        <family val="3"/>
        <charset val="134"/>
      </rPr>
      <t>幢</t>
    </r>
    <r>
      <rPr>
        <sz val="9"/>
        <rFont val="Arial"/>
        <family val="2"/>
      </rPr>
      <t>-1-1046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</si>
  <si>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1047</t>
    </r>
  </si>
  <si>
    <r>
      <rPr>
        <sz val="9"/>
        <rFont val="Arial"/>
        <family val="2"/>
      </rPr>
      <t>10</t>
    </r>
    <r>
      <rPr>
        <sz val="9"/>
        <rFont val="宋体"/>
        <family val="3"/>
        <charset val="134"/>
      </rPr>
      <t>幢</t>
    </r>
    <r>
      <rPr>
        <sz val="9"/>
        <rFont val="Arial"/>
        <family val="2"/>
      </rPr>
      <t>-1-1048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</si>
  <si>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1049</t>
    </r>
  </si>
  <si>
    <r>
      <rPr>
        <sz val="9"/>
        <rFont val="Arial"/>
        <family val="2"/>
      </rPr>
      <t>10</t>
    </r>
    <r>
      <rPr>
        <sz val="9"/>
        <rFont val="宋体"/>
        <family val="3"/>
        <charset val="134"/>
      </rPr>
      <t>幢</t>
    </r>
    <r>
      <rPr>
        <sz val="9"/>
        <rFont val="Arial"/>
        <family val="2"/>
      </rPr>
      <t>-1-1050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</si>
  <si>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1051</t>
    </r>
  </si>
  <si>
    <r>
      <rPr>
        <sz val="9"/>
        <rFont val="Arial"/>
        <family val="2"/>
      </rPr>
      <t>10</t>
    </r>
    <r>
      <rPr>
        <sz val="9"/>
        <rFont val="宋体"/>
        <family val="3"/>
        <charset val="134"/>
      </rPr>
      <t>幢</t>
    </r>
    <r>
      <rPr>
        <sz val="9"/>
        <rFont val="Arial"/>
        <family val="2"/>
      </rPr>
      <t>-1-1052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</si>
  <si>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1053</t>
    </r>
  </si>
  <si>
    <r>
      <rPr>
        <sz val="9"/>
        <rFont val="Arial"/>
        <family val="2"/>
      </rPr>
      <t>10</t>
    </r>
    <r>
      <rPr>
        <sz val="9"/>
        <rFont val="宋体"/>
        <family val="3"/>
        <charset val="134"/>
      </rPr>
      <t>幢</t>
    </r>
    <r>
      <rPr>
        <sz val="9"/>
        <rFont val="Arial"/>
        <family val="2"/>
      </rPr>
      <t>-1-1054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</si>
  <si>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1055</t>
    </r>
  </si>
  <si>
    <r>
      <rPr>
        <sz val="9"/>
        <rFont val="Arial"/>
        <family val="2"/>
      </rPr>
      <t>10</t>
    </r>
    <r>
      <rPr>
        <sz val="9"/>
        <rFont val="宋体"/>
        <family val="3"/>
        <charset val="134"/>
      </rPr>
      <t>幢</t>
    </r>
    <r>
      <rPr>
        <sz val="9"/>
        <rFont val="Arial"/>
        <family val="2"/>
      </rPr>
      <t>-1-1056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</si>
  <si>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1057</t>
    </r>
  </si>
  <si>
    <r>
      <rPr>
        <sz val="9"/>
        <rFont val="Arial"/>
        <family val="2"/>
      </rPr>
      <t>10</t>
    </r>
    <r>
      <rPr>
        <sz val="9"/>
        <rFont val="宋体"/>
        <family val="3"/>
        <charset val="134"/>
      </rPr>
      <t>幢</t>
    </r>
    <r>
      <rPr>
        <sz val="9"/>
        <rFont val="Arial"/>
        <family val="2"/>
      </rPr>
      <t>-1-1058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</si>
  <si>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1059</t>
    </r>
  </si>
  <si>
    <r>
      <rPr>
        <sz val="9"/>
        <rFont val="Arial"/>
        <family val="2"/>
      </rPr>
      <t>10</t>
    </r>
    <r>
      <rPr>
        <sz val="9"/>
        <rFont val="宋体"/>
        <family val="3"/>
        <charset val="134"/>
      </rPr>
      <t>幢</t>
    </r>
    <r>
      <rPr>
        <sz val="9"/>
        <rFont val="Arial"/>
        <family val="2"/>
      </rPr>
      <t>-1-1060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</si>
  <si>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1061</t>
    </r>
  </si>
  <si>
    <r>
      <rPr>
        <sz val="9"/>
        <rFont val="Arial"/>
        <family val="2"/>
      </rPr>
      <t>10</t>
    </r>
    <r>
      <rPr>
        <sz val="9"/>
        <rFont val="宋体"/>
        <family val="3"/>
        <charset val="134"/>
      </rPr>
      <t>幢</t>
    </r>
    <r>
      <rPr>
        <sz val="9"/>
        <rFont val="Arial"/>
        <family val="2"/>
      </rPr>
      <t>-1-1062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</si>
  <si>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1063</t>
    </r>
  </si>
  <si>
    <r>
      <rPr>
        <sz val="9"/>
        <rFont val="Arial"/>
        <family val="2"/>
      </rPr>
      <t>10</t>
    </r>
    <r>
      <rPr>
        <sz val="9"/>
        <rFont val="宋体"/>
        <family val="3"/>
        <charset val="134"/>
      </rPr>
      <t>幢</t>
    </r>
    <r>
      <rPr>
        <sz val="9"/>
        <rFont val="Arial"/>
        <family val="2"/>
      </rPr>
      <t>-1-1064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</si>
  <si>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1065</t>
    </r>
  </si>
  <si>
    <r>
      <rPr>
        <sz val="9"/>
        <rFont val="Arial"/>
        <family val="2"/>
      </rPr>
      <t>10</t>
    </r>
    <r>
      <rPr>
        <sz val="9"/>
        <rFont val="宋体"/>
        <family val="3"/>
        <charset val="134"/>
      </rPr>
      <t>幢</t>
    </r>
    <r>
      <rPr>
        <sz val="9"/>
        <rFont val="Arial"/>
        <family val="2"/>
      </rPr>
      <t>-1-1066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</si>
  <si>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1067</t>
    </r>
  </si>
  <si>
    <r>
      <rPr>
        <sz val="9"/>
        <rFont val="Arial"/>
        <family val="2"/>
      </rPr>
      <t>10</t>
    </r>
    <r>
      <rPr>
        <sz val="9"/>
        <rFont val="宋体"/>
        <family val="3"/>
        <charset val="134"/>
      </rPr>
      <t>幢</t>
    </r>
    <r>
      <rPr>
        <sz val="9"/>
        <rFont val="Arial"/>
        <family val="2"/>
      </rPr>
      <t>-1-1068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</si>
  <si>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1069</t>
    </r>
  </si>
  <si>
    <r>
      <rPr>
        <sz val="9"/>
        <rFont val="Arial"/>
        <family val="2"/>
      </rPr>
      <t>10</t>
    </r>
    <r>
      <rPr>
        <sz val="9"/>
        <rFont val="宋体"/>
        <family val="3"/>
        <charset val="134"/>
      </rPr>
      <t>幢</t>
    </r>
    <r>
      <rPr>
        <sz val="9"/>
        <rFont val="Arial"/>
        <family val="2"/>
      </rPr>
      <t>-1-1070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</si>
  <si>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1071</t>
    </r>
  </si>
  <si>
    <r>
      <rPr>
        <sz val="9"/>
        <rFont val="Arial"/>
        <family val="2"/>
      </rPr>
      <t>10</t>
    </r>
    <r>
      <rPr>
        <sz val="9"/>
        <rFont val="宋体"/>
        <family val="3"/>
        <charset val="134"/>
      </rPr>
      <t>幢</t>
    </r>
    <r>
      <rPr>
        <sz val="9"/>
        <rFont val="Arial"/>
        <family val="2"/>
      </rPr>
      <t>-1-1072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</si>
  <si>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1073</t>
    </r>
  </si>
  <si>
    <r>
      <rPr>
        <sz val="9"/>
        <rFont val="Arial"/>
        <family val="2"/>
      </rPr>
      <t>10</t>
    </r>
    <r>
      <rPr>
        <sz val="9"/>
        <rFont val="宋体"/>
        <family val="3"/>
        <charset val="134"/>
      </rPr>
      <t>幢</t>
    </r>
    <r>
      <rPr>
        <sz val="9"/>
        <rFont val="Arial"/>
        <family val="2"/>
      </rPr>
      <t>-1-1074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</si>
  <si>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1075</t>
    </r>
  </si>
  <si>
    <r>
      <rPr>
        <sz val="9"/>
        <rFont val="Arial"/>
        <family val="2"/>
      </rPr>
      <t>10</t>
    </r>
    <r>
      <rPr>
        <sz val="9"/>
        <rFont val="宋体"/>
        <family val="3"/>
        <charset val="134"/>
      </rPr>
      <t>幢</t>
    </r>
    <r>
      <rPr>
        <sz val="9"/>
        <rFont val="Arial"/>
        <family val="2"/>
      </rPr>
      <t>-1-1076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</si>
  <si>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1077</t>
    </r>
  </si>
  <si>
    <r>
      <rPr>
        <sz val="9"/>
        <rFont val="Arial"/>
        <family val="2"/>
      </rPr>
      <t>10</t>
    </r>
    <r>
      <rPr>
        <sz val="9"/>
        <rFont val="宋体"/>
        <family val="3"/>
        <charset val="134"/>
      </rPr>
      <t>幢</t>
    </r>
    <r>
      <rPr>
        <sz val="9"/>
        <rFont val="Arial"/>
        <family val="2"/>
      </rPr>
      <t>-1-1078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</si>
  <si>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1079</t>
    </r>
  </si>
  <si>
    <r>
      <rPr>
        <sz val="9"/>
        <rFont val="Arial"/>
        <family val="2"/>
      </rPr>
      <t>10</t>
    </r>
    <r>
      <rPr>
        <sz val="9"/>
        <rFont val="宋体"/>
        <family val="3"/>
        <charset val="134"/>
      </rPr>
      <t>幢</t>
    </r>
    <r>
      <rPr>
        <sz val="9"/>
        <rFont val="Arial"/>
        <family val="2"/>
      </rPr>
      <t>-1-1080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</si>
  <si>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1081</t>
    </r>
  </si>
  <si>
    <r>
      <rPr>
        <sz val="9"/>
        <rFont val="Arial"/>
        <family val="2"/>
      </rPr>
      <t>10</t>
    </r>
    <r>
      <rPr>
        <sz val="9"/>
        <rFont val="宋体"/>
        <family val="3"/>
        <charset val="134"/>
      </rPr>
      <t>幢</t>
    </r>
    <r>
      <rPr>
        <sz val="9"/>
        <rFont val="Arial"/>
        <family val="2"/>
      </rPr>
      <t>-1-1082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</si>
  <si>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1083</t>
    </r>
  </si>
  <si>
    <r>
      <rPr>
        <sz val="9"/>
        <rFont val="Arial"/>
        <family val="2"/>
      </rPr>
      <t>10</t>
    </r>
    <r>
      <rPr>
        <sz val="9"/>
        <rFont val="宋体"/>
        <family val="3"/>
        <charset val="134"/>
      </rPr>
      <t>幢</t>
    </r>
    <r>
      <rPr>
        <sz val="9"/>
        <rFont val="Arial"/>
        <family val="2"/>
      </rPr>
      <t>-1-1084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</si>
  <si>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1085</t>
    </r>
  </si>
  <si>
    <r>
      <rPr>
        <sz val="9"/>
        <rFont val="Arial"/>
        <family val="2"/>
      </rPr>
      <t>10</t>
    </r>
    <r>
      <rPr>
        <sz val="9"/>
        <rFont val="宋体"/>
        <family val="3"/>
        <charset val="134"/>
      </rPr>
      <t>幢</t>
    </r>
    <r>
      <rPr>
        <sz val="9"/>
        <rFont val="Arial"/>
        <family val="2"/>
      </rPr>
      <t>-1-1086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</si>
  <si>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1087</t>
    </r>
  </si>
  <si>
    <r>
      <rPr>
        <sz val="9"/>
        <rFont val="Arial"/>
        <family val="2"/>
      </rPr>
      <t>10</t>
    </r>
    <r>
      <rPr>
        <sz val="9"/>
        <rFont val="宋体"/>
        <family val="3"/>
        <charset val="134"/>
      </rPr>
      <t>幢</t>
    </r>
    <r>
      <rPr>
        <sz val="9"/>
        <rFont val="Arial"/>
        <family val="2"/>
      </rPr>
      <t>-1-1088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</si>
  <si>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1089</t>
    </r>
  </si>
  <si>
    <r>
      <rPr>
        <sz val="9"/>
        <rFont val="Arial"/>
        <family val="2"/>
      </rPr>
      <t>10</t>
    </r>
    <r>
      <rPr>
        <sz val="9"/>
        <rFont val="宋体"/>
        <family val="3"/>
        <charset val="134"/>
      </rPr>
      <t>幢</t>
    </r>
    <r>
      <rPr>
        <sz val="9"/>
        <rFont val="Arial"/>
        <family val="2"/>
      </rPr>
      <t>-1-1090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</si>
  <si>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1091</t>
    </r>
  </si>
  <si>
    <r>
      <rPr>
        <sz val="9"/>
        <rFont val="Arial"/>
        <family val="2"/>
      </rPr>
      <t>10</t>
    </r>
    <r>
      <rPr>
        <sz val="9"/>
        <rFont val="宋体"/>
        <family val="3"/>
        <charset val="134"/>
      </rPr>
      <t>幢</t>
    </r>
    <r>
      <rPr>
        <sz val="9"/>
        <rFont val="Arial"/>
        <family val="2"/>
      </rPr>
      <t>-1-1092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</si>
  <si>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1093</t>
    </r>
  </si>
  <si>
    <r>
      <rPr>
        <sz val="9"/>
        <rFont val="Arial"/>
        <family val="2"/>
      </rPr>
      <t>10</t>
    </r>
    <r>
      <rPr>
        <sz val="9"/>
        <rFont val="宋体"/>
        <family val="3"/>
        <charset val="134"/>
      </rPr>
      <t>幢</t>
    </r>
    <r>
      <rPr>
        <sz val="9"/>
        <rFont val="Arial"/>
        <family val="2"/>
      </rPr>
      <t>-1-1094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</si>
  <si>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1095</t>
    </r>
  </si>
  <si>
    <r>
      <rPr>
        <sz val="9"/>
        <rFont val="Arial"/>
        <family val="2"/>
      </rPr>
      <t>10</t>
    </r>
    <r>
      <rPr>
        <sz val="9"/>
        <rFont val="宋体"/>
        <family val="3"/>
        <charset val="134"/>
      </rPr>
      <t>幢</t>
    </r>
    <r>
      <rPr>
        <sz val="9"/>
        <rFont val="Arial"/>
        <family val="2"/>
      </rPr>
      <t>-1-1096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</si>
  <si>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1097</t>
    </r>
  </si>
  <si>
    <r>
      <rPr>
        <sz val="9"/>
        <rFont val="Arial"/>
        <family val="2"/>
      </rPr>
      <t>10</t>
    </r>
    <r>
      <rPr>
        <sz val="9"/>
        <rFont val="宋体"/>
        <family val="3"/>
        <charset val="134"/>
      </rPr>
      <t>幢</t>
    </r>
    <r>
      <rPr>
        <sz val="9"/>
        <rFont val="Arial"/>
        <family val="2"/>
      </rPr>
      <t>-1-1098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</si>
  <si>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1099</t>
    </r>
  </si>
  <si>
    <r>
      <rPr>
        <sz val="9"/>
        <rFont val="Arial"/>
        <family val="2"/>
      </rPr>
      <t>10</t>
    </r>
    <r>
      <rPr>
        <sz val="9"/>
        <rFont val="宋体"/>
        <family val="3"/>
        <charset val="134"/>
      </rPr>
      <t>幢</t>
    </r>
    <r>
      <rPr>
        <sz val="9"/>
        <rFont val="Arial"/>
        <family val="2"/>
      </rPr>
      <t>-1-1100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</si>
  <si>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1101</t>
    </r>
  </si>
  <si>
    <r>
      <rPr>
        <sz val="9"/>
        <rFont val="Arial"/>
        <family val="2"/>
      </rPr>
      <t>10</t>
    </r>
    <r>
      <rPr>
        <sz val="9"/>
        <rFont val="宋体"/>
        <family val="3"/>
        <charset val="134"/>
      </rPr>
      <t>幢</t>
    </r>
    <r>
      <rPr>
        <sz val="9"/>
        <rFont val="Arial"/>
        <family val="2"/>
      </rPr>
      <t>-1-1102</t>
    </r>
  </si>
  <si>
    <r>
      <rPr>
        <sz val="9"/>
        <rFont val="宋体"/>
        <family val="3"/>
        <charset val="134"/>
      </rPr>
      <t>房山区揽秀南街</t>
    </r>
    <r>
      <rPr>
        <sz val="9"/>
        <rFont val="Arial"/>
        <family val="2"/>
      </rPr>
      <t>13</t>
    </r>
    <r>
      <rPr>
        <sz val="9"/>
        <rFont val="宋体"/>
        <family val="3"/>
        <charset val="134"/>
      </rPr>
      <t>号院</t>
    </r>
    <phoneticPr fontId="6"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</si>
  <si>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1103</t>
    </r>
  </si>
  <si>
    <r>
      <rPr>
        <sz val="9"/>
        <rFont val="Arial"/>
        <family val="2"/>
      </rPr>
      <t>10</t>
    </r>
    <r>
      <rPr>
        <sz val="9"/>
        <rFont val="宋体"/>
        <family val="3"/>
        <charset val="134"/>
      </rPr>
      <t>幢</t>
    </r>
    <r>
      <rPr>
        <sz val="9"/>
        <rFont val="Arial"/>
        <family val="2"/>
      </rPr>
      <t>-1-1104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</si>
  <si>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1105</t>
    </r>
  </si>
  <si>
    <r>
      <rPr>
        <sz val="9"/>
        <rFont val="Arial"/>
        <family val="2"/>
      </rPr>
      <t>10</t>
    </r>
    <r>
      <rPr>
        <sz val="9"/>
        <rFont val="宋体"/>
        <family val="3"/>
        <charset val="134"/>
      </rPr>
      <t>幢</t>
    </r>
    <r>
      <rPr>
        <sz val="9"/>
        <rFont val="Arial"/>
        <family val="2"/>
      </rPr>
      <t>-1-1106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</si>
  <si>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1107</t>
    </r>
  </si>
  <si>
    <r>
      <rPr>
        <sz val="9"/>
        <rFont val="Arial"/>
        <family val="2"/>
      </rPr>
      <t>10</t>
    </r>
    <r>
      <rPr>
        <sz val="9"/>
        <rFont val="宋体"/>
        <family val="3"/>
        <charset val="134"/>
      </rPr>
      <t>幢</t>
    </r>
    <r>
      <rPr>
        <sz val="9"/>
        <rFont val="Arial"/>
        <family val="2"/>
      </rPr>
      <t>-1-1108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</si>
  <si>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1109</t>
    </r>
  </si>
  <si>
    <r>
      <rPr>
        <sz val="9"/>
        <rFont val="Arial"/>
        <family val="2"/>
      </rPr>
      <t>10</t>
    </r>
    <r>
      <rPr>
        <sz val="9"/>
        <rFont val="宋体"/>
        <family val="3"/>
        <charset val="134"/>
      </rPr>
      <t>幢</t>
    </r>
    <r>
      <rPr>
        <sz val="9"/>
        <rFont val="Arial"/>
        <family val="2"/>
      </rPr>
      <t>-1-1111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</si>
  <si>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1112</t>
    </r>
  </si>
  <si>
    <r>
      <rPr>
        <sz val="9"/>
        <rFont val="Arial"/>
        <family val="2"/>
      </rPr>
      <t>10</t>
    </r>
    <r>
      <rPr>
        <sz val="9"/>
        <rFont val="宋体"/>
        <family val="3"/>
        <charset val="134"/>
      </rPr>
      <t>幢</t>
    </r>
    <r>
      <rPr>
        <sz val="9"/>
        <rFont val="Arial"/>
        <family val="2"/>
      </rPr>
      <t>-1-1113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</si>
  <si>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1114</t>
    </r>
  </si>
  <si>
    <r>
      <rPr>
        <sz val="9"/>
        <rFont val="Arial"/>
        <family val="2"/>
      </rPr>
      <t>10</t>
    </r>
    <r>
      <rPr>
        <sz val="9"/>
        <rFont val="宋体"/>
        <family val="3"/>
        <charset val="134"/>
      </rPr>
      <t>幢</t>
    </r>
    <r>
      <rPr>
        <sz val="9"/>
        <rFont val="Arial"/>
        <family val="2"/>
      </rPr>
      <t>-1-1115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</si>
  <si>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1116</t>
    </r>
  </si>
  <si>
    <r>
      <rPr>
        <sz val="9"/>
        <rFont val="Arial"/>
        <family val="2"/>
      </rPr>
      <t>10</t>
    </r>
    <r>
      <rPr>
        <sz val="9"/>
        <rFont val="宋体"/>
        <family val="3"/>
        <charset val="134"/>
      </rPr>
      <t>幢</t>
    </r>
    <r>
      <rPr>
        <sz val="9"/>
        <rFont val="Arial"/>
        <family val="2"/>
      </rPr>
      <t>-1-1117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</si>
  <si>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1118</t>
    </r>
  </si>
  <si>
    <r>
      <rPr>
        <sz val="9"/>
        <rFont val="Arial"/>
        <family val="2"/>
      </rPr>
      <t>10</t>
    </r>
    <r>
      <rPr>
        <sz val="9"/>
        <rFont val="宋体"/>
        <family val="3"/>
        <charset val="134"/>
      </rPr>
      <t>幢</t>
    </r>
    <r>
      <rPr>
        <sz val="9"/>
        <rFont val="Arial"/>
        <family val="2"/>
      </rPr>
      <t>-1-1119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</si>
  <si>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1120</t>
    </r>
  </si>
  <si>
    <r>
      <rPr>
        <sz val="9"/>
        <rFont val="Arial"/>
        <family val="2"/>
      </rPr>
      <t>10</t>
    </r>
    <r>
      <rPr>
        <sz val="9"/>
        <rFont val="宋体"/>
        <family val="3"/>
        <charset val="134"/>
      </rPr>
      <t>幢</t>
    </r>
    <r>
      <rPr>
        <sz val="9"/>
        <rFont val="Arial"/>
        <family val="2"/>
      </rPr>
      <t>-1-1121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</si>
  <si>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1122</t>
    </r>
  </si>
  <si>
    <r>
      <rPr>
        <sz val="9"/>
        <rFont val="Arial"/>
        <family val="2"/>
      </rPr>
      <t>10</t>
    </r>
    <r>
      <rPr>
        <sz val="9"/>
        <rFont val="宋体"/>
        <family val="3"/>
        <charset val="134"/>
      </rPr>
      <t>幢</t>
    </r>
    <r>
      <rPr>
        <sz val="9"/>
        <rFont val="Arial"/>
        <family val="2"/>
      </rPr>
      <t>-1-1123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</si>
  <si>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1124</t>
    </r>
  </si>
  <si>
    <r>
      <rPr>
        <sz val="9"/>
        <rFont val="Arial"/>
        <family val="2"/>
      </rPr>
      <t>10</t>
    </r>
    <r>
      <rPr>
        <sz val="9"/>
        <rFont val="宋体"/>
        <family val="3"/>
        <charset val="134"/>
      </rPr>
      <t>幢</t>
    </r>
    <r>
      <rPr>
        <sz val="9"/>
        <rFont val="Arial"/>
        <family val="2"/>
      </rPr>
      <t>-1-1125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</si>
  <si>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1126</t>
    </r>
  </si>
  <si>
    <r>
      <rPr>
        <sz val="9"/>
        <rFont val="Arial"/>
        <family val="2"/>
      </rPr>
      <t>10</t>
    </r>
    <r>
      <rPr>
        <sz val="9"/>
        <rFont val="宋体"/>
        <family val="3"/>
        <charset val="134"/>
      </rPr>
      <t>幢</t>
    </r>
    <r>
      <rPr>
        <sz val="9"/>
        <rFont val="Arial"/>
        <family val="2"/>
      </rPr>
      <t>-1-1127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</si>
  <si>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1128</t>
    </r>
  </si>
  <si>
    <r>
      <rPr>
        <sz val="9"/>
        <rFont val="Arial"/>
        <family val="2"/>
      </rPr>
      <t>10</t>
    </r>
    <r>
      <rPr>
        <sz val="9"/>
        <rFont val="宋体"/>
        <family val="3"/>
        <charset val="134"/>
      </rPr>
      <t>幢</t>
    </r>
    <r>
      <rPr>
        <sz val="9"/>
        <rFont val="Arial"/>
        <family val="2"/>
      </rPr>
      <t>-1-1129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</si>
  <si>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1130</t>
    </r>
  </si>
  <si>
    <r>
      <rPr>
        <sz val="9"/>
        <rFont val="Arial"/>
        <family val="2"/>
      </rPr>
      <t>10</t>
    </r>
    <r>
      <rPr>
        <sz val="9"/>
        <rFont val="宋体"/>
        <family val="3"/>
        <charset val="134"/>
      </rPr>
      <t>幢</t>
    </r>
    <r>
      <rPr>
        <sz val="9"/>
        <rFont val="Arial"/>
        <family val="2"/>
      </rPr>
      <t>-1-1131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</si>
  <si>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1132</t>
    </r>
  </si>
  <si>
    <r>
      <rPr>
        <sz val="9"/>
        <rFont val="Arial"/>
        <family val="2"/>
      </rPr>
      <t>10</t>
    </r>
    <r>
      <rPr>
        <sz val="9"/>
        <rFont val="宋体"/>
        <family val="3"/>
        <charset val="134"/>
      </rPr>
      <t>幢</t>
    </r>
    <r>
      <rPr>
        <sz val="9"/>
        <rFont val="Arial"/>
        <family val="2"/>
      </rPr>
      <t>-1-1133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</si>
  <si>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1134</t>
    </r>
  </si>
  <si>
    <r>
      <rPr>
        <sz val="9"/>
        <rFont val="Arial"/>
        <family val="2"/>
      </rPr>
      <t>10</t>
    </r>
    <r>
      <rPr>
        <sz val="9"/>
        <rFont val="宋体"/>
        <family val="3"/>
        <charset val="134"/>
      </rPr>
      <t>幢</t>
    </r>
    <r>
      <rPr>
        <sz val="9"/>
        <rFont val="Arial"/>
        <family val="2"/>
      </rPr>
      <t>-1-1135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</si>
  <si>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1136</t>
    </r>
  </si>
  <si>
    <r>
      <rPr>
        <sz val="9"/>
        <rFont val="Arial"/>
        <family val="2"/>
      </rPr>
      <t>10</t>
    </r>
    <r>
      <rPr>
        <sz val="9"/>
        <rFont val="宋体"/>
        <family val="3"/>
        <charset val="134"/>
      </rPr>
      <t>幢</t>
    </r>
    <r>
      <rPr>
        <sz val="9"/>
        <rFont val="Arial"/>
        <family val="2"/>
      </rPr>
      <t>-1-1137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</si>
  <si>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1138</t>
    </r>
  </si>
  <si>
    <r>
      <rPr>
        <sz val="9"/>
        <rFont val="Arial"/>
        <family val="2"/>
      </rPr>
      <t>10</t>
    </r>
    <r>
      <rPr>
        <sz val="9"/>
        <rFont val="宋体"/>
        <family val="3"/>
        <charset val="134"/>
      </rPr>
      <t>幢</t>
    </r>
    <r>
      <rPr>
        <sz val="9"/>
        <rFont val="Arial"/>
        <family val="2"/>
      </rPr>
      <t>-1-1139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</si>
  <si>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1140</t>
    </r>
  </si>
  <si>
    <r>
      <rPr>
        <sz val="9"/>
        <rFont val="Arial"/>
        <family val="2"/>
      </rPr>
      <t>10</t>
    </r>
    <r>
      <rPr>
        <sz val="9"/>
        <rFont val="宋体"/>
        <family val="3"/>
        <charset val="134"/>
      </rPr>
      <t>幢</t>
    </r>
    <r>
      <rPr>
        <sz val="9"/>
        <rFont val="Arial"/>
        <family val="2"/>
      </rPr>
      <t>-1-1141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</si>
  <si>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1142</t>
    </r>
  </si>
  <si>
    <r>
      <rPr>
        <sz val="9"/>
        <rFont val="Arial"/>
        <family val="2"/>
      </rPr>
      <t>10</t>
    </r>
    <r>
      <rPr>
        <sz val="9"/>
        <rFont val="宋体"/>
        <family val="3"/>
        <charset val="134"/>
      </rPr>
      <t>幢</t>
    </r>
    <r>
      <rPr>
        <sz val="9"/>
        <rFont val="Arial"/>
        <family val="2"/>
      </rPr>
      <t>-1-1143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</si>
  <si>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1144</t>
    </r>
  </si>
  <si>
    <r>
      <rPr>
        <sz val="9"/>
        <rFont val="Arial"/>
        <family val="2"/>
      </rPr>
      <t>10</t>
    </r>
    <r>
      <rPr>
        <sz val="9"/>
        <rFont val="宋体"/>
        <family val="3"/>
        <charset val="134"/>
      </rPr>
      <t>幢</t>
    </r>
    <r>
      <rPr>
        <sz val="9"/>
        <rFont val="Arial"/>
        <family val="2"/>
      </rPr>
      <t>-1-1145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</si>
  <si>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1146</t>
    </r>
  </si>
  <si>
    <r>
      <rPr>
        <sz val="9"/>
        <rFont val="Arial"/>
        <family val="2"/>
      </rPr>
      <t>10</t>
    </r>
    <r>
      <rPr>
        <sz val="9"/>
        <rFont val="宋体"/>
        <family val="3"/>
        <charset val="134"/>
      </rPr>
      <t>幢</t>
    </r>
    <r>
      <rPr>
        <sz val="9"/>
        <rFont val="Arial"/>
        <family val="2"/>
      </rPr>
      <t>-1-1147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</si>
  <si>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1149</t>
    </r>
  </si>
  <si>
    <r>
      <rPr>
        <sz val="9"/>
        <rFont val="Arial"/>
        <family val="2"/>
      </rPr>
      <t>10</t>
    </r>
    <r>
      <rPr>
        <sz val="9"/>
        <rFont val="宋体"/>
        <family val="3"/>
        <charset val="134"/>
      </rPr>
      <t>幢</t>
    </r>
    <r>
      <rPr>
        <sz val="9"/>
        <rFont val="Arial"/>
        <family val="2"/>
      </rPr>
      <t>-1-1150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</si>
  <si>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1151</t>
    </r>
  </si>
  <si>
    <r>
      <rPr>
        <sz val="9"/>
        <rFont val="Arial"/>
        <family val="2"/>
      </rPr>
      <t>10</t>
    </r>
    <r>
      <rPr>
        <sz val="9"/>
        <rFont val="宋体"/>
        <family val="3"/>
        <charset val="134"/>
      </rPr>
      <t>幢</t>
    </r>
    <r>
      <rPr>
        <sz val="9"/>
        <rFont val="Arial"/>
        <family val="2"/>
      </rPr>
      <t>-1-1152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</si>
  <si>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1153</t>
    </r>
  </si>
  <si>
    <r>
      <rPr>
        <sz val="9"/>
        <rFont val="Arial"/>
        <family val="2"/>
      </rPr>
      <t>10</t>
    </r>
    <r>
      <rPr>
        <sz val="9"/>
        <rFont val="宋体"/>
        <family val="3"/>
        <charset val="134"/>
      </rPr>
      <t>幢</t>
    </r>
    <r>
      <rPr>
        <sz val="9"/>
        <rFont val="Arial"/>
        <family val="2"/>
      </rPr>
      <t>-1-1154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</si>
  <si>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1155</t>
    </r>
  </si>
  <si>
    <r>
      <rPr>
        <sz val="9"/>
        <rFont val="Arial"/>
        <family val="2"/>
      </rPr>
      <t>10</t>
    </r>
    <r>
      <rPr>
        <sz val="9"/>
        <rFont val="宋体"/>
        <family val="3"/>
        <charset val="134"/>
      </rPr>
      <t>幢</t>
    </r>
    <r>
      <rPr>
        <sz val="9"/>
        <rFont val="Arial"/>
        <family val="2"/>
      </rPr>
      <t>-1-1156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</si>
  <si>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1157</t>
    </r>
  </si>
  <si>
    <r>
      <rPr>
        <sz val="9"/>
        <rFont val="Arial"/>
        <family val="2"/>
      </rPr>
      <t>10</t>
    </r>
    <r>
      <rPr>
        <sz val="9"/>
        <rFont val="宋体"/>
        <family val="3"/>
        <charset val="134"/>
      </rPr>
      <t>幢</t>
    </r>
    <r>
      <rPr>
        <sz val="9"/>
        <rFont val="Arial"/>
        <family val="2"/>
      </rPr>
      <t>-1-1158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</si>
  <si>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1159</t>
    </r>
  </si>
  <si>
    <r>
      <rPr>
        <sz val="9"/>
        <rFont val="Arial"/>
        <family val="2"/>
      </rPr>
      <t>10</t>
    </r>
    <r>
      <rPr>
        <sz val="9"/>
        <rFont val="宋体"/>
        <family val="3"/>
        <charset val="134"/>
      </rPr>
      <t>幢</t>
    </r>
    <r>
      <rPr>
        <sz val="9"/>
        <rFont val="Arial"/>
        <family val="2"/>
      </rPr>
      <t>-1-1160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</si>
  <si>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1161</t>
    </r>
  </si>
  <si>
    <r>
      <rPr>
        <sz val="9"/>
        <rFont val="Arial"/>
        <family val="2"/>
      </rPr>
      <t>10</t>
    </r>
    <r>
      <rPr>
        <sz val="9"/>
        <rFont val="宋体"/>
        <family val="3"/>
        <charset val="134"/>
      </rPr>
      <t>幢</t>
    </r>
    <r>
      <rPr>
        <sz val="9"/>
        <rFont val="Arial"/>
        <family val="2"/>
      </rPr>
      <t>-1-1162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</si>
  <si>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1163</t>
    </r>
  </si>
  <si>
    <r>
      <rPr>
        <sz val="9"/>
        <rFont val="Arial"/>
        <family val="2"/>
      </rPr>
      <t>10</t>
    </r>
    <r>
      <rPr>
        <sz val="9"/>
        <rFont val="宋体"/>
        <family val="3"/>
        <charset val="134"/>
      </rPr>
      <t>幢</t>
    </r>
    <r>
      <rPr>
        <sz val="9"/>
        <rFont val="Arial"/>
        <family val="2"/>
      </rPr>
      <t>-1-1164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</si>
  <si>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1165</t>
    </r>
  </si>
  <si>
    <r>
      <rPr>
        <sz val="9"/>
        <rFont val="Arial"/>
        <family val="2"/>
      </rPr>
      <t>10</t>
    </r>
    <r>
      <rPr>
        <sz val="9"/>
        <rFont val="宋体"/>
        <family val="3"/>
        <charset val="134"/>
      </rPr>
      <t>幢</t>
    </r>
    <r>
      <rPr>
        <sz val="9"/>
        <rFont val="Arial"/>
        <family val="2"/>
      </rPr>
      <t>-1-1166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</si>
  <si>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1167</t>
    </r>
  </si>
  <si>
    <r>
      <rPr>
        <sz val="9"/>
        <rFont val="Arial"/>
        <family val="2"/>
      </rPr>
      <t>10</t>
    </r>
    <r>
      <rPr>
        <sz val="9"/>
        <rFont val="宋体"/>
        <family val="3"/>
        <charset val="134"/>
      </rPr>
      <t>幢</t>
    </r>
    <r>
      <rPr>
        <sz val="9"/>
        <rFont val="Arial"/>
        <family val="2"/>
      </rPr>
      <t>-1-1168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</si>
  <si>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1169</t>
    </r>
  </si>
  <si>
    <r>
      <rPr>
        <sz val="9"/>
        <rFont val="Arial"/>
        <family val="2"/>
      </rPr>
      <t>10</t>
    </r>
    <r>
      <rPr>
        <sz val="9"/>
        <rFont val="宋体"/>
        <family val="3"/>
        <charset val="134"/>
      </rPr>
      <t>幢</t>
    </r>
    <r>
      <rPr>
        <sz val="9"/>
        <rFont val="Arial"/>
        <family val="2"/>
      </rPr>
      <t>-1-1170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</si>
  <si>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1171</t>
    </r>
  </si>
  <si>
    <r>
      <rPr>
        <sz val="9"/>
        <rFont val="Arial"/>
        <family val="2"/>
      </rPr>
      <t>10</t>
    </r>
    <r>
      <rPr>
        <sz val="9"/>
        <rFont val="宋体"/>
        <family val="3"/>
        <charset val="134"/>
      </rPr>
      <t>幢</t>
    </r>
    <r>
      <rPr>
        <sz val="9"/>
        <rFont val="Arial"/>
        <family val="2"/>
      </rPr>
      <t>-1-1172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</si>
  <si>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1173</t>
    </r>
  </si>
  <si>
    <r>
      <rPr>
        <sz val="9"/>
        <rFont val="Arial"/>
        <family val="2"/>
      </rPr>
      <t>10</t>
    </r>
    <r>
      <rPr>
        <sz val="9"/>
        <rFont val="宋体"/>
        <family val="3"/>
        <charset val="134"/>
      </rPr>
      <t>幢</t>
    </r>
    <r>
      <rPr>
        <sz val="9"/>
        <rFont val="Arial"/>
        <family val="2"/>
      </rPr>
      <t>-1-1174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</si>
  <si>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1175</t>
    </r>
  </si>
  <si>
    <r>
      <rPr>
        <sz val="9"/>
        <rFont val="Arial"/>
        <family val="2"/>
      </rPr>
      <t>10</t>
    </r>
    <r>
      <rPr>
        <sz val="9"/>
        <rFont val="宋体"/>
        <family val="3"/>
        <charset val="134"/>
      </rPr>
      <t>幢</t>
    </r>
    <r>
      <rPr>
        <sz val="9"/>
        <rFont val="Arial"/>
        <family val="2"/>
      </rPr>
      <t>-1-1176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</si>
  <si>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1177</t>
    </r>
  </si>
  <si>
    <r>
      <rPr>
        <sz val="9"/>
        <rFont val="Arial"/>
        <family val="2"/>
      </rPr>
      <t>10</t>
    </r>
    <r>
      <rPr>
        <sz val="9"/>
        <rFont val="宋体"/>
        <family val="3"/>
        <charset val="134"/>
      </rPr>
      <t>幢</t>
    </r>
    <r>
      <rPr>
        <sz val="9"/>
        <rFont val="Arial"/>
        <family val="2"/>
      </rPr>
      <t>-1-1178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</si>
  <si>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1179</t>
    </r>
  </si>
  <si>
    <r>
      <rPr>
        <sz val="9"/>
        <rFont val="Arial"/>
        <family val="2"/>
      </rPr>
      <t>10</t>
    </r>
    <r>
      <rPr>
        <sz val="9"/>
        <rFont val="宋体"/>
        <family val="3"/>
        <charset val="134"/>
      </rPr>
      <t>幢</t>
    </r>
    <r>
      <rPr>
        <sz val="9"/>
        <rFont val="Arial"/>
        <family val="2"/>
      </rPr>
      <t>-1-1180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</si>
  <si>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1181</t>
    </r>
  </si>
  <si>
    <r>
      <rPr>
        <sz val="9"/>
        <rFont val="Arial"/>
        <family val="2"/>
      </rPr>
      <t>10</t>
    </r>
    <r>
      <rPr>
        <sz val="9"/>
        <rFont val="宋体"/>
        <family val="3"/>
        <charset val="134"/>
      </rPr>
      <t>幢</t>
    </r>
    <r>
      <rPr>
        <sz val="9"/>
        <rFont val="Arial"/>
        <family val="2"/>
      </rPr>
      <t>-1-1182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</si>
  <si>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1184</t>
    </r>
  </si>
  <si>
    <r>
      <rPr>
        <sz val="9"/>
        <rFont val="Arial"/>
        <family val="2"/>
      </rPr>
      <t>10</t>
    </r>
    <r>
      <rPr>
        <sz val="9"/>
        <rFont val="宋体"/>
        <family val="3"/>
        <charset val="134"/>
      </rPr>
      <t>幢</t>
    </r>
    <r>
      <rPr>
        <sz val="9"/>
        <rFont val="Arial"/>
        <family val="2"/>
      </rPr>
      <t>-1-1185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</si>
  <si>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1186</t>
    </r>
  </si>
  <si>
    <r>
      <rPr>
        <sz val="9"/>
        <rFont val="Arial"/>
        <family val="2"/>
      </rPr>
      <t>10</t>
    </r>
    <r>
      <rPr>
        <sz val="9"/>
        <rFont val="宋体"/>
        <family val="3"/>
        <charset val="134"/>
      </rPr>
      <t>幢</t>
    </r>
    <r>
      <rPr>
        <sz val="9"/>
        <rFont val="Arial"/>
        <family val="2"/>
      </rPr>
      <t>-1-1187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</si>
  <si>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1188</t>
    </r>
  </si>
  <si>
    <r>
      <rPr>
        <sz val="9"/>
        <rFont val="Arial"/>
        <family val="2"/>
      </rPr>
      <t>10</t>
    </r>
    <r>
      <rPr>
        <sz val="9"/>
        <rFont val="宋体"/>
        <family val="3"/>
        <charset val="134"/>
      </rPr>
      <t>幢</t>
    </r>
    <r>
      <rPr>
        <sz val="9"/>
        <rFont val="Arial"/>
        <family val="2"/>
      </rPr>
      <t>-1-1189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</si>
  <si>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1190</t>
    </r>
  </si>
  <si>
    <r>
      <rPr>
        <sz val="9"/>
        <rFont val="Arial"/>
        <family val="2"/>
      </rPr>
      <t>10</t>
    </r>
    <r>
      <rPr>
        <sz val="9"/>
        <rFont val="宋体"/>
        <family val="3"/>
        <charset val="134"/>
      </rPr>
      <t>幢</t>
    </r>
    <r>
      <rPr>
        <sz val="9"/>
        <rFont val="Arial"/>
        <family val="2"/>
      </rPr>
      <t>-1-1191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</si>
  <si>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1192</t>
    </r>
  </si>
  <si>
    <r>
      <rPr>
        <sz val="9"/>
        <rFont val="Arial"/>
        <family val="2"/>
      </rPr>
      <t>10</t>
    </r>
    <r>
      <rPr>
        <sz val="9"/>
        <rFont val="宋体"/>
        <family val="3"/>
        <charset val="134"/>
      </rPr>
      <t>幢</t>
    </r>
    <r>
      <rPr>
        <sz val="9"/>
        <rFont val="Arial"/>
        <family val="2"/>
      </rPr>
      <t>-1-1193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</si>
  <si>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1194</t>
    </r>
  </si>
  <si>
    <r>
      <rPr>
        <sz val="9"/>
        <rFont val="Arial"/>
        <family val="2"/>
      </rPr>
      <t>10</t>
    </r>
    <r>
      <rPr>
        <sz val="9"/>
        <rFont val="宋体"/>
        <family val="3"/>
        <charset val="134"/>
      </rPr>
      <t>幢</t>
    </r>
    <r>
      <rPr>
        <sz val="9"/>
        <rFont val="Arial"/>
        <family val="2"/>
      </rPr>
      <t>-1-1195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</si>
  <si>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1196</t>
    </r>
  </si>
  <si>
    <r>
      <rPr>
        <sz val="9"/>
        <rFont val="Arial"/>
        <family val="2"/>
      </rPr>
      <t>10</t>
    </r>
    <r>
      <rPr>
        <sz val="9"/>
        <rFont val="宋体"/>
        <family val="3"/>
        <charset val="134"/>
      </rPr>
      <t>幢</t>
    </r>
    <r>
      <rPr>
        <sz val="9"/>
        <rFont val="Arial"/>
        <family val="2"/>
      </rPr>
      <t>-1-1197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</si>
  <si>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1198</t>
    </r>
  </si>
  <si>
    <r>
      <rPr>
        <sz val="9"/>
        <rFont val="Arial"/>
        <family val="2"/>
      </rPr>
      <t>10</t>
    </r>
    <r>
      <rPr>
        <sz val="9"/>
        <rFont val="宋体"/>
        <family val="3"/>
        <charset val="134"/>
      </rPr>
      <t>幢</t>
    </r>
    <r>
      <rPr>
        <sz val="9"/>
        <rFont val="Arial"/>
        <family val="2"/>
      </rPr>
      <t>-1-1199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</si>
  <si>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1200</t>
    </r>
  </si>
  <si>
    <r>
      <rPr>
        <sz val="9"/>
        <rFont val="Arial"/>
        <family val="2"/>
      </rPr>
      <t>10</t>
    </r>
    <r>
      <rPr>
        <sz val="9"/>
        <rFont val="宋体"/>
        <family val="3"/>
        <charset val="134"/>
      </rPr>
      <t>幢</t>
    </r>
    <r>
      <rPr>
        <sz val="9"/>
        <rFont val="Arial"/>
        <family val="2"/>
      </rPr>
      <t>-1-1201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</si>
  <si>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1202</t>
    </r>
  </si>
  <si>
    <r>
      <rPr>
        <sz val="9"/>
        <rFont val="Arial"/>
        <family val="2"/>
      </rPr>
      <t>10</t>
    </r>
    <r>
      <rPr>
        <sz val="9"/>
        <rFont val="宋体"/>
        <family val="3"/>
        <charset val="134"/>
      </rPr>
      <t>幢</t>
    </r>
    <r>
      <rPr>
        <sz val="9"/>
        <rFont val="Arial"/>
        <family val="2"/>
      </rPr>
      <t>-1-1203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</si>
  <si>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1204</t>
    </r>
  </si>
  <si>
    <r>
      <rPr>
        <sz val="9"/>
        <rFont val="Arial"/>
        <family val="2"/>
      </rPr>
      <t>10</t>
    </r>
    <r>
      <rPr>
        <sz val="9"/>
        <rFont val="宋体"/>
        <family val="3"/>
        <charset val="134"/>
      </rPr>
      <t>幢</t>
    </r>
    <r>
      <rPr>
        <sz val="9"/>
        <rFont val="Arial"/>
        <family val="2"/>
      </rPr>
      <t>-1-1205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</si>
  <si>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1206</t>
    </r>
  </si>
  <si>
    <r>
      <rPr>
        <sz val="9"/>
        <rFont val="Arial"/>
        <family val="2"/>
      </rPr>
      <t>10</t>
    </r>
    <r>
      <rPr>
        <sz val="9"/>
        <rFont val="宋体"/>
        <family val="3"/>
        <charset val="134"/>
      </rPr>
      <t>幢</t>
    </r>
    <r>
      <rPr>
        <sz val="9"/>
        <rFont val="Arial"/>
        <family val="2"/>
      </rPr>
      <t>-1-1207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</si>
  <si>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1208</t>
    </r>
  </si>
  <si>
    <r>
      <rPr>
        <sz val="9"/>
        <rFont val="Arial"/>
        <family val="2"/>
      </rPr>
      <t>10</t>
    </r>
    <r>
      <rPr>
        <sz val="9"/>
        <rFont val="宋体"/>
        <family val="3"/>
        <charset val="134"/>
      </rPr>
      <t>幢</t>
    </r>
    <r>
      <rPr>
        <sz val="9"/>
        <rFont val="Arial"/>
        <family val="2"/>
      </rPr>
      <t>-1-1212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</si>
  <si>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1213</t>
    </r>
  </si>
  <si>
    <r>
      <rPr>
        <sz val="9"/>
        <rFont val="Arial"/>
        <family val="2"/>
      </rPr>
      <t>10</t>
    </r>
    <r>
      <rPr>
        <sz val="9"/>
        <rFont val="宋体"/>
        <family val="3"/>
        <charset val="134"/>
      </rPr>
      <t>幢</t>
    </r>
    <r>
      <rPr>
        <sz val="9"/>
        <rFont val="Arial"/>
        <family val="2"/>
      </rPr>
      <t>-1-1214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</si>
  <si>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1215</t>
    </r>
  </si>
  <si>
    <r>
      <rPr>
        <sz val="9"/>
        <rFont val="Arial"/>
        <family val="2"/>
      </rPr>
      <t>10</t>
    </r>
    <r>
      <rPr>
        <sz val="9"/>
        <rFont val="宋体"/>
        <family val="3"/>
        <charset val="134"/>
      </rPr>
      <t>幢</t>
    </r>
    <r>
      <rPr>
        <sz val="9"/>
        <rFont val="Arial"/>
        <family val="2"/>
      </rPr>
      <t>-1-1216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</si>
  <si>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1217</t>
    </r>
  </si>
  <si>
    <r>
      <rPr>
        <sz val="9"/>
        <rFont val="Arial"/>
        <family val="2"/>
      </rPr>
      <t>10</t>
    </r>
    <r>
      <rPr>
        <sz val="9"/>
        <rFont val="宋体"/>
        <family val="3"/>
        <charset val="134"/>
      </rPr>
      <t>幢</t>
    </r>
    <r>
      <rPr>
        <sz val="9"/>
        <rFont val="Arial"/>
        <family val="2"/>
      </rPr>
      <t>-1-1218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</si>
  <si>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1220</t>
    </r>
  </si>
  <si>
    <r>
      <rPr>
        <sz val="9"/>
        <rFont val="Arial"/>
        <family val="2"/>
      </rPr>
      <t>10</t>
    </r>
    <r>
      <rPr>
        <sz val="9"/>
        <rFont val="宋体"/>
        <family val="3"/>
        <charset val="134"/>
      </rPr>
      <t>幢</t>
    </r>
    <r>
      <rPr>
        <sz val="9"/>
        <rFont val="Arial"/>
        <family val="2"/>
      </rPr>
      <t>-1-1221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</si>
  <si>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1222</t>
    </r>
  </si>
  <si>
    <r>
      <rPr>
        <sz val="9"/>
        <rFont val="Arial"/>
        <family val="2"/>
      </rPr>
      <t>10</t>
    </r>
    <r>
      <rPr>
        <sz val="9"/>
        <rFont val="宋体"/>
        <family val="3"/>
        <charset val="134"/>
      </rPr>
      <t>幢</t>
    </r>
    <r>
      <rPr>
        <sz val="9"/>
        <rFont val="Arial"/>
        <family val="2"/>
      </rPr>
      <t>-1-1223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</si>
  <si>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1224</t>
    </r>
  </si>
  <si>
    <r>
      <rPr>
        <sz val="9"/>
        <rFont val="Arial"/>
        <family val="2"/>
      </rPr>
      <t>10</t>
    </r>
    <r>
      <rPr>
        <sz val="9"/>
        <rFont val="宋体"/>
        <family val="3"/>
        <charset val="134"/>
      </rPr>
      <t>幢</t>
    </r>
    <r>
      <rPr>
        <sz val="9"/>
        <rFont val="Arial"/>
        <family val="2"/>
      </rPr>
      <t>-1-1225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</si>
  <si>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1226</t>
    </r>
  </si>
  <si>
    <r>
      <rPr>
        <sz val="9"/>
        <rFont val="Arial"/>
        <family val="2"/>
      </rPr>
      <t>10</t>
    </r>
    <r>
      <rPr>
        <sz val="9"/>
        <rFont val="宋体"/>
        <family val="3"/>
        <charset val="134"/>
      </rPr>
      <t>幢</t>
    </r>
    <r>
      <rPr>
        <sz val="9"/>
        <rFont val="Arial"/>
        <family val="2"/>
      </rPr>
      <t>-1-1227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</si>
  <si>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1228</t>
    </r>
  </si>
  <si>
    <r>
      <rPr>
        <sz val="9"/>
        <rFont val="Arial"/>
        <family val="2"/>
      </rPr>
      <t>10</t>
    </r>
    <r>
      <rPr>
        <sz val="9"/>
        <rFont val="宋体"/>
        <family val="3"/>
        <charset val="134"/>
      </rPr>
      <t>幢</t>
    </r>
    <r>
      <rPr>
        <sz val="9"/>
        <rFont val="Arial"/>
        <family val="2"/>
      </rPr>
      <t>-1-1229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</si>
  <si>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1230</t>
    </r>
  </si>
  <si>
    <r>
      <rPr>
        <sz val="9"/>
        <rFont val="Arial"/>
        <family val="2"/>
      </rPr>
      <t>10</t>
    </r>
    <r>
      <rPr>
        <sz val="9"/>
        <rFont val="宋体"/>
        <family val="3"/>
        <charset val="134"/>
      </rPr>
      <t>幢</t>
    </r>
    <r>
      <rPr>
        <sz val="9"/>
        <rFont val="Arial"/>
        <family val="2"/>
      </rPr>
      <t>-1-1231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</si>
  <si>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1232</t>
    </r>
  </si>
  <si>
    <r>
      <rPr>
        <sz val="9"/>
        <rFont val="Arial"/>
        <family val="2"/>
      </rPr>
      <t>10</t>
    </r>
    <r>
      <rPr>
        <sz val="9"/>
        <rFont val="宋体"/>
        <family val="3"/>
        <charset val="134"/>
      </rPr>
      <t>幢</t>
    </r>
    <r>
      <rPr>
        <sz val="9"/>
        <rFont val="Arial"/>
        <family val="2"/>
      </rPr>
      <t>-1-1233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</si>
  <si>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1234</t>
    </r>
  </si>
  <si>
    <r>
      <rPr>
        <sz val="9"/>
        <rFont val="Arial"/>
        <family val="2"/>
      </rPr>
      <t>10</t>
    </r>
    <r>
      <rPr>
        <sz val="9"/>
        <rFont val="宋体"/>
        <family val="3"/>
        <charset val="134"/>
      </rPr>
      <t>幢</t>
    </r>
    <r>
      <rPr>
        <sz val="9"/>
        <rFont val="Arial"/>
        <family val="2"/>
      </rPr>
      <t>-1-1235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</si>
  <si>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1236</t>
    </r>
  </si>
  <si>
    <r>
      <rPr>
        <sz val="9"/>
        <rFont val="Arial"/>
        <family val="2"/>
      </rPr>
      <t>10</t>
    </r>
    <r>
      <rPr>
        <sz val="9"/>
        <rFont val="宋体"/>
        <family val="3"/>
        <charset val="134"/>
      </rPr>
      <t>幢</t>
    </r>
    <r>
      <rPr>
        <sz val="9"/>
        <rFont val="Arial"/>
        <family val="2"/>
      </rPr>
      <t>-1-1237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</si>
  <si>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1238</t>
    </r>
  </si>
  <si>
    <r>
      <rPr>
        <sz val="9"/>
        <rFont val="Arial"/>
        <family val="2"/>
      </rPr>
      <t>10</t>
    </r>
    <r>
      <rPr>
        <sz val="9"/>
        <rFont val="宋体"/>
        <family val="3"/>
        <charset val="134"/>
      </rPr>
      <t>幢</t>
    </r>
    <r>
      <rPr>
        <sz val="9"/>
        <rFont val="Arial"/>
        <family val="2"/>
      </rPr>
      <t>-1-1239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</si>
  <si>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1240</t>
    </r>
  </si>
  <si>
    <r>
      <rPr>
        <sz val="9"/>
        <rFont val="Arial"/>
        <family val="2"/>
      </rPr>
      <t>10</t>
    </r>
    <r>
      <rPr>
        <sz val="9"/>
        <rFont val="宋体"/>
        <family val="3"/>
        <charset val="134"/>
      </rPr>
      <t>幢</t>
    </r>
    <r>
      <rPr>
        <sz val="9"/>
        <rFont val="Arial"/>
        <family val="2"/>
      </rPr>
      <t>-1-1241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</si>
  <si>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1242</t>
    </r>
  </si>
  <si>
    <r>
      <rPr>
        <sz val="9"/>
        <rFont val="Arial"/>
        <family val="2"/>
      </rPr>
      <t>10</t>
    </r>
    <r>
      <rPr>
        <sz val="9"/>
        <rFont val="宋体"/>
        <family val="3"/>
        <charset val="134"/>
      </rPr>
      <t>幢</t>
    </r>
    <r>
      <rPr>
        <sz val="9"/>
        <rFont val="Arial"/>
        <family val="2"/>
      </rPr>
      <t>-1-1243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</si>
  <si>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1244</t>
    </r>
  </si>
  <si>
    <r>
      <rPr>
        <sz val="9"/>
        <rFont val="Arial"/>
        <family val="2"/>
      </rPr>
      <t>10</t>
    </r>
    <r>
      <rPr>
        <sz val="9"/>
        <rFont val="宋体"/>
        <family val="3"/>
        <charset val="134"/>
      </rPr>
      <t>幢</t>
    </r>
    <r>
      <rPr>
        <sz val="9"/>
        <rFont val="Arial"/>
        <family val="2"/>
      </rPr>
      <t>-1-1245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</si>
  <si>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1246</t>
    </r>
  </si>
  <si>
    <r>
      <rPr>
        <sz val="9"/>
        <rFont val="Arial"/>
        <family val="2"/>
      </rPr>
      <t>10</t>
    </r>
    <r>
      <rPr>
        <sz val="9"/>
        <rFont val="宋体"/>
        <family val="3"/>
        <charset val="134"/>
      </rPr>
      <t>幢</t>
    </r>
    <r>
      <rPr>
        <sz val="9"/>
        <rFont val="Arial"/>
        <family val="2"/>
      </rPr>
      <t>-1-1247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</si>
  <si>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1248</t>
    </r>
  </si>
  <si>
    <r>
      <rPr>
        <sz val="9"/>
        <rFont val="Arial"/>
        <family val="2"/>
      </rPr>
      <t>10</t>
    </r>
    <r>
      <rPr>
        <sz val="9"/>
        <rFont val="宋体"/>
        <family val="3"/>
        <charset val="134"/>
      </rPr>
      <t>幢</t>
    </r>
    <r>
      <rPr>
        <sz val="9"/>
        <rFont val="Arial"/>
        <family val="2"/>
      </rPr>
      <t>-1-1249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</si>
  <si>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1251</t>
    </r>
  </si>
  <si>
    <r>
      <rPr>
        <sz val="9"/>
        <rFont val="Arial"/>
        <family val="2"/>
      </rPr>
      <t>10</t>
    </r>
    <r>
      <rPr>
        <sz val="9"/>
        <rFont val="宋体"/>
        <family val="3"/>
        <charset val="134"/>
      </rPr>
      <t>幢</t>
    </r>
    <r>
      <rPr>
        <sz val="9"/>
        <rFont val="Arial"/>
        <family val="2"/>
      </rPr>
      <t>-1-1252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</si>
  <si>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1259</t>
    </r>
  </si>
  <si>
    <r>
      <rPr>
        <sz val="9"/>
        <rFont val="Arial"/>
        <family val="2"/>
      </rPr>
      <t>10</t>
    </r>
    <r>
      <rPr>
        <sz val="9"/>
        <rFont val="宋体"/>
        <family val="3"/>
        <charset val="134"/>
      </rPr>
      <t>幢</t>
    </r>
    <r>
      <rPr>
        <sz val="9"/>
        <rFont val="Arial"/>
        <family val="2"/>
      </rPr>
      <t>-1-1262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</si>
  <si>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1264</t>
    </r>
  </si>
  <si>
    <r>
      <rPr>
        <sz val="9"/>
        <rFont val="Arial"/>
        <family val="2"/>
      </rPr>
      <t>10</t>
    </r>
    <r>
      <rPr>
        <sz val="9"/>
        <rFont val="宋体"/>
        <family val="3"/>
        <charset val="134"/>
      </rPr>
      <t>幢</t>
    </r>
    <r>
      <rPr>
        <sz val="9"/>
        <rFont val="Arial"/>
        <family val="2"/>
      </rPr>
      <t>-1-1265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</si>
  <si>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1267</t>
    </r>
  </si>
  <si>
    <r>
      <rPr>
        <sz val="9"/>
        <rFont val="Arial"/>
        <family val="2"/>
      </rPr>
      <t>10</t>
    </r>
    <r>
      <rPr>
        <sz val="9"/>
        <rFont val="宋体"/>
        <family val="3"/>
        <charset val="134"/>
      </rPr>
      <t>幢</t>
    </r>
    <r>
      <rPr>
        <sz val="9"/>
        <rFont val="Arial"/>
        <family val="2"/>
      </rPr>
      <t>-1-1269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</si>
  <si>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1270</t>
    </r>
  </si>
  <si>
    <r>
      <rPr>
        <sz val="9"/>
        <rFont val="Arial"/>
        <family val="2"/>
      </rPr>
      <t>10</t>
    </r>
    <r>
      <rPr>
        <sz val="9"/>
        <rFont val="宋体"/>
        <family val="3"/>
        <charset val="134"/>
      </rPr>
      <t>幢</t>
    </r>
    <r>
      <rPr>
        <sz val="9"/>
        <rFont val="Arial"/>
        <family val="2"/>
      </rPr>
      <t>-1-1272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</si>
  <si>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1273</t>
    </r>
  </si>
  <si>
    <r>
      <rPr>
        <sz val="9"/>
        <rFont val="Arial"/>
        <family val="2"/>
      </rPr>
      <t>10</t>
    </r>
    <r>
      <rPr>
        <sz val="9"/>
        <rFont val="宋体"/>
        <family val="3"/>
        <charset val="134"/>
      </rPr>
      <t>幢</t>
    </r>
    <r>
      <rPr>
        <sz val="9"/>
        <rFont val="Arial"/>
        <family val="2"/>
      </rPr>
      <t>-1-1274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</si>
  <si>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1275</t>
    </r>
  </si>
  <si>
    <r>
      <rPr>
        <sz val="9"/>
        <rFont val="Arial"/>
        <family val="2"/>
      </rPr>
      <t>10</t>
    </r>
    <r>
      <rPr>
        <sz val="9"/>
        <rFont val="宋体"/>
        <family val="3"/>
        <charset val="134"/>
      </rPr>
      <t>幢</t>
    </r>
    <r>
      <rPr>
        <sz val="9"/>
        <rFont val="Arial"/>
        <family val="2"/>
      </rPr>
      <t>-1-1276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</si>
  <si>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1278</t>
    </r>
  </si>
  <si>
    <r>
      <rPr>
        <sz val="9"/>
        <rFont val="Arial"/>
        <family val="2"/>
      </rPr>
      <t>10</t>
    </r>
    <r>
      <rPr>
        <sz val="9"/>
        <rFont val="宋体"/>
        <family val="3"/>
        <charset val="134"/>
      </rPr>
      <t>幢</t>
    </r>
    <r>
      <rPr>
        <sz val="9"/>
        <rFont val="Arial"/>
        <family val="2"/>
      </rPr>
      <t>-1-1279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</si>
  <si>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1281</t>
    </r>
  </si>
  <si>
    <r>
      <rPr>
        <sz val="9"/>
        <rFont val="Arial"/>
        <family val="2"/>
      </rPr>
      <t>10</t>
    </r>
    <r>
      <rPr>
        <sz val="9"/>
        <rFont val="宋体"/>
        <family val="3"/>
        <charset val="134"/>
      </rPr>
      <t>幢</t>
    </r>
    <r>
      <rPr>
        <sz val="9"/>
        <rFont val="Arial"/>
        <family val="2"/>
      </rPr>
      <t>-1-1282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</si>
  <si>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1284</t>
    </r>
  </si>
  <si>
    <r>
      <rPr>
        <sz val="9"/>
        <rFont val="Arial"/>
        <family val="2"/>
      </rPr>
      <t>10</t>
    </r>
    <r>
      <rPr>
        <sz val="9"/>
        <rFont val="宋体"/>
        <family val="3"/>
        <charset val="134"/>
      </rPr>
      <t>幢</t>
    </r>
    <r>
      <rPr>
        <sz val="9"/>
        <rFont val="Arial"/>
        <family val="2"/>
      </rPr>
      <t>-1-1290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</si>
  <si>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1293</t>
    </r>
  </si>
  <si>
    <r>
      <rPr>
        <sz val="9"/>
        <rFont val="Arial"/>
        <family val="2"/>
      </rPr>
      <t>10</t>
    </r>
    <r>
      <rPr>
        <sz val="9"/>
        <rFont val="宋体"/>
        <family val="3"/>
        <charset val="134"/>
      </rPr>
      <t>幢</t>
    </r>
    <r>
      <rPr>
        <sz val="9"/>
        <rFont val="Arial"/>
        <family val="2"/>
      </rPr>
      <t>-1-1294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</si>
  <si>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1295</t>
    </r>
  </si>
  <si>
    <r>
      <rPr>
        <sz val="9"/>
        <rFont val="Arial"/>
        <family val="2"/>
      </rPr>
      <t>10</t>
    </r>
    <r>
      <rPr>
        <sz val="9"/>
        <rFont val="宋体"/>
        <family val="3"/>
        <charset val="134"/>
      </rPr>
      <t>幢</t>
    </r>
    <r>
      <rPr>
        <sz val="9"/>
        <rFont val="Arial"/>
        <family val="2"/>
      </rPr>
      <t>-1-1305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</si>
  <si>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1306</t>
    </r>
  </si>
  <si>
    <r>
      <rPr>
        <sz val="9"/>
        <rFont val="Arial"/>
        <family val="2"/>
      </rPr>
      <t>10</t>
    </r>
    <r>
      <rPr>
        <sz val="9"/>
        <rFont val="宋体"/>
        <family val="3"/>
        <charset val="134"/>
      </rPr>
      <t>幢</t>
    </r>
    <r>
      <rPr>
        <sz val="9"/>
        <rFont val="Arial"/>
        <family val="2"/>
      </rPr>
      <t>-1-1308</t>
    </r>
  </si>
  <si>
    <r>
      <rPr>
        <sz val="9"/>
        <rFont val="宋体"/>
        <family val="3"/>
        <charset val="134"/>
      </rPr>
      <t>房山区揽秀南街</t>
    </r>
    <r>
      <rPr>
        <sz val="9"/>
        <rFont val="Arial"/>
        <family val="2"/>
      </rPr>
      <t>15</t>
    </r>
    <r>
      <rPr>
        <sz val="9"/>
        <rFont val="宋体"/>
        <family val="3"/>
        <charset val="134"/>
      </rPr>
      <t>号院</t>
    </r>
  </si>
  <si>
    <r>
      <rPr>
        <sz val="9"/>
        <rFont val="Arial"/>
        <family val="2"/>
      </rPr>
      <t>30</t>
    </r>
    <r>
      <rPr>
        <sz val="9"/>
        <rFont val="宋体"/>
        <family val="3"/>
        <charset val="134"/>
      </rPr>
      <t>幢</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</si>
  <si>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2001</t>
    </r>
  </si>
  <si>
    <r>
      <rPr>
        <sz val="9"/>
        <rFont val="Arial"/>
        <family val="2"/>
      </rPr>
      <t>30</t>
    </r>
    <r>
      <rPr>
        <sz val="9"/>
        <rFont val="宋体"/>
        <family val="3"/>
        <charset val="134"/>
      </rPr>
      <t>幢</t>
    </r>
    <r>
      <rPr>
        <sz val="9"/>
        <rFont val="Arial"/>
        <family val="2"/>
      </rPr>
      <t>-2-2002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</si>
  <si>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2003</t>
    </r>
  </si>
  <si>
    <r>
      <rPr>
        <sz val="9"/>
        <rFont val="Arial"/>
        <family val="2"/>
      </rPr>
      <t>30</t>
    </r>
    <r>
      <rPr>
        <sz val="9"/>
        <rFont val="宋体"/>
        <family val="3"/>
        <charset val="134"/>
      </rPr>
      <t>幢</t>
    </r>
    <r>
      <rPr>
        <sz val="9"/>
        <rFont val="Arial"/>
        <family val="2"/>
      </rPr>
      <t>-2-2004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</si>
  <si>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2005</t>
    </r>
  </si>
  <si>
    <r>
      <rPr>
        <sz val="9"/>
        <rFont val="Arial"/>
        <family val="2"/>
      </rPr>
      <t>30</t>
    </r>
    <r>
      <rPr>
        <sz val="9"/>
        <rFont val="宋体"/>
        <family val="3"/>
        <charset val="134"/>
      </rPr>
      <t>幢</t>
    </r>
    <r>
      <rPr>
        <sz val="9"/>
        <rFont val="Arial"/>
        <family val="2"/>
      </rPr>
      <t>-2-2006</t>
    </r>
  </si>
  <si>
    <r>
      <t>-2</t>
    </r>
    <r>
      <rPr>
        <sz val="9"/>
        <rFont val="宋体"/>
        <family val="3"/>
        <charset val="134"/>
      </rPr>
      <t>层</t>
    </r>
    <phoneticPr fontId="6"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</si>
  <si>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2007</t>
    </r>
  </si>
  <si>
    <r>
      <rPr>
        <sz val="9"/>
        <rFont val="Arial"/>
        <family val="2"/>
      </rPr>
      <t>30</t>
    </r>
    <r>
      <rPr>
        <sz val="9"/>
        <rFont val="宋体"/>
        <family val="3"/>
        <charset val="134"/>
      </rPr>
      <t>幢</t>
    </r>
    <r>
      <rPr>
        <sz val="9"/>
        <rFont val="Arial"/>
        <family val="2"/>
      </rPr>
      <t>-2-2008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</si>
  <si>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2009</t>
    </r>
  </si>
  <si>
    <r>
      <rPr>
        <sz val="9"/>
        <rFont val="Arial"/>
        <family val="2"/>
      </rPr>
      <t>30</t>
    </r>
    <r>
      <rPr>
        <sz val="9"/>
        <rFont val="宋体"/>
        <family val="3"/>
        <charset val="134"/>
      </rPr>
      <t>幢</t>
    </r>
    <r>
      <rPr>
        <sz val="9"/>
        <rFont val="Arial"/>
        <family val="2"/>
      </rPr>
      <t>-2-2010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</si>
  <si>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2011</t>
    </r>
  </si>
  <si>
    <r>
      <rPr>
        <sz val="9"/>
        <rFont val="Arial"/>
        <family val="2"/>
      </rPr>
      <t>30</t>
    </r>
    <r>
      <rPr>
        <sz val="9"/>
        <rFont val="宋体"/>
        <family val="3"/>
        <charset val="134"/>
      </rPr>
      <t>幢</t>
    </r>
    <r>
      <rPr>
        <sz val="9"/>
        <rFont val="Arial"/>
        <family val="2"/>
      </rPr>
      <t>-2-2012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</si>
  <si>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2014</t>
    </r>
  </si>
  <si>
    <r>
      <rPr>
        <sz val="9"/>
        <rFont val="Arial"/>
        <family val="2"/>
      </rPr>
      <t>30</t>
    </r>
    <r>
      <rPr>
        <sz val="9"/>
        <rFont val="宋体"/>
        <family val="3"/>
        <charset val="134"/>
      </rPr>
      <t>幢</t>
    </r>
    <r>
      <rPr>
        <sz val="9"/>
        <rFont val="Arial"/>
        <family val="2"/>
      </rPr>
      <t>-2-2015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</si>
  <si>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2017</t>
    </r>
  </si>
  <si>
    <r>
      <rPr>
        <sz val="9"/>
        <rFont val="Arial"/>
        <family val="2"/>
      </rPr>
      <t>30</t>
    </r>
    <r>
      <rPr>
        <sz val="9"/>
        <rFont val="宋体"/>
        <family val="3"/>
        <charset val="134"/>
      </rPr>
      <t>幢</t>
    </r>
    <r>
      <rPr>
        <sz val="9"/>
        <rFont val="Arial"/>
        <family val="2"/>
      </rPr>
      <t>-2-2018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</si>
  <si>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2019</t>
    </r>
  </si>
  <si>
    <r>
      <rPr>
        <sz val="9"/>
        <rFont val="Arial"/>
        <family val="2"/>
      </rPr>
      <t>30</t>
    </r>
    <r>
      <rPr>
        <sz val="9"/>
        <rFont val="宋体"/>
        <family val="3"/>
        <charset val="134"/>
      </rPr>
      <t>幢</t>
    </r>
    <r>
      <rPr>
        <sz val="9"/>
        <rFont val="Arial"/>
        <family val="2"/>
      </rPr>
      <t>-2-2020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</si>
  <si>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2021</t>
    </r>
  </si>
  <si>
    <r>
      <rPr>
        <sz val="9"/>
        <rFont val="Arial"/>
        <family val="2"/>
      </rPr>
      <t>30</t>
    </r>
    <r>
      <rPr>
        <sz val="9"/>
        <rFont val="宋体"/>
        <family val="3"/>
        <charset val="134"/>
      </rPr>
      <t>幢</t>
    </r>
    <r>
      <rPr>
        <sz val="9"/>
        <rFont val="Arial"/>
        <family val="2"/>
      </rPr>
      <t>-2-2023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</si>
  <si>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2024</t>
    </r>
  </si>
  <si>
    <r>
      <rPr>
        <sz val="9"/>
        <rFont val="Arial"/>
        <family val="2"/>
      </rPr>
      <t>30</t>
    </r>
    <r>
      <rPr>
        <sz val="9"/>
        <rFont val="宋体"/>
        <family val="3"/>
        <charset val="134"/>
      </rPr>
      <t>幢</t>
    </r>
    <r>
      <rPr>
        <sz val="9"/>
        <rFont val="Arial"/>
        <family val="2"/>
      </rPr>
      <t>-2-2025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</si>
  <si>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2026</t>
    </r>
  </si>
  <si>
    <r>
      <rPr>
        <sz val="9"/>
        <rFont val="Arial"/>
        <family val="2"/>
      </rPr>
      <t>30</t>
    </r>
    <r>
      <rPr>
        <sz val="9"/>
        <rFont val="宋体"/>
        <family val="3"/>
        <charset val="134"/>
      </rPr>
      <t>幢</t>
    </r>
    <r>
      <rPr>
        <sz val="9"/>
        <rFont val="Arial"/>
        <family val="2"/>
      </rPr>
      <t>-2-2028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</si>
  <si>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2029</t>
    </r>
  </si>
  <si>
    <r>
      <rPr>
        <sz val="9"/>
        <rFont val="Arial"/>
        <family val="2"/>
      </rPr>
      <t>30</t>
    </r>
    <r>
      <rPr>
        <sz val="9"/>
        <rFont val="宋体"/>
        <family val="3"/>
        <charset val="134"/>
      </rPr>
      <t>幢</t>
    </r>
    <r>
      <rPr>
        <sz val="9"/>
        <rFont val="Arial"/>
        <family val="2"/>
      </rPr>
      <t>-2-2030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</si>
  <si>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2031</t>
    </r>
  </si>
  <si>
    <r>
      <rPr>
        <sz val="9"/>
        <rFont val="Arial"/>
        <family val="2"/>
      </rPr>
      <t>30</t>
    </r>
    <r>
      <rPr>
        <sz val="9"/>
        <rFont val="宋体"/>
        <family val="3"/>
        <charset val="134"/>
      </rPr>
      <t>幢</t>
    </r>
    <r>
      <rPr>
        <sz val="9"/>
        <rFont val="Arial"/>
        <family val="2"/>
      </rPr>
      <t>-2-2032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</si>
  <si>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2033</t>
    </r>
  </si>
  <si>
    <r>
      <rPr>
        <sz val="9"/>
        <rFont val="Arial"/>
        <family val="2"/>
      </rPr>
      <t>30</t>
    </r>
    <r>
      <rPr>
        <sz val="9"/>
        <rFont val="宋体"/>
        <family val="3"/>
        <charset val="134"/>
      </rPr>
      <t>幢</t>
    </r>
    <r>
      <rPr>
        <sz val="9"/>
        <rFont val="Arial"/>
        <family val="2"/>
      </rPr>
      <t>-2-2034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</si>
  <si>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2035</t>
    </r>
  </si>
  <si>
    <r>
      <rPr>
        <sz val="9"/>
        <rFont val="Arial"/>
        <family val="2"/>
      </rPr>
      <t>30</t>
    </r>
    <r>
      <rPr>
        <sz val="9"/>
        <rFont val="宋体"/>
        <family val="3"/>
        <charset val="134"/>
      </rPr>
      <t>幢</t>
    </r>
    <r>
      <rPr>
        <sz val="9"/>
        <rFont val="Arial"/>
        <family val="2"/>
      </rPr>
      <t>-2-2036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</si>
  <si>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2037</t>
    </r>
  </si>
  <si>
    <r>
      <rPr>
        <sz val="9"/>
        <rFont val="Arial"/>
        <family val="2"/>
      </rPr>
      <t>30</t>
    </r>
    <r>
      <rPr>
        <sz val="9"/>
        <rFont val="宋体"/>
        <family val="3"/>
        <charset val="134"/>
      </rPr>
      <t>幢</t>
    </r>
    <r>
      <rPr>
        <sz val="9"/>
        <rFont val="Arial"/>
        <family val="2"/>
      </rPr>
      <t>-2-2038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</si>
  <si>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2039</t>
    </r>
  </si>
  <si>
    <r>
      <rPr>
        <sz val="9"/>
        <rFont val="Arial"/>
        <family val="2"/>
      </rPr>
      <t>30</t>
    </r>
    <r>
      <rPr>
        <sz val="9"/>
        <rFont val="宋体"/>
        <family val="3"/>
        <charset val="134"/>
      </rPr>
      <t>幢</t>
    </r>
    <r>
      <rPr>
        <sz val="9"/>
        <rFont val="Arial"/>
        <family val="2"/>
      </rPr>
      <t>-2-2040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</si>
  <si>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2041</t>
    </r>
  </si>
  <si>
    <r>
      <rPr>
        <sz val="9"/>
        <rFont val="Arial"/>
        <family val="2"/>
      </rPr>
      <t>30</t>
    </r>
    <r>
      <rPr>
        <sz val="9"/>
        <rFont val="宋体"/>
        <family val="3"/>
        <charset val="134"/>
      </rPr>
      <t>幢</t>
    </r>
    <r>
      <rPr>
        <sz val="9"/>
        <rFont val="Arial"/>
        <family val="2"/>
      </rPr>
      <t>-2-2042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</si>
  <si>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2043</t>
    </r>
  </si>
  <si>
    <r>
      <rPr>
        <sz val="9"/>
        <rFont val="Arial"/>
        <family val="2"/>
      </rPr>
      <t>30</t>
    </r>
    <r>
      <rPr>
        <sz val="9"/>
        <rFont val="宋体"/>
        <family val="3"/>
        <charset val="134"/>
      </rPr>
      <t>幢</t>
    </r>
    <r>
      <rPr>
        <sz val="9"/>
        <rFont val="Arial"/>
        <family val="2"/>
      </rPr>
      <t>-2-2044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</si>
  <si>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2045</t>
    </r>
  </si>
  <si>
    <r>
      <rPr>
        <sz val="9"/>
        <rFont val="Arial"/>
        <family val="2"/>
      </rPr>
      <t>30</t>
    </r>
    <r>
      <rPr>
        <sz val="9"/>
        <rFont val="宋体"/>
        <family val="3"/>
        <charset val="134"/>
      </rPr>
      <t>幢</t>
    </r>
    <r>
      <rPr>
        <sz val="9"/>
        <rFont val="Arial"/>
        <family val="2"/>
      </rPr>
      <t>-2-2046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</si>
  <si>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2047</t>
    </r>
  </si>
  <si>
    <r>
      <rPr>
        <sz val="9"/>
        <rFont val="Arial"/>
        <family val="2"/>
      </rPr>
      <t>30</t>
    </r>
    <r>
      <rPr>
        <sz val="9"/>
        <rFont val="宋体"/>
        <family val="3"/>
        <charset val="134"/>
      </rPr>
      <t>幢</t>
    </r>
    <r>
      <rPr>
        <sz val="9"/>
        <rFont val="Arial"/>
        <family val="2"/>
      </rPr>
      <t>-2-2048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</si>
  <si>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2049</t>
    </r>
  </si>
  <si>
    <r>
      <rPr>
        <sz val="9"/>
        <rFont val="Arial"/>
        <family val="2"/>
      </rPr>
      <t>30</t>
    </r>
    <r>
      <rPr>
        <sz val="9"/>
        <rFont val="宋体"/>
        <family val="3"/>
        <charset val="134"/>
      </rPr>
      <t>幢</t>
    </r>
    <r>
      <rPr>
        <sz val="9"/>
        <rFont val="Arial"/>
        <family val="2"/>
      </rPr>
      <t>-2-2050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</si>
  <si>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2051</t>
    </r>
  </si>
  <si>
    <r>
      <rPr>
        <sz val="9"/>
        <rFont val="Arial"/>
        <family val="2"/>
      </rPr>
      <t>30</t>
    </r>
    <r>
      <rPr>
        <sz val="9"/>
        <rFont val="宋体"/>
        <family val="3"/>
        <charset val="134"/>
      </rPr>
      <t>幢</t>
    </r>
    <r>
      <rPr>
        <sz val="9"/>
        <rFont val="Arial"/>
        <family val="2"/>
      </rPr>
      <t>-2-2052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</si>
  <si>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2053</t>
    </r>
  </si>
  <si>
    <r>
      <rPr>
        <sz val="9"/>
        <rFont val="Arial"/>
        <family val="2"/>
      </rPr>
      <t>30</t>
    </r>
    <r>
      <rPr>
        <sz val="9"/>
        <rFont val="宋体"/>
        <family val="3"/>
        <charset val="134"/>
      </rPr>
      <t>幢</t>
    </r>
    <r>
      <rPr>
        <sz val="9"/>
        <rFont val="Arial"/>
        <family val="2"/>
      </rPr>
      <t>-2-2054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</si>
  <si>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2055</t>
    </r>
  </si>
  <si>
    <r>
      <rPr>
        <sz val="9"/>
        <rFont val="Arial"/>
        <family val="2"/>
      </rPr>
      <t>30</t>
    </r>
    <r>
      <rPr>
        <sz val="9"/>
        <rFont val="宋体"/>
        <family val="3"/>
        <charset val="134"/>
      </rPr>
      <t>幢</t>
    </r>
    <r>
      <rPr>
        <sz val="9"/>
        <rFont val="Arial"/>
        <family val="2"/>
      </rPr>
      <t>-2-2056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</si>
  <si>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2057</t>
    </r>
  </si>
  <si>
    <r>
      <rPr>
        <sz val="9"/>
        <rFont val="Arial"/>
        <family val="2"/>
      </rPr>
      <t>30</t>
    </r>
    <r>
      <rPr>
        <sz val="9"/>
        <rFont val="宋体"/>
        <family val="3"/>
        <charset val="134"/>
      </rPr>
      <t>幢</t>
    </r>
    <r>
      <rPr>
        <sz val="9"/>
        <rFont val="Arial"/>
        <family val="2"/>
      </rPr>
      <t>-2-2068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</si>
  <si>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2069</t>
    </r>
  </si>
  <si>
    <r>
      <rPr>
        <sz val="9"/>
        <rFont val="Arial"/>
        <family val="2"/>
      </rPr>
      <t>30</t>
    </r>
    <r>
      <rPr>
        <sz val="9"/>
        <rFont val="宋体"/>
        <family val="3"/>
        <charset val="134"/>
      </rPr>
      <t>幢</t>
    </r>
    <r>
      <rPr>
        <sz val="9"/>
        <rFont val="Arial"/>
        <family val="2"/>
      </rPr>
      <t>-2-2070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</si>
  <si>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2071</t>
    </r>
  </si>
  <si>
    <r>
      <rPr>
        <sz val="9"/>
        <rFont val="Arial"/>
        <family val="2"/>
      </rPr>
      <t>30</t>
    </r>
    <r>
      <rPr>
        <sz val="9"/>
        <rFont val="宋体"/>
        <family val="3"/>
        <charset val="134"/>
      </rPr>
      <t>幢</t>
    </r>
    <r>
      <rPr>
        <sz val="9"/>
        <rFont val="Arial"/>
        <family val="2"/>
      </rPr>
      <t>-2-2072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</si>
  <si>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2073</t>
    </r>
  </si>
  <si>
    <r>
      <rPr>
        <sz val="9"/>
        <rFont val="Arial"/>
        <family val="2"/>
      </rPr>
      <t>30</t>
    </r>
    <r>
      <rPr>
        <sz val="9"/>
        <rFont val="宋体"/>
        <family val="3"/>
        <charset val="134"/>
      </rPr>
      <t>幢</t>
    </r>
    <r>
      <rPr>
        <sz val="9"/>
        <rFont val="Arial"/>
        <family val="2"/>
      </rPr>
      <t>-2-2074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</si>
  <si>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2075</t>
    </r>
  </si>
  <si>
    <r>
      <rPr>
        <sz val="9"/>
        <rFont val="Arial"/>
        <family val="2"/>
      </rPr>
      <t>30</t>
    </r>
    <r>
      <rPr>
        <sz val="9"/>
        <rFont val="宋体"/>
        <family val="3"/>
        <charset val="134"/>
      </rPr>
      <t>幢</t>
    </r>
    <r>
      <rPr>
        <sz val="9"/>
        <rFont val="Arial"/>
        <family val="2"/>
      </rPr>
      <t>-2-2076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</si>
  <si>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2077</t>
    </r>
  </si>
  <si>
    <r>
      <rPr>
        <sz val="9"/>
        <rFont val="Arial"/>
        <family val="2"/>
      </rPr>
      <t>30</t>
    </r>
    <r>
      <rPr>
        <sz val="9"/>
        <rFont val="宋体"/>
        <family val="3"/>
        <charset val="134"/>
      </rPr>
      <t>幢</t>
    </r>
    <r>
      <rPr>
        <sz val="9"/>
        <rFont val="Arial"/>
        <family val="2"/>
      </rPr>
      <t>-2-2078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</si>
  <si>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2079</t>
    </r>
  </si>
  <si>
    <r>
      <rPr>
        <sz val="9"/>
        <rFont val="Arial"/>
        <family val="2"/>
      </rPr>
      <t>30</t>
    </r>
    <r>
      <rPr>
        <sz val="9"/>
        <rFont val="宋体"/>
        <family val="3"/>
        <charset val="134"/>
      </rPr>
      <t>幢</t>
    </r>
    <r>
      <rPr>
        <sz val="9"/>
        <rFont val="Arial"/>
        <family val="2"/>
      </rPr>
      <t>-2-2080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</si>
  <si>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2081</t>
    </r>
  </si>
  <si>
    <r>
      <rPr>
        <sz val="9"/>
        <rFont val="Arial"/>
        <family val="2"/>
      </rPr>
      <t>30</t>
    </r>
    <r>
      <rPr>
        <sz val="9"/>
        <rFont val="宋体"/>
        <family val="3"/>
        <charset val="134"/>
      </rPr>
      <t>幢</t>
    </r>
    <r>
      <rPr>
        <sz val="9"/>
        <rFont val="Arial"/>
        <family val="2"/>
      </rPr>
      <t>-2-2082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</si>
  <si>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2083</t>
    </r>
  </si>
  <si>
    <r>
      <rPr>
        <sz val="9"/>
        <rFont val="Arial"/>
        <family val="2"/>
      </rPr>
      <t>30</t>
    </r>
    <r>
      <rPr>
        <sz val="9"/>
        <rFont val="宋体"/>
        <family val="3"/>
        <charset val="134"/>
      </rPr>
      <t>幢</t>
    </r>
    <r>
      <rPr>
        <sz val="9"/>
        <rFont val="Arial"/>
        <family val="2"/>
      </rPr>
      <t>-2-2084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</si>
  <si>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2085</t>
    </r>
  </si>
  <si>
    <r>
      <rPr>
        <sz val="9"/>
        <rFont val="Arial"/>
        <family val="2"/>
      </rPr>
      <t>30</t>
    </r>
    <r>
      <rPr>
        <sz val="9"/>
        <rFont val="宋体"/>
        <family val="3"/>
        <charset val="134"/>
      </rPr>
      <t>幢</t>
    </r>
    <r>
      <rPr>
        <sz val="9"/>
        <rFont val="Arial"/>
        <family val="2"/>
      </rPr>
      <t>-2-2086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</si>
  <si>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2087</t>
    </r>
  </si>
  <si>
    <r>
      <rPr>
        <sz val="9"/>
        <rFont val="Arial"/>
        <family val="2"/>
      </rPr>
      <t>30</t>
    </r>
    <r>
      <rPr>
        <sz val="9"/>
        <rFont val="宋体"/>
        <family val="3"/>
        <charset val="134"/>
      </rPr>
      <t>幢</t>
    </r>
    <r>
      <rPr>
        <sz val="9"/>
        <rFont val="Arial"/>
        <family val="2"/>
      </rPr>
      <t>-2-2088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</si>
  <si>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2089</t>
    </r>
  </si>
  <si>
    <r>
      <rPr>
        <sz val="9"/>
        <rFont val="Arial"/>
        <family val="2"/>
      </rPr>
      <t>30</t>
    </r>
    <r>
      <rPr>
        <sz val="9"/>
        <rFont val="宋体"/>
        <family val="3"/>
        <charset val="134"/>
      </rPr>
      <t>幢</t>
    </r>
    <r>
      <rPr>
        <sz val="9"/>
        <rFont val="Arial"/>
        <family val="2"/>
      </rPr>
      <t>-2-2090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</si>
  <si>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2091</t>
    </r>
  </si>
  <si>
    <r>
      <rPr>
        <sz val="9"/>
        <rFont val="Arial"/>
        <family val="2"/>
      </rPr>
      <t>30</t>
    </r>
    <r>
      <rPr>
        <sz val="9"/>
        <rFont val="宋体"/>
        <family val="3"/>
        <charset val="134"/>
      </rPr>
      <t>幢</t>
    </r>
    <r>
      <rPr>
        <sz val="9"/>
        <rFont val="Arial"/>
        <family val="2"/>
      </rPr>
      <t>-2-2092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</si>
  <si>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2093</t>
    </r>
  </si>
  <si>
    <r>
      <rPr>
        <sz val="9"/>
        <rFont val="Arial"/>
        <family val="2"/>
      </rPr>
      <t>30</t>
    </r>
    <r>
      <rPr>
        <sz val="9"/>
        <rFont val="宋体"/>
        <family val="3"/>
        <charset val="134"/>
      </rPr>
      <t>幢</t>
    </r>
    <r>
      <rPr>
        <sz val="9"/>
        <rFont val="Arial"/>
        <family val="2"/>
      </rPr>
      <t>-2-2097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</si>
  <si>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2098</t>
    </r>
  </si>
  <si>
    <r>
      <rPr>
        <sz val="9"/>
        <rFont val="Arial"/>
        <family val="2"/>
      </rPr>
      <t>30</t>
    </r>
    <r>
      <rPr>
        <sz val="9"/>
        <rFont val="宋体"/>
        <family val="3"/>
        <charset val="134"/>
      </rPr>
      <t>幢</t>
    </r>
    <r>
      <rPr>
        <sz val="9"/>
        <rFont val="Arial"/>
        <family val="2"/>
      </rPr>
      <t>-2-2099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</si>
  <si>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2100</t>
    </r>
  </si>
  <si>
    <r>
      <rPr>
        <sz val="9"/>
        <rFont val="Arial"/>
        <family val="2"/>
      </rPr>
      <t>30</t>
    </r>
    <r>
      <rPr>
        <sz val="9"/>
        <rFont val="宋体"/>
        <family val="3"/>
        <charset val="134"/>
      </rPr>
      <t>幢</t>
    </r>
    <r>
      <rPr>
        <sz val="9"/>
        <rFont val="Arial"/>
        <family val="2"/>
      </rPr>
      <t>-2-2101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</si>
  <si>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2102</t>
    </r>
  </si>
  <si>
    <r>
      <rPr>
        <sz val="9"/>
        <rFont val="Arial"/>
        <family val="2"/>
      </rPr>
      <t>30</t>
    </r>
    <r>
      <rPr>
        <sz val="9"/>
        <rFont val="宋体"/>
        <family val="3"/>
        <charset val="134"/>
      </rPr>
      <t>幢</t>
    </r>
    <r>
      <rPr>
        <sz val="9"/>
        <rFont val="Arial"/>
        <family val="2"/>
      </rPr>
      <t>-2-2103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</si>
  <si>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2104</t>
    </r>
  </si>
  <si>
    <r>
      <rPr>
        <sz val="9"/>
        <rFont val="Arial"/>
        <family val="2"/>
      </rPr>
      <t>30</t>
    </r>
    <r>
      <rPr>
        <sz val="9"/>
        <rFont val="宋体"/>
        <family val="3"/>
        <charset val="134"/>
      </rPr>
      <t>幢</t>
    </r>
    <r>
      <rPr>
        <sz val="9"/>
        <rFont val="Arial"/>
        <family val="2"/>
      </rPr>
      <t>-2-2105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</si>
  <si>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2106</t>
    </r>
  </si>
  <si>
    <r>
      <rPr>
        <sz val="9"/>
        <rFont val="Arial"/>
        <family val="2"/>
      </rPr>
      <t>30</t>
    </r>
    <r>
      <rPr>
        <sz val="9"/>
        <rFont val="宋体"/>
        <family val="3"/>
        <charset val="134"/>
      </rPr>
      <t>幢</t>
    </r>
    <r>
      <rPr>
        <sz val="9"/>
        <rFont val="Arial"/>
        <family val="2"/>
      </rPr>
      <t>-2-2107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</si>
  <si>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2108</t>
    </r>
  </si>
  <si>
    <r>
      <rPr>
        <sz val="9"/>
        <rFont val="Arial"/>
        <family val="2"/>
      </rPr>
      <t>30</t>
    </r>
    <r>
      <rPr>
        <sz val="9"/>
        <rFont val="宋体"/>
        <family val="3"/>
        <charset val="134"/>
      </rPr>
      <t>幢</t>
    </r>
    <r>
      <rPr>
        <sz val="9"/>
        <rFont val="Arial"/>
        <family val="2"/>
      </rPr>
      <t>-2-2109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</si>
  <si>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2110</t>
    </r>
  </si>
  <si>
    <r>
      <rPr>
        <sz val="9"/>
        <rFont val="Arial"/>
        <family val="2"/>
      </rPr>
      <t>30</t>
    </r>
    <r>
      <rPr>
        <sz val="9"/>
        <rFont val="宋体"/>
        <family val="3"/>
        <charset val="134"/>
      </rPr>
      <t>幢</t>
    </r>
    <r>
      <rPr>
        <sz val="9"/>
        <rFont val="Arial"/>
        <family val="2"/>
      </rPr>
      <t>-2-2111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</si>
  <si>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2112</t>
    </r>
  </si>
  <si>
    <r>
      <rPr>
        <sz val="9"/>
        <rFont val="Arial"/>
        <family val="2"/>
      </rPr>
      <t>30</t>
    </r>
    <r>
      <rPr>
        <sz val="9"/>
        <rFont val="宋体"/>
        <family val="3"/>
        <charset val="134"/>
      </rPr>
      <t>幢</t>
    </r>
    <r>
      <rPr>
        <sz val="9"/>
        <rFont val="Arial"/>
        <family val="2"/>
      </rPr>
      <t>-2-2113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</si>
  <si>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2114</t>
    </r>
  </si>
  <si>
    <r>
      <rPr>
        <sz val="9"/>
        <rFont val="Arial"/>
        <family val="2"/>
      </rPr>
      <t>30</t>
    </r>
    <r>
      <rPr>
        <sz val="9"/>
        <rFont val="宋体"/>
        <family val="3"/>
        <charset val="134"/>
      </rPr>
      <t>幢</t>
    </r>
    <r>
      <rPr>
        <sz val="9"/>
        <rFont val="Arial"/>
        <family val="2"/>
      </rPr>
      <t>-2-2115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</si>
  <si>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2116</t>
    </r>
  </si>
  <si>
    <r>
      <rPr>
        <sz val="9"/>
        <rFont val="Arial"/>
        <family val="2"/>
      </rPr>
      <t>30</t>
    </r>
    <r>
      <rPr>
        <sz val="9"/>
        <rFont val="宋体"/>
        <family val="3"/>
        <charset val="134"/>
      </rPr>
      <t>幢</t>
    </r>
    <r>
      <rPr>
        <sz val="9"/>
        <rFont val="Arial"/>
        <family val="2"/>
      </rPr>
      <t>-2-2117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</si>
  <si>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2118</t>
    </r>
  </si>
  <si>
    <r>
      <rPr>
        <sz val="9"/>
        <rFont val="Arial"/>
        <family val="2"/>
      </rPr>
      <t>30</t>
    </r>
    <r>
      <rPr>
        <sz val="9"/>
        <rFont val="宋体"/>
        <family val="3"/>
        <charset val="134"/>
      </rPr>
      <t>幢</t>
    </r>
    <r>
      <rPr>
        <sz val="9"/>
        <rFont val="Arial"/>
        <family val="2"/>
      </rPr>
      <t>-2-2119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</si>
  <si>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2120</t>
    </r>
  </si>
  <si>
    <r>
      <rPr>
        <sz val="9"/>
        <rFont val="Arial"/>
        <family val="2"/>
      </rPr>
      <t>30</t>
    </r>
    <r>
      <rPr>
        <sz val="9"/>
        <rFont val="宋体"/>
        <family val="3"/>
        <charset val="134"/>
      </rPr>
      <t>幢</t>
    </r>
    <r>
      <rPr>
        <sz val="9"/>
        <rFont val="Arial"/>
        <family val="2"/>
      </rPr>
      <t>-2-2121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</si>
  <si>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2122</t>
    </r>
  </si>
  <si>
    <r>
      <rPr>
        <sz val="9"/>
        <rFont val="Arial"/>
        <family val="2"/>
      </rPr>
      <t>30</t>
    </r>
    <r>
      <rPr>
        <sz val="9"/>
        <rFont val="宋体"/>
        <family val="3"/>
        <charset val="134"/>
      </rPr>
      <t>幢</t>
    </r>
    <r>
      <rPr>
        <sz val="9"/>
        <rFont val="Arial"/>
        <family val="2"/>
      </rPr>
      <t>-2-2125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</si>
  <si>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2126</t>
    </r>
  </si>
  <si>
    <r>
      <t>30</t>
    </r>
    <r>
      <rPr>
        <sz val="9"/>
        <rFont val="宋体"/>
        <family val="3"/>
        <charset val="134"/>
      </rPr>
      <t>幢</t>
    </r>
    <r>
      <rPr>
        <sz val="9"/>
        <rFont val="Arial"/>
        <family val="2"/>
      </rPr>
      <t>-2-2127</t>
    </r>
    <phoneticPr fontId="6"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</si>
  <si>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2128</t>
    </r>
  </si>
  <si>
    <r>
      <rPr>
        <sz val="9"/>
        <rFont val="Arial"/>
        <family val="2"/>
      </rPr>
      <t>30</t>
    </r>
    <r>
      <rPr>
        <sz val="9"/>
        <rFont val="宋体"/>
        <family val="3"/>
        <charset val="134"/>
      </rPr>
      <t>幢</t>
    </r>
    <r>
      <rPr>
        <sz val="9"/>
        <rFont val="Arial"/>
        <family val="2"/>
      </rPr>
      <t>-2-2131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</si>
  <si>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2132</t>
    </r>
  </si>
  <si>
    <r>
      <rPr>
        <sz val="9"/>
        <rFont val="Arial"/>
        <family val="2"/>
      </rPr>
      <t>30</t>
    </r>
    <r>
      <rPr>
        <sz val="9"/>
        <rFont val="宋体"/>
        <family val="3"/>
        <charset val="134"/>
      </rPr>
      <t>幢</t>
    </r>
    <r>
      <rPr>
        <sz val="9"/>
        <rFont val="Arial"/>
        <family val="2"/>
      </rPr>
      <t>-2-2133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</si>
  <si>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2134</t>
    </r>
  </si>
  <si>
    <r>
      <rPr>
        <sz val="9"/>
        <rFont val="Arial"/>
        <family val="2"/>
      </rPr>
      <t>30</t>
    </r>
    <r>
      <rPr>
        <sz val="9"/>
        <rFont val="宋体"/>
        <family val="3"/>
        <charset val="134"/>
      </rPr>
      <t>幢</t>
    </r>
    <r>
      <rPr>
        <sz val="9"/>
        <rFont val="Arial"/>
        <family val="2"/>
      </rPr>
      <t>-2-2136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</si>
  <si>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2137</t>
    </r>
  </si>
  <si>
    <r>
      <rPr>
        <sz val="9"/>
        <rFont val="Arial"/>
        <family val="2"/>
      </rPr>
      <t>30</t>
    </r>
    <r>
      <rPr>
        <sz val="9"/>
        <rFont val="宋体"/>
        <family val="3"/>
        <charset val="134"/>
      </rPr>
      <t>幢</t>
    </r>
    <r>
      <rPr>
        <sz val="9"/>
        <rFont val="Arial"/>
        <family val="2"/>
      </rPr>
      <t>-2-2138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</si>
  <si>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2139</t>
    </r>
  </si>
  <si>
    <r>
      <rPr>
        <sz val="9"/>
        <rFont val="Arial"/>
        <family val="2"/>
      </rPr>
      <t>30</t>
    </r>
    <r>
      <rPr>
        <sz val="9"/>
        <rFont val="宋体"/>
        <family val="3"/>
        <charset val="134"/>
      </rPr>
      <t>幢</t>
    </r>
    <r>
      <rPr>
        <sz val="9"/>
        <rFont val="Arial"/>
        <family val="2"/>
      </rPr>
      <t>-2-2140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</si>
  <si>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2141</t>
    </r>
  </si>
  <si>
    <r>
      <rPr>
        <sz val="9"/>
        <rFont val="Arial"/>
        <family val="2"/>
      </rPr>
      <t>30</t>
    </r>
    <r>
      <rPr>
        <sz val="9"/>
        <rFont val="宋体"/>
        <family val="3"/>
        <charset val="134"/>
      </rPr>
      <t>幢</t>
    </r>
    <r>
      <rPr>
        <sz val="9"/>
        <rFont val="Arial"/>
        <family val="2"/>
      </rPr>
      <t>-2-2142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</si>
  <si>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2143</t>
    </r>
  </si>
  <si>
    <r>
      <rPr>
        <sz val="9"/>
        <rFont val="Arial"/>
        <family val="2"/>
      </rPr>
      <t>30</t>
    </r>
    <r>
      <rPr>
        <sz val="9"/>
        <rFont val="宋体"/>
        <family val="3"/>
        <charset val="134"/>
      </rPr>
      <t>幢</t>
    </r>
    <r>
      <rPr>
        <sz val="9"/>
        <rFont val="Arial"/>
        <family val="2"/>
      </rPr>
      <t>-2-2144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</si>
  <si>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2145</t>
    </r>
  </si>
  <si>
    <r>
      <rPr>
        <sz val="9"/>
        <rFont val="Arial"/>
        <family val="2"/>
      </rPr>
      <t>30</t>
    </r>
    <r>
      <rPr>
        <sz val="9"/>
        <rFont val="宋体"/>
        <family val="3"/>
        <charset val="134"/>
      </rPr>
      <t>幢</t>
    </r>
    <r>
      <rPr>
        <sz val="9"/>
        <rFont val="Arial"/>
        <family val="2"/>
      </rPr>
      <t>-2-2146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</si>
  <si>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2147</t>
    </r>
  </si>
  <si>
    <r>
      <rPr>
        <sz val="9"/>
        <rFont val="Arial"/>
        <family val="2"/>
      </rPr>
      <t>30</t>
    </r>
    <r>
      <rPr>
        <sz val="9"/>
        <rFont val="宋体"/>
        <family val="3"/>
        <charset val="134"/>
      </rPr>
      <t>幢</t>
    </r>
    <r>
      <rPr>
        <sz val="9"/>
        <rFont val="Arial"/>
        <family val="2"/>
      </rPr>
      <t>-2-2148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</si>
  <si>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2149</t>
    </r>
  </si>
  <si>
    <r>
      <rPr>
        <sz val="9"/>
        <rFont val="Arial"/>
        <family val="2"/>
      </rPr>
      <t>30</t>
    </r>
    <r>
      <rPr>
        <sz val="9"/>
        <rFont val="宋体"/>
        <family val="3"/>
        <charset val="134"/>
      </rPr>
      <t>幢</t>
    </r>
    <r>
      <rPr>
        <sz val="9"/>
        <rFont val="Arial"/>
        <family val="2"/>
      </rPr>
      <t>-2-2150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</si>
  <si>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2152</t>
    </r>
  </si>
  <si>
    <r>
      <rPr>
        <sz val="9"/>
        <rFont val="Arial"/>
        <family val="2"/>
      </rPr>
      <t>30</t>
    </r>
    <r>
      <rPr>
        <sz val="9"/>
        <rFont val="宋体"/>
        <family val="3"/>
        <charset val="134"/>
      </rPr>
      <t>幢</t>
    </r>
    <r>
      <rPr>
        <sz val="9"/>
        <rFont val="Arial"/>
        <family val="2"/>
      </rPr>
      <t>-2-2153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</si>
  <si>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2154</t>
    </r>
  </si>
  <si>
    <r>
      <rPr>
        <sz val="9"/>
        <rFont val="Arial"/>
        <family val="2"/>
      </rPr>
      <t>30</t>
    </r>
    <r>
      <rPr>
        <sz val="9"/>
        <rFont val="宋体"/>
        <family val="3"/>
        <charset val="134"/>
      </rPr>
      <t>幢</t>
    </r>
    <r>
      <rPr>
        <sz val="9"/>
        <rFont val="Arial"/>
        <family val="2"/>
      </rPr>
      <t>-2-2155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</si>
  <si>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2156</t>
    </r>
  </si>
  <si>
    <r>
      <rPr>
        <sz val="9"/>
        <rFont val="Arial"/>
        <family val="2"/>
      </rPr>
      <t>30</t>
    </r>
    <r>
      <rPr>
        <sz val="9"/>
        <rFont val="宋体"/>
        <family val="3"/>
        <charset val="134"/>
      </rPr>
      <t>幢</t>
    </r>
    <r>
      <rPr>
        <sz val="9"/>
        <rFont val="Arial"/>
        <family val="2"/>
      </rPr>
      <t>-2-2157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</si>
  <si>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2159</t>
    </r>
  </si>
  <si>
    <r>
      <rPr>
        <sz val="9"/>
        <rFont val="Arial"/>
        <family val="2"/>
      </rPr>
      <t>30</t>
    </r>
    <r>
      <rPr>
        <sz val="9"/>
        <rFont val="宋体"/>
        <family val="3"/>
        <charset val="134"/>
      </rPr>
      <t>幢</t>
    </r>
    <r>
      <rPr>
        <sz val="9"/>
        <rFont val="Arial"/>
        <family val="2"/>
      </rPr>
      <t>-2-2160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</si>
  <si>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2161</t>
    </r>
  </si>
  <si>
    <r>
      <rPr>
        <sz val="9"/>
        <rFont val="Arial"/>
        <family val="2"/>
      </rPr>
      <t>30</t>
    </r>
    <r>
      <rPr>
        <sz val="9"/>
        <rFont val="宋体"/>
        <family val="3"/>
        <charset val="134"/>
      </rPr>
      <t>幢</t>
    </r>
    <r>
      <rPr>
        <sz val="9"/>
        <rFont val="Arial"/>
        <family val="2"/>
      </rPr>
      <t>-2-2162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</si>
  <si>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2163</t>
    </r>
  </si>
  <si>
    <r>
      <rPr>
        <sz val="9"/>
        <rFont val="Arial"/>
        <family val="2"/>
      </rPr>
      <t>30</t>
    </r>
    <r>
      <rPr>
        <sz val="9"/>
        <rFont val="宋体"/>
        <family val="3"/>
        <charset val="134"/>
      </rPr>
      <t>幢</t>
    </r>
    <r>
      <rPr>
        <sz val="9"/>
        <rFont val="Arial"/>
        <family val="2"/>
      </rPr>
      <t>-2-2164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</si>
  <si>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2165</t>
    </r>
  </si>
  <si>
    <r>
      <rPr>
        <sz val="9"/>
        <rFont val="Arial"/>
        <family val="2"/>
      </rPr>
      <t>30</t>
    </r>
    <r>
      <rPr>
        <sz val="9"/>
        <rFont val="宋体"/>
        <family val="3"/>
        <charset val="134"/>
      </rPr>
      <t>幢</t>
    </r>
    <r>
      <rPr>
        <sz val="9"/>
        <rFont val="Arial"/>
        <family val="2"/>
      </rPr>
      <t>-2-2166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</si>
  <si>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2167</t>
    </r>
  </si>
  <si>
    <r>
      <rPr>
        <sz val="9"/>
        <rFont val="Arial"/>
        <family val="2"/>
      </rPr>
      <t>30</t>
    </r>
    <r>
      <rPr>
        <sz val="9"/>
        <rFont val="宋体"/>
        <family val="3"/>
        <charset val="134"/>
      </rPr>
      <t>幢</t>
    </r>
    <r>
      <rPr>
        <sz val="9"/>
        <rFont val="Arial"/>
        <family val="2"/>
      </rPr>
      <t>-2-2168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</si>
  <si>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2169</t>
    </r>
  </si>
  <si>
    <r>
      <rPr>
        <sz val="9"/>
        <rFont val="Arial"/>
        <family val="2"/>
      </rPr>
      <t>30</t>
    </r>
    <r>
      <rPr>
        <sz val="9"/>
        <rFont val="宋体"/>
        <family val="3"/>
        <charset val="134"/>
      </rPr>
      <t>幢</t>
    </r>
    <r>
      <rPr>
        <sz val="9"/>
        <rFont val="Arial"/>
        <family val="2"/>
      </rPr>
      <t>-2-2170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</si>
  <si>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2171</t>
    </r>
  </si>
  <si>
    <r>
      <rPr>
        <sz val="9"/>
        <rFont val="Arial"/>
        <family val="2"/>
      </rPr>
      <t>30</t>
    </r>
    <r>
      <rPr>
        <sz val="9"/>
        <rFont val="宋体"/>
        <family val="3"/>
        <charset val="134"/>
      </rPr>
      <t>幢</t>
    </r>
    <r>
      <rPr>
        <sz val="9"/>
        <rFont val="Arial"/>
        <family val="2"/>
      </rPr>
      <t>-2-2172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</si>
  <si>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2173</t>
    </r>
  </si>
  <si>
    <r>
      <rPr>
        <sz val="9"/>
        <rFont val="Arial"/>
        <family val="2"/>
      </rPr>
      <t>30</t>
    </r>
    <r>
      <rPr>
        <sz val="9"/>
        <rFont val="宋体"/>
        <family val="3"/>
        <charset val="134"/>
      </rPr>
      <t>幢</t>
    </r>
    <r>
      <rPr>
        <sz val="9"/>
        <rFont val="Arial"/>
        <family val="2"/>
      </rPr>
      <t>-2-2174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</si>
  <si>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2175</t>
    </r>
  </si>
  <si>
    <r>
      <rPr>
        <sz val="9"/>
        <rFont val="Arial"/>
        <family val="2"/>
      </rPr>
      <t>30</t>
    </r>
    <r>
      <rPr>
        <sz val="9"/>
        <rFont val="宋体"/>
        <family val="3"/>
        <charset val="134"/>
      </rPr>
      <t>幢</t>
    </r>
    <r>
      <rPr>
        <sz val="9"/>
        <rFont val="Arial"/>
        <family val="2"/>
      </rPr>
      <t>-2-2176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</si>
  <si>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2177</t>
    </r>
  </si>
  <si>
    <r>
      <rPr>
        <sz val="9"/>
        <rFont val="Arial"/>
        <family val="2"/>
      </rPr>
      <t>30</t>
    </r>
    <r>
      <rPr>
        <sz val="9"/>
        <rFont val="宋体"/>
        <family val="3"/>
        <charset val="134"/>
      </rPr>
      <t>幢</t>
    </r>
    <r>
      <rPr>
        <sz val="9"/>
        <rFont val="Arial"/>
        <family val="2"/>
      </rPr>
      <t>-2-2178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</si>
  <si>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2179</t>
    </r>
  </si>
  <si>
    <r>
      <rPr>
        <sz val="9"/>
        <rFont val="Arial"/>
        <family val="2"/>
      </rPr>
      <t>30</t>
    </r>
    <r>
      <rPr>
        <sz val="9"/>
        <rFont val="宋体"/>
        <family val="3"/>
        <charset val="134"/>
      </rPr>
      <t>幢</t>
    </r>
    <r>
      <rPr>
        <sz val="9"/>
        <rFont val="Arial"/>
        <family val="2"/>
      </rPr>
      <t>-2-2180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</si>
  <si>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2181</t>
    </r>
  </si>
  <si>
    <r>
      <rPr>
        <sz val="9"/>
        <rFont val="Arial"/>
        <family val="2"/>
      </rPr>
      <t>30</t>
    </r>
    <r>
      <rPr>
        <sz val="9"/>
        <rFont val="宋体"/>
        <family val="3"/>
        <charset val="134"/>
      </rPr>
      <t>幢</t>
    </r>
    <r>
      <rPr>
        <sz val="9"/>
        <rFont val="Arial"/>
        <family val="2"/>
      </rPr>
      <t>-2-2183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</si>
  <si>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2184</t>
    </r>
  </si>
  <si>
    <r>
      <rPr>
        <sz val="9"/>
        <rFont val="Arial"/>
        <family val="2"/>
      </rPr>
      <t>30</t>
    </r>
    <r>
      <rPr>
        <sz val="9"/>
        <rFont val="宋体"/>
        <family val="3"/>
        <charset val="134"/>
      </rPr>
      <t>幢</t>
    </r>
    <r>
      <rPr>
        <sz val="9"/>
        <rFont val="Arial"/>
        <family val="2"/>
      </rPr>
      <t>-2-2185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</si>
  <si>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2186</t>
    </r>
  </si>
  <si>
    <r>
      <rPr>
        <sz val="9"/>
        <rFont val="Arial"/>
        <family val="2"/>
      </rPr>
      <t>30</t>
    </r>
    <r>
      <rPr>
        <sz val="9"/>
        <rFont val="宋体"/>
        <family val="3"/>
        <charset val="134"/>
      </rPr>
      <t>幢</t>
    </r>
    <r>
      <rPr>
        <sz val="9"/>
        <rFont val="Arial"/>
        <family val="2"/>
      </rPr>
      <t>-2-2187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</si>
  <si>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2188</t>
    </r>
  </si>
  <si>
    <r>
      <rPr>
        <sz val="9"/>
        <rFont val="Arial"/>
        <family val="2"/>
      </rPr>
      <t>30</t>
    </r>
    <r>
      <rPr>
        <sz val="9"/>
        <rFont val="宋体"/>
        <family val="3"/>
        <charset val="134"/>
      </rPr>
      <t>幢</t>
    </r>
    <r>
      <rPr>
        <sz val="9"/>
        <rFont val="Arial"/>
        <family val="2"/>
      </rPr>
      <t>-2-2189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</si>
  <si>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2190</t>
    </r>
  </si>
  <si>
    <r>
      <rPr>
        <sz val="9"/>
        <rFont val="Arial"/>
        <family val="2"/>
      </rPr>
      <t>30</t>
    </r>
    <r>
      <rPr>
        <sz val="9"/>
        <rFont val="宋体"/>
        <family val="3"/>
        <charset val="134"/>
      </rPr>
      <t>幢</t>
    </r>
    <r>
      <rPr>
        <sz val="9"/>
        <rFont val="Arial"/>
        <family val="2"/>
      </rPr>
      <t>-2-2191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</si>
  <si>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2192</t>
    </r>
  </si>
  <si>
    <r>
      <rPr>
        <sz val="9"/>
        <rFont val="Arial"/>
        <family val="2"/>
      </rPr>
      <t>30</t>
    </r>
    <r>
      <rPr>
        <sz val="9"/>
        <rFont val="宋体"/>
        <family val="3"/>
        <charset val="134"/>
      </rPr>
      <t>幢</t>
    </r>
    <r>
      <rPr>
        <sz val="9"/>
        <rFont val="Arial"/>
        <family val="2"/>
      </rPr>
      <t>-2-2193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</si>
  <si>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2194</t>
    </r>
  </si>
  <si>
    <r>
      <rPr>
        <sz val="9"/>
        <rFont val="Arial"/>
        <family val="2"/>
      </rPr>
      <t>30</t>
    </r>
    <r>
      <rPr>
        <sz val="9"/>
        <rFont val="宋体"/>
        <family val="3"/>
        <charset val="134"/>
      </rPr>
      <t>幢</t>
    </r>
    <r>
      <rPr>
        <sz val="9"/>
        <rFont val="Arial"/>
        <family val="2"/>
      </rPr>
      <t>-2-2195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</si>
  <si>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2196</t>
    </r>
  </si>
  <si>
    <r>
      <rPr>
        <sz val="9"/>
        <rFont val="Arial"/>
        <family val="2"/>
      </rPr>
      <t>30</t>
    </r>
    <r>
      <rPr>
        <sz val="9"/>
        <rFont val="宋体"/>
        <family val="3"/>
        <charset val="134"/>
      </rPr>
      <t>幢</t>
    </r>
    <r>
      <rPr>
        <sz val="9"/>
        <rFont val="Arial"/>
        <family val="2"/>
      </rPr>
      <t>-1-1001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</si>
  <si>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1003</t>
    </r>
  </si>
  <si>
    <r>
      <rPr>
        <sz val="9"/>
        <rFont val="Arial"/>
        <family val="2"/>
      </rPr>
      <t>30</t>
    </r>
    <r>
      <rPr>
        <sz val="9"/>
        <rFont val="宋体"/>
        <family val="3"/>
        <charset val="134"/>
      </rPr>
      <t>幢</t>
    </r>
    <r>
      <rPr>
        <sz val="9"/>
        <rFont val="Arial"/>
        <family val="2"/>
      </rPr>
      <t>-1-1011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</si>
  <si>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1018</t>
    </r>
  </si>
  <si>
    <r>
      <rPr>
        <sz val="9"/>
        <rFont val="Arial"/>
        <family val="2"/>
      </rPr>
      <t>30</t>
    </r>
    <r>
      <rPr>
        <sz val="9"/>
        <rFont val="宋体"/>
        <family val="3"/>
        <charset val="134"/>
      </rPr>
      <t>幢</t>
    </r>
    <r>
      <rPr>
        <sz val="9"/>
        <rFont val="Arial"/>
        <family val="2"/>
      </rPr>
      <t>-1-1019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</si>
  <si>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1020</t>
    </r>
  </si>
  <si>
    <r>
      <rPr>
        <sz val="9"/>
        <rFont val="Arial"/>
        <family val="2"/>
      </rPr>
      <t>30</t>
    </r>
    <r>
      <rPr>
        <sz val="9"/>
        <rFont val="宋体"/>
        <family val="3"/>
        <charset val="134"/>
      </rPr>
      <t>幢</t>
    </r>
    <r>
      <rPr>
        <sz val="9"/>
        <rFont val="Arial"/>
        <family val="2"/>
      </rPr>
      <t>-1-1021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</si>
  <si>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1025</t>
    </r>
  </si>
  <si>
    <r>
      <rPr>
        <sz val="9"/>
        <rFont val="Arial"/>
        <family val="2"/>
      </rPr>
      <t>30</t>
    </r>
    <r>
      <rPr>
        <sz val="9"/>
        <rFont val="宋体"/>
        <family val="3"/>
        <charset val="134"/>
      </rPr>
      <t>幢</t>
    </r>
    <r>
      <rPr>
        <sz val="9"/>
        <rFont val="Arial"/>
        <family val="2"/>
      </rPr>
      <t>-1-1029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</si>
  <si>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1032</t>
    </r>
  </si>
  <si>
    <r>
      <rPr>
        <sz val="9"/>
        <rFont val="Arial"/>
        <family val="2"/>
      </rPr>
      <t>30</t>
    </r>
    <r>
      <rPr>
        <sz val="9"/>
        <rFont val="宋体"/>
        <family val="3"/>
        <charset val="134"/>
      </rPr>
      <t>幢</t>
    </r>
    <r>
      <rPr>
        <sz val="9"/>
        <rFont val="Arial"/>
        <family val="2"/>
      </rPr>
      <t>-1-1033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</si>
  <si>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1036</t>
    </r>
  </si>
  <si>
    <r>
      <rPr>
        <sz val="9"/>
        <rFont val="Arial"/>
        <family val="2"/>
      </rPr>
      <t>30</t>
    </r>
    <r>
      <rPr>
        <sz val="9"/>
        <rFont val="宋体"/>
        <family val="3"/>
        <charset val="134"/>
      </rPr>
      <t>幢</t>
    </r>
    <r>
      <rPr>
        <sz val="9"/>
        <rFont val="Arial"/>
        <family val="2"/>
      </rPr>
      <t>-1-1038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</si>
  <si>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1039</t>
    </r>
  </si>
  <si>
    <r>
      <rPr>
        <sz val="9"/>
        <rFont val="Arial"/>
        <family val="2"/>
      </rPr>
      <t>30</t>
    </r>
    <r>
      <rPr>
        <sz val="9"/>
        <rFont val="宋体"/>
        <family val="3"/>
        <charset val="134"/>
      </rPr>
      <t>幢</t>
    </r>
    <r>
      <rPr>
        <sz val="9"/>
        <rFont val="Arial"/>
        <family val="2"/>
      </rPr>
      <t>-1-1040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</si>
  <si>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1041</t>
    </r>
  </si>
  <si>
    <r>
      <rPr>
        <sz val="9"/>
        <rFont val="Arial"/>
        <family val="2"/>
      </rPr>
      <t>30</t>
    </r>
    <r>
      <rPr>
        <sz val="9"/>
        <rFont val="宋体"/>
        <family val="3"/>
        <charset val="134"/>
      </rPr>
      <t>幢</t>
    </r>
    <r>
      <rPr>
        <sz val="9"/>
        <rFont val="Arial"/>
        <family val="2"/>
      </rPr>
      <t>-1-1042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</si>
  <si>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1043</t>
    </r>
  </si>
  <si>
    <r>
      <rPr>
        <sz val="9"/>
        <rFont val="Arial"/>
        <family val="2"/>
      </rPr>
      <t>30</t>
    </r>
    <r>
      <rPr>
        <sz val="9"/>
        <rFont val="宋体"/>
        <family val="3"/>
        <charset val="134"/>
      </rPr>
      <t>幢</t>
    </r>
    <r>
      <rPr>
        <sz val="9"/>
        <rFont val="Arial"/>
        <family val="2"/>
      </rPr>
      <t>-1-1044</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</si>
  <si>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1045</t>
    </r>
  </si>
  <si>
    <r>
      <rPr>
        <sz val="9"/>
        <rFont val="Arial"/>
        <family val="2"/>
      </rPr>
      <t>30</t>
    </r>
    <r>
      <rPr>
        <sz val="9"/>
        <rFont val="宋体"/>
        <family val="3"/>
        <charset val="134"/>
      </rPr>
      <t>幢</t>
    </r>
    <r>
      <rPr>
        <sz val="9"/>
        <rFont val="Arial"/>
        <family val="2"/>
      </rPr>
      <t>-1-1046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</si>
  <si>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1047</t>
    </r>
  </si>
  <si>
    <r>
      <rPr>
        <sz val="9"/>
        <rFont val="Arial"/>
        <family val="2"/>
      </rPr>
      <t>30</t>
    </r>
    <r>
      <rPr>
        <sz val="9"/>
        <rFont val="宋体"/>
        <family val="3"/>
        <charset val="134"/>
      </rPr>
      <t>幢</t>
    </r>
    <r>
      <rPr>
        <sz val="9"/>
        <rFont val="Arial"/>
        <family val="2"/>
      </rPr>
      <t>-1-1048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</si>
  <si>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1049</t>
    </r>
  </si>
  <si>
    <r>
      <rPr>
        <sz val="9"/>
        <rFont val="Arial"/>
        <family val="2"/>
      </rPr>
      <t>30</t>
    </r>
    <r>
      <rPr>
        <sz val="9"/>
        <rFont val="宋体"/>
        <family val="3"/>
        <charset val="134"/>
      </rPr>
      <t>幢</t>
    </r>
    <r>
      <rPr>
        <sz val="9"/>
        <rFont val="Arial"/>
        <family val="2"/>
      </rPr>
      <t>-1-1050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</si>
  <si>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1051</t>
    </r>
  </si>
  <si>
    <r>
      <rPr>
        <sz val="9"/>
        <rFont val="Arial"/>
        <family val="2"/>
      </rPr>
      <t>30</t>
    </r>
    <r>
      <rPr>
        <sz val="9"/>
        <rFont val="宋体"/>
        <family val="3"/>
        <charset val="134"/>
      </rPr>
      <t>幢</t>
    </r>
    <r>
      <rPr>
        <sz val="9"/>
        <rFont val="Arial"/>
        <family val="2"/>
      </rPr>
      <t>-1-1056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</si>
  <si>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1057</t>
    </r>
  </si>
  <si>
    <r>
      <rPr>
        <sz val="9"/>
        <rFont val="Arial"/>
        <family val="2"/>
      </rPr>
      <t>30</t>
    </r>
    <r>
      <rPr>
        <sz val="9"/>
        <rFont val="宋体"/>
        <family val="3"/>
        <charset val="134"/>
      </rPr>
      <t>幢</t>
    </r>
    <r>
      <rPr>
        <sz val="9"/>
        <rFont val="Arial"/>
        <family val="2"/>
      </rPr>
      <t>-1-1058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</si>
  <si>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1059</t>
    </r>
  </si>
  <si>
    <r>
      <rPr>
        <sz val="9"/>
        <rFont val="Arial"/>
        <family val="2"/>
      </rPr>
      <t>30</t>
    </r>
    <r>
      <rPr>
        <sz val="9"/>
        <rFont val="宋体"/>
        <family val="3"/>
        <charset val="134"/>
      </rPr>
      <t>幢</t>
    </r>
    <r>
      <rPr>
        <sz val="9"/>
        <rFont val="Arial"/>
        <family val="2"/>
      </rPr>
      <t>-1-1060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</si>
  <si>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1061</t>
    </r>
  </si>
  <si>
    <r>
      <rPr>
        <sz val="9"/>
        <rFont val="Arial"/>
        <family val="2"/>
      </rPr>
      <t>30</t>
    </r>
    <r>
      <rPr>
        <sz val="9"/>
        <rFont val="宋体"/>
        <family val="3"/>
        <charset val="134"/>
      </rPr>
      <t>幢</t>
    </r>
    <r>
      <rPr>
        <sz val="9"/>
        <rFont val="Arial"/>
        <family val="2"/>
      </rPr>
      <t>-1-1062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</si>
  <si>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1063</t>
    </r>
  </si>
  <si>
    <r>
      <rPr>
        <sz val="9"/>
        <rFont val="Arial"/>
        <family val="2"/>
      </rPr>
      <t>30</t>
    </r>
    <r>
      <rPr>
        <sz val="9"/>
        <rFont val="宋体"/>
        <family val="3"/>
        <charset val="134"/>
      </rPr>
      <t>幢</t>
    </r>
    <r>
      <rPr>
        <sz val="9"/>
        <rFont val="Arial"/>
        <family val="2"/>
      </rPr>
      <t>-1-1064</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</si>
  <si>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1065</t>
    </r>
  </si>
  <si>
    <r>
      <rPr>
        <sz val="9"/>
        <rFont val="Arial"/>
        <family val="2"/>
      </rPr>
      <t>30</t>
    </r>
    <r>
      <rPr>
        <sz val="9"/>
        <rFont val="宋体"/>
        <family val="3"/>
        <charset val="134"/>
      </rPr>
      <t>幢</t>
    </r>
    <r>
      <rPr>
        <sz val="9"/>
        <rFont val="Arial"/>
        <family val="2"/>
      </rPr>
      <t>-1-1068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</si>
  <si>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1069</t>
    </r>
  </si>
  <si>
    <r>
      <rPr>
        <sz val="9"/>
        <rFont val="Arial"/>
        <family val="2"/>
      </rPr>
      <t>30</t>
    </r>
    <r>
      <rPr>
        <sz val="9"/>
        <rFont val="宋体"/>
        <family val="3"/>
        <charset val="134"/>
      </rPr>
      <t>幢</t>
    </r>
    <r>
      <rPr>
        <sz val="9"/>
        <rFont val="Arial"/>
        <family val="2"/>
      </rPr>
      <t>-1-1070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</si>
  <si>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1071</t>
    </r>
  </si>
  <si>
    <r>
      <rPr>
        <sz val="9"/>
        <rFont val="Arial"/>
        <family val="2"/>
      </rPr>
      <t>30</t>
    </r>
    <r>
      <rPr>
        <sz val="9"/>
        <rFont val="宋体"/>
        <family val="3"/>
        <charset val="134"/>
      </rPr>
      <t>幢</t>
    </r>
    <r>
      <rPr>
        <sz val="9"/>
        <rFont val="Arial"/>
        <family val="2"/>
      </rPr>
      <t>-1-1072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</si>
  <si>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1073</t>
    </r>
  </si>
  <si>
    <r>
      <rPr>
        <sz val="9"/>
        <rFont val="Arial"/>
        <family val="2"/>
      </rPr>
      <t>30</t>
    </r>
    <r>
      <rPr>
        <sz val="9"/>
        <rFont val="宋体"/>
        <family val="3"/>
        <charset val="134"/>
      </rPr>
      <t>幢</t>
    </r>
    <r>
      <rPr>
        <sz val="9"/>
        <rFont val="Arial"/>
        <family val="2"/>
      </rPr>
      <t>-1-1078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</si>
  <si>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1079</t>
    </r>
  </si>
  <si>
    <r>
      <rPr>
        <sz val="9"/>
        <rFont val="Arial"/>
        <family val="2"/>
      </rPr>
      <t>30</t>
    </r>
    <r>
      <rPr>
        <sz val="9"/>
        <rFont val="宋体"/>
        <family val="3"/>
        <charset val="134"/>
      </rPr>
      <t>幢</t>
    </r>
    <r>
      <rPr>
        <sz val="9"/>
        <rFont val="Arial"/>
        <family val="2"/>
      </rPr>
      <t>-1-1080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</si>
  <si>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1081</t>
    </r>
  </si>
  <si>
    <r>
      <rPr>
        <sz val="9"/>
        <rFont val="Arial"/>
        <family val="2"/>
      </rPr>
      <t>30</t>
    </r>
    <r>
      <rPr>
        <sz val="9"/>
        <rFont val="宋体"/>
        <family val="3"/>
        <charset val="134"/>
      </rPr>
      <t>幢</t>
    </r>
    <r>
      <rPr>
        <sz val="9"/>
        <rFont val="Arial"/>
        <family val="2"/>
      </rPr>
      <t>-1-1082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</si>
  <si>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1083</t>
    </r>
  </si>
  <si>
    <r>
      <rPr>
        <sz val="9"/>
        <rFont val="Arial"/>
        <family val="2"/>
      </rPr>
      <t>30</t>
    </r>
    <r>
      <rPr>
        <sz val="9"/>
        <rFont val="宋体"/>
        <family val="3"/>
        <charset val="134"/>
      </rPr>
      <t>幢</t>
    </r>
    <r>
      <rPr>
        <sz val="9"/>
        <rFont val="Arial"/>
        <family val="2"/>
      </rPr>
      <t>-1-1084</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</si>
  <si>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1085</t>
    </r>
  </si>
  <si>
    <r>
      <rPr>
        <sz val="9"/>
        <rFont val="Arial"/>
        <family val="2"/>
      </rPr>
      <t>30</t>
    </r>
    <r>
      <rPr>
        <sz val="9"/>
        <rFont val="宋体"/>
        <family val="3"/>
        <charset val="134"/>
      </rPr>
      <t>幢</t>
    </r>
    <r>
      <rPr>
        <sz val="9"/>
        <rFont val="Arial"/>
        <family val="2"/>
      </rPr>
      <t>-1-1086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</si>
  <si>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1087</t>
    </r>
  </si>
  <si>
    <r>
      <rPr>
        <sz val="9"/>
        <rFont val="Arial"/>
        <family val="2"/>
      </rPr>
      <t>30</t>
    </r>
    <r>
      <rPr>
        <sz val="9"/>
        <rFont val="宋体"/>
        <family val="3"/>
        <charset val="134"/>
      </rPr>
      <t>幢</t>
    </r>
    <r>
      <rPr>
        <sz val="9"/>
        <rFont val="Arial"/>
        <family val="2"/>
      </rPr>
      <t>-1-1090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</si>
  <si>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1098</t>
    </r>
  </si>
  <si>
    <r>
      <rPr>
        <sz val="9"/>
        <rFont val="Arial"/>
        <family val="2"/>
      </rPr>
      <t>30</t>
    </r>
    <r>
      <rPr>
        <sz val="9"/>
        <rFont val="宋体"/>
        <family val="3"/>
        <charset val="134"/>
      </rPr>
      <t>幢</t>
    </r>
    <r>
      <rPr>
        <sz val="9"/>
        <rFont val="Arial"/>
        <family val="2"/>
      </rPr>
      <t>-1-1101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</si>
  <si>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1102</t>
    </r>
  </si>
  <si>
    <r>
      <rPr>
        <sz val="9"/>
        <rFont val="Arial"/>
        <family val="2"/>
      </rPr>
      <t>30</t>
    </r>
    <r>
      <rPr>
        <sz val="9"/>
        <rFont val="宋体"/>
        <family val="3"/>
        <charset val="134"/>
      </rPr>
      <t>幢</t>
    </r>
    <r>
      <rPr>
        <sz val="9"/>
        <rFont val="Arial"/>
        <family val="2"/>
      </rPr>
      <t>-1-1105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</si>
  <si>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1107</t>
    </r>
  </si>
  <si>
    <r>
      <rPr>
        <sz val="9"/>
        <rFont val="Arial"/>
        <family val="2"/>
      </rPr>
      <t>30</t>
    </r>
    <r>
      <rPr>
        <sz val="9"/>
        <rFont val="宋体"/>
        <family val="3"/>
        <charset val="134"/>
      </rPr>
      <t>幢</t>
    </r>
    <r>
      <rPr>
        <sz val="9"/>
        <rFont val="Arial"/>
        <family val="2"/>
      </rPr>
      <t>-1-1109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</si>
  <si>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1110</t>
    </r>
  </si>
  <si>
    <r>
      <rPr>
        <sz val="9"/>
        <rFont val="Arial"/>
        <family val="2"/>
      </rPr>
      <t>30</t>
    </r>
    <r>
      <rPr>
        <sz val="9"/>
        <rFont val="宋体"/>
        <family val="3"/>
        <charset val="134"/>
      </rPr>
      <t>幢</t>
    </r>
    <r>
      <rPr>
        <sz val="9"/>
        <rFont val="Arial"/>
        <family val="2"/>
      </rPr>
      <t>-1-1113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</si>
  <si>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1117</t>
    </r>
  </si>
  <si>
    <r>
      <rPr>
        <sz val="9"/>
        <rFont val="Arial"/>
        <family val="2"/>
      </rPr>
      <t>30</t>
    </r>
    <r>
      <rPr>
        <sz val="9"/>
        <rFont val="宋体"/>
        <family val="3"/>
        <charset val="134"/>
      </rPr>
      <t>幢</t>
    </r>
    <r>
      <rPr>
        <sz val="9"/>
        <rFont val="Arial"/>
        <family val="2"/>
      </rPr>
      <t>-1-1118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</si>
  <si>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1120</t>
    </r>
  </si>
  <si>
    <r>
      <rPr>
        <sz val="9"/>
        <rFont val="Arial"/>
        <family val="2"/>
      </rPr>
      <t>30</t>
    </r>
    <r>
      <rPr>
        <sz val="9"/>
        <rFont val="宋体"/>
        <family val="3"/>
        <charset val="134"/>
      </rPr>
      <t>幢</t>
    </r>
    <r>
      <rPr>
        <sz val="9"/>
        <rFont val="Arial"/>
        <family val="2"/>
      </rPr>
      <t>-1-1121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</si>
  <si>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1124</t>
    </r>
  </si>
  <si>
    <r>
      <rPr>
        <sz val="9"/>
        <rFont val="Arial"/>
        <family val="2"/>
      </rPr>
      <t>30</t>
    </r>
    <r>
      <rPr>
        <sz val="9"/>
        <rFont val="宋体"/>
        <family val="3"/>
        <charset val="134"/>
      </rPr>
      <t>幢</t>
    </r>
    <r>
      <rPr>
        <sz val="9"/>
        <rFont val="Arial"/>
        <family val="2"/>
      </rPr>
      <t>-1-1126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</si>
  <si>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1129</t>
    </r>
  </si>
  <si>
    <r>
      <rPr>
        <sz val="9"/>
        <rFont val="Arial"/>
        <family val="2"/>
      </rPr>
      <t>30</t>
    </r>
    <r>
      <rPr>
        <sz val="9"/>
        <rFont val="宋体"/>
        <family val="3"/>
        <charset val="134"/>
      </rPr>
      <t>幢</t>
    </r>
    <r>
      <rPr>
        <sz val="9"/>
        <rFont val="Arial"/>
        <family val="2"/>
      </rPr>
      <t>-1-1131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</si>
  <si>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1132</t>
    </r>
  </si>
  <si>
    <r>
      <rPr>
        <sz val="9"/>
        <rFont val="Arial"/>
        <family val="2"/>
      </rPr>
      <t>30</t>
    </r>
    <r>
      <rPr>
        <sz val="9"/>
        <rFont val="宋体"/>
        <family val="3"/>
        <charset val="134"/>
      </rPr>
      <t>幢</t>
    </r>
    <r>
      <rPr>
        <sz val="9"/>
        <rFont val="Arial"/>
        <family val="2"/>
      </rPr>
      <t>-1-1133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</si>
  <si>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1134</t>
    </r>
  </si>
  <si>
    <r>
      <rPr>
        <sz val="9"/>
        <rFont val="Arial"/>
        <family val="2"/>
      </rPr>
      <t>30</t>
    </r>
    <r>
      <rPr>
        <sz val="9"/>
        <rFont val="宋体"/>
        <family val="3"/>
        <charset val="134"/>
      </rPr>
      <t>幢</t>
    </r>
    <r>
      <rPr>
        <sz val="9"/>
        <rFont val="Arial"/>
        <family val="2"/>
      </rPr>
      <t>-1-1136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</si>
  <si>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1138</t>
    </r>
  </si>
  <si>
    <r>
      <rPr>
        <sz val="9"/>
        <rFont val="Arial"/>
        <family val="2"/>
      </rPr>
      <t>30</t>
    </r>
    <r>
      <rPr>
        <sz val="9"/>
        <rFont val="宋体"/>
        <family val="3"/>
        <charset val="134"/>
      </rPr>
      <t>幢</t>
    </r>
    <r>
      <rPr>
        <sz val="9"/>
        <rFont val="Arial"/>
        <family val="2"/>
      </rPr>
      <t>-1-1139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</si>
  <si>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1140</t>
    </r>
  </si>
  <si>
    <r>
      <rPr>
        <sz val="9"/>
        <rFont val="宋体"/>
        <family val="3"/>
        <charset val="134"/>
      </rPr>
      <t>房山区揽秀南街</t>
    </r>
    <r>
      <rPr>
        <sz val="9"/>
        <rFont val="Arial"/>
        <family val="2"/>
      </rPr>
      <t>15</t>
    </r>
    <r>
      <rPr>
        <sz val="9"/>
        <rFont val="宋体"/>
        <family val="3"/>
        <charset val="134"/>
      </rPr>
      <t>号院</t>
    </r>
    <phoneticPr fontId="6" type="noConversion"/>
  </si>
  <si>
    <r>
      <rPr>
        <sz val="9"/>
        <rFont val="Arial"/>
        <family val="2"/>
      </rPr>
      <t>30</t>
    </r>
    <r>
      <rPr>
        <sz val="9"/>
        <rFont val="宋体"/>
        <family val="3"/>
        <charset val="134"/>
      </rPr>
      <t>幢</t>
    </r>
    <r>
      <rPr>
        <sz val="9"/>
        <rFont val="Arial"/>
        <family val="2"/>
      </rPr>
      <t>-1-1141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</si>
  <si>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1145</t>
    </r>
  </si>
  <si>
    <r>
      <rPr>
        <sz val="9"/>
        <rFont val="Arial"/>
        <family val="2"/>
      </rPr>
      <t>30</t>
    </r>
    <r>
      <rPr>
        <sz val="9"/>
        <rFont val="宋体"/>
        <family val="3"/>
        <charset val="134"/>
      </rPr>
      <t>幢</t>
    </r>
    <r>
      <rPr>
        <sz val="9"/>
        <rFont val="Arial"/>
        <family val="2"/>
      </rPr>
      <t>-1-1146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</si>
  <si>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1147</t>
    </r>
  </si>
  <si>
    <r>
      <rPr>
        <sz val="9"/>
        <rFont val="Arial"/>
        <family val="2"/>
      </rPr>
      <t>30</t>
    </r>
    <r>
      <rPr>
        <sz val="9"/>
        <rFont val="宋体"/>
        <family val="3"/>
        <charset val="134"/>
      </rPr>
      <t>幢</t>
    </r>
    <r>
      <rPr>
        <sz val="9"/>
        <rFont val="Arial"/>
        <family val="2"/>
      </rPr>
      <t>-1-1149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</si>
  <si>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1152</t>
    </r>
  </si>
  <si>
    <r>
      <rPr>
        <sz val="9"/>
        <rFont val="Arial"/>
        <family val="2"/>
      </rPr>
      <t>30</t>
    </r>
    <r>
      <rPr>
        <sz val="9"/>
        <rFont val="宋体"/>
        <family val="3"/>
        <charset val="134"/>
      </rPr>
      <t>幢</t>
    </r>
    <r>
      <rPr>
        <sz val="9"/>
        <rFont val="Arial"/>
        <family val="2"/>
      </rPr>
      <t>-1-1153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</si>
  <si>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1154</t>
    </r>
  </si>
  <si>
    <r>
      <rPr>
        <sz val="9"/>
        <rFont val="Arial"/>
        <family val="2"/>
      </rPr>
      <t>30</t>
    </r>
    <r>
      <rPr>
        <sz val="9"/>
        <rFont val="宋体"/>
        <family val="3"/>
        <charset val="134"/>
      </rPr>
      <t>幢</t>
    </r>
    <r>
      <rPr>
        <sz val="9"/>
        <rFont val="Arial"/>
        <family val="2"/>
      </rPr>
      <t>-1-1155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</si>
  <si>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1156</t>
    </r>
  </si>
  <si>
    <r>
      <rPr>
        <sz val="9"/>
        <rFont val="Arial"/>
        <family val="2"/>
      </rPr>
      <t>31</t>
    </r>
    <r>
      <rPr>
        <sz val="9"/>
        <rFont val="宋体"/>
        <family val="3"/>
        <charset val="134"/>
      </rPr>
      <t>幢</t>
    </r>
  </si>
  <si>
    <r>
      <rPr>
        <sz val="9"/>
        <rFont val="Arial"/>
        <family val="2"/>
      </rPr>
      <t>31</t>
    </r>
    <r>
      <rPr>
        <sz val="9"/>
        <rFont val="宋体"/>
        <family val="3"/>
        <charset val="134"/>
      </rPr>
      <t>幢</t>
    </r>
    <r>
      <rPr>
        <sz val="9"/>
        <rFont val="Arial"/>
        <family val="2"/>
      </rPr>
      <t>-2-2002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</si>
  <si>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2003</t>
    </r>
  </si>
  <si>
    <r>
      <rPr>
        <sz val="9"/>
        <rFont val="Arial"/>
        <family val="2"/>
      </rPr>
      <t>31</t>
    </r>
    <r>
      <rPr>
        <sz val="9"/>
        <rFont val="宋体"/>
        <family val="3"/>
        <charset val="134"/>
      </rPr>
      <t>幢</t>
    </r>
    <r>
      <rPr>
        <sz val="9"/>
        <rFont val="Arial"/>
        <family val="2"/>
      </rPr>
      <t>-2-2004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</si>
  <si>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2005</t>
    </r>
  </si>
  <si>
    <r>
      <rPr>
        <sz val="9"/>
        <rFont val="Arial"/>
        <family val="2"/>
      </rPr>
      <t>31</t>
    </r>
    <r>
      <rPr>
        <sz val="9"/>
        <rFont val="宋体"/>
        <family val="3"/>
        <charset val="134"/>
      </rPr>
      <t>幢</t>
    </r>
    <r>
      <rPr>
        <sz val="9"/>
        <rFont val="Arial"/>
        <family val="2"/>
      </rPr>
      <t>-2-2006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</si>
  <si>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2007</t>
    </r>
  </si>
  <si>
    <r>
      <rPr>
        <sz val="9"/>
        <rFont val="Arial"/>
        <family val="2"/>
      </rPr>
      <t>31</t>
    </r>
    <r>
      <rPr>
        <sz val="9"/>
        <rFont val="宋体"/>
        <family val="3"/>
        <charset val="134"/>
      </rPr>
      <t>幢</t>
    </r>
    <r>
      <rPr>
        <sz val="9"/>
        <rFont val="Arial"/>
        <family val="2"/>
      </rPr>
      <t>-2-2008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</si>
  <si>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2009</t>
    </r>
  </si>
  <si>
    <r>
      <rPr>
        <sz val="9"/>
        <rFont val="Arial"/>
        <family val="2"/>
      </rPr>
      <t>31</t>
    </r>
    <r>
      <rPr>
        <sz val="9"/>
        <rFont val="宋体"/>
        <family val="3"/>
        <charset val="134"/>
      </rPr>
      <t>幢</t>
    </r>
    <r>
      <rPr>
        <sz val="9"/>
        <rFont val="Arial"/>
        <family val="2"/>
      </rPr>
      <t>-2-2010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</si>
  <si>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2011</t>
    </r>
  </si>
  <si>
    <r>
      <rPr>
        <sz val="9"/>
        <rFont val="Arial"/>
        <family val="2"/>
      </rPr>
      <t>31</t>
    </r>
    <r>
      <rPr>
        <sz val="9"/>
        <rFont val="宋体"/>
        <family val="3"/>
        <charset val="134"/>
      </rPr>
      <t>幢</t>
    </r>
    <r>
      <rPr>
        <sz val="9"/>
        <rFont val="Arial"/>
        <family val="2"/>
      </rPr>
      <t>-2-2012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</si>
  <si>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2013</t>
    </r>
  </si>
  <si>
    <r>
      <rPr>
        <sz val="9"/>
        <rFont val="Arial"/>
        <family val="2"/>
      </rPr>
      <t>31</t>
    </r>
    <r>
      <rPr>
        <sz val="9"/>
        <rFont val="宋体"/>
        <family val="3"/>
        <charset val="134"/>
      </rPr>
      <t>幢</t>
    </r>
    <r>
      <rPr>
        <sz val="9"/>
        <rFont val="Arial"/>
        <family val="2"/>
      </rPr>
      <t>-2-2014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</si>
  <si>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2015</t>
    </r>
  </si>
  <si>
    <r>
      <rPr>
        <sz val="9"/>
        <rFont val="Arial"/>
        <family val="2"/>
      </rPr>
      <t>31</t>
    </r>
    <r>
      <rPr>
        <sz val="9"/>
        <rFont val="宋体"/>
        <family val="3"/>
        <charset val="134"/>
      </rPr>
      <t>幢</t>
    </r>
    <r>
      <rPr>
        <sz val="9"/>
        <rFont val="Arial"/>
        <family val="2"/>
      </rPr>
      <t>-2-2016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</si>
  <si>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2017</t>
    </r>
  </si>
  <si>
    <r>
      <rPr>
        <sz val="9"/>
        <rFont val="Arial"/>
        <family val="2"/>
      </rPr>
      <t>31</t>
    </r>
    <r>
      <rPr>
        <sz val="9"/>
        <rFont val="宋体"/>
        <family val="3"/>
        <charset val="134"/>
      </rPr>
      <t>幢</t>
    </r>
    <r>
      <rPr>
        <sz val="9"/>
        <rFont val="Arial"/>
        <family val="2"/>
      </rPr>
      <t>-2-2018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</si>
  <si>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2019</t>
    </r>
  </si>
  <si>
    <r>
      <rPr>
        <sz val="9"/>
        <rFont val="Arial"/>
        <family val="2"/>
      </rPr>
      <t>31</t>
    </r>
    <r>
      <rPr>
        <sz val="9"/>
        <rFont val="宋体"/>
        <family val="3"/>
        <charset val="134"/>
      </rPr>
      <t>幢</t>
    </r>
    <r>
      <rPr>
        <sz val="9"/>
        <rFont val="Arial"/>
        <family val="2"/>
      </rPr>
      <t>-2-2020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</si>
  <si>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2021</t>
    </r>
  </si>
  <si>
    <r>
      <rPr>
        <sz val="9"/>
        <rFont val="Arial"/>
        <family val="2"/>
      </rPr>
      <t>31</t>
    </r>
    <r>
      <rPr>
        <sz val="9"/>
        <rFont val="宋体"/>
        <family val="3"/>
        <charset val="134"/>
      </rPr>
      <t>幢</t>
    </r>
    <r>
      <rPr>
        <sz val="9"/>
        <rFont val="Arial"/>
        <family val="2"/>
      </rPr>
      <t>-2-2022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</si>
  <si>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2023</t>
    </r>
  </si>
  <si>
    <r>
      <rPr>
        <sz val="9"/>
        <rFont val="Arial"/>
        <family val="2"/>
      </rPr>
      <t>31</t>
    </r>
    <r>
      <rPr>
        <sz val="9"/>
        <rFont val="宋体"/>
        <family val="3"/>
        <charset val="134"/>
      </rPr>
      <t>幢</t>
    </r>
    <r>
      <rPr>
        <sz val="9"/>
        <rFont val="Arial"/>
        <family val="2"/>
      </rPr>
      <t>-2-2024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</si>
  <si>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2025</t>
    </r>
  </si>
  <si>
    <r>
      <rPr>
        <sz val="9"/>
        <rFont val="Arial"/>
        <family val="2"/>
      </rPr>
      <t>31</t>
    </r>
    <r>
      <rPr>
        <sz val="9"/>
        <rFont val="宋体"/>
        <family val="3"/>
        <charset val="134"/>
      </rPr>
      <t>幢</t>
    </r>
    <r>
      <rPr>
        <sz val="9"/>
        <rFont val="Arial"/>
        <family val="2"/>
      </rPr>
      <t>-2-2026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</si>
  <si>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2027</t>
    </r>
  </si>
  <si>
    <r>
      <rPr>
        <sz val="9"/>
        <rFont val="Arial"/>
        <family val="2"/>
      </rPr>
      <t>31</t>
    </r>
    <r>
      <rPr>
        <sz val="9"/>
        <rFont val="宋体"/>
        <family val="3"/>
        <charset val="134"/>
      </rPr>
      <t>幢</t>
    </r>
    <r>
      <rPr>
        <sz val="9"/>
        <rFont val="Arial"/>
        <family val="2"/>
      </rPr>
      <t>-2-2028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</si>
  <si>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2029</t>
    </r>
  </si>
  <si>
    <r>
      <rPr>
        <sz val="9"/>
        <rFont val="Arial"/>
        <family val="2"/>
      </rPr>
      <t>31</t>
    </r>
    <r>
      <rPr>
        <sz val="9"/>
        <rFont val="宋体"/>
        <family val="3"/>
        <charset val="134"/>
      </rPr>
      <t>幢</t>
    </r>
    <r>
      <rPr>
        <sz val="9"/>
        <rFont val="Arial"/>
        <family val="2"/>
      </rPr>
      <t>-2-2030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</si>
  <si>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2031</t>
    </r>
  </si>
  <si>
    <r>
      <rPr>
        <sz val="9"/>
        <rFont val="Arial"/>
        <family val="2"/>
      </rPr>
      <t>31</t>
    </r>
    <r>
      <rPr>
        <sz val="9"/>
        <rFont val="宋体"/>
        <family val="3"/>
        <charset val="134"/>
      </rPr>
      <t>幢</t>
    </r>
    <r>
      <rPr>
        <sz val="9"/>
        <rFont val="Arial"/>
        <family val="2"/>
      </rPr>
      <t>-2-2032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</si>
  <si>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2033</t>
    </r>
  </si>
  <si>
    <r>
      <rPr>
        <sz val="9"/>
        <rFont val="Arial"/>
        <family val="2"/>
      </rPr>
      <t>31</t>
    </r>
    <r>
      <rPr>
        <sz val="9"/>
        <rFont val="宋体"/>
        <family val="3"/>
        <charset val="134"/>
      </rPr>
      <t>幢</t>
    </r>
    <r>
      <rPr>
        <sz val="9"/>
        <rFont val="Arial"/>
        <family val="2"/>
      </rPr>
      <t>-2-2034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</si>
  <si>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2035</t>
    </r>
  </si>
  <si>
    <r>
      <rPr>
        <sz val="9"/>
        <rFont val="Arial"/>
        <family val="2"/>
      </rPr>
      <t>31</t>
    </r>
    <r>
      <rPr>
        <sz val="9"/>
        <rFont val="宋体"/>
        <family val="3"/>
        <charset val="134"/>
      </rPr>
      <t>幢</t>
    </r>
    <r>
      <rPr>
        <sz val="9"/>
        <rFont val="Arial"/>
        <family val="2"/>
      </rPr>
      <t>-2-2036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</si>
  <si>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2037</t>
    </r>
  </si>
  <si>
    <r>
      <rPr>
        <sz val="9"/>
        <rFont val="Arial"/>
        <family val="2"/>
      </rPr>
      <t>31</t>
    </r>
    <r>
      <rPr>
        <sz val="9"/>
        <rFont val="宋体"/>
        <family val="3"/>
        <charset val="134"/>
      </rPr>
      <t>幢</t>
    </r>
    <r>
      <rPr>
        <sz val="9"/>
        <rFont val="Arial"/>
        <family val="2"/>
      </rPr>
      <t>-2-2038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</si>
  <si>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2039</t>
    </r>
  </si>
  <si>
    <r>
      <rPr>
        <sz val="9"/>
        <rFont val="Arial"/>
        <family val="2"/>
      </rPr>
      <t>31</t>
    </r>
    <r>
      <rPr>
        <sz val="9"/>
        <rFont val="宋体"/>
        <family val="3"/>
        <charset val="134"/>
      </rPr>
      <t>幢</t>
    </r>
    <r>
      <rPr>
        <sz val="9"/>
        <rFont val="Arial"/>
        <family val="2"/>
      </rPr>
      <t>-2-2040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</si>
  <si>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2041</t>
    </r>
  </si>
  <si>
    <r>
      <rPr>
        <sz val="9"/>
        <rFont val="Arial"/>
        <family val="2"/>
      </rPr>
      <t>31</t>
    </r>
    <r>
      <rPr>
        <sz val="9"/>
        <rFont val="宋体"/>
        <family val="3"/>
        <charset val="134"/>
      </rPr>
      <t>幢</t>
    </r>
    <r>
      <rPr>
        <sz val="9"/>
        <rFont val="Arial"/>
        <family val="2"/>
      </rPr>
      <t>-2-2042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</si>
  <si>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2043</t>
    </r>
  </si>
  <si>
    <r>
      <rPr>
        <sz val="9"/>
        <rFont val="Arial"/>
        <family val="2"/>
      </rPr>
      <t>31</t>
    </r>
    <r>
      <rPr>
        <sz val="9"/>
        <rFont val="宋体"/>
        <family val="3"/>
        <charset val="134"/>
      </rPr>
      <t>幢</t>
    </r>
    <r>
      <rPr>
        <sz val="9"/>
        <rFont val="Arial"/>
        <family val="2"/>
      </rPr>
      <t>-2-2044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</si>
  <si>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2045</t>
    </r>
  </si>
  <si>
    <r>
      <rPr>
        <sz val="9"/>
        <rFont val="Arial"/>
        <family val="2"/>
      </rPr>
      <t>31</t>
    </r>
    <r>
      <rPr>
        <sz val="9"/>
        <rFont val="宋体"/>
        <family val="3"/>
        <charset val="134"/>
      </rPr>
      <t>幢</t>
    </r>
    <r>
      <rPr>
        <sz val="9"/>
        <rFont val="Arial"/>
        <family val="2"/>
      </rPr>
      <t>-2-2046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</si>
  <si>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2047</t>
    </r>
  </si>
  <si>
    <r>
      <rPr>
        <sz val="9"/>
        <rFont val="Arial"/>
        <family val="2"/>
      </rPr>
      <t>31</t>
    </r>
    <r>
      <rPr>
        <sz val="9"/>
        <rFont val="宋体"/>
        <family val="3"/>
        <charset val="134"/>
      </rPr>
      <t>幢</t>
    </r>
    <r>
      <rPr>
        <sz val="9"/>
        <rFont val="Arial"/>
        <family val="2"/>
      </rPr>
      <t>-2-2048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</si>
  <si>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2049</t>
    </r>
  </si>
  <si>
    <r>
      <rPr>
        <sz val="9"/>
        <rFont val="Arial"/>
        <family val="2"/>
      </rPr>
      <t>31</t>
    </r>
    <r>
      <rPr>
        <sz val="9"/>
        <rFont val="宋体"/>
        <family val="3"/>
        <charset val="134"/>
      </rPr>
      <t>幢</t>
    </r>
    <r>
      <rPr>
        <sz val="9"/>
        <rFont val="Arial"/>
        <family val="2"/>
      </rPr>
      <t>-2-2050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</si>
  <si>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2051</t>
    </r>
  </si>
  <si>
    <r>
      <rPr>
        <sz val="9"/>
        <rFont val="Arial"/>
        <family val="2"/>
      </rPr>
      <t>31</t>
    </r>
    <r>
      <rPr>
        <sz val="9"/>
        <rFont val="宋体"/>
        <family val="3"/>
        <charset val="134"/>
      </rPr>
      <t>幢</t>
    </r>
    <r>
      <rPr>
        <sz val="9"/>
        <rFont val="Arial"/>
        <family val="2"/>
      </rPr>
      <t>-2-2054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</si>
  <si>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2055</t>
    </r>
  </si>
  <si>
    <r>
      <rPr>
        <sz val="9"/>
        <rFont val="Arial"/>
        <family val="2"/>
      </rPr>
      <t>31</t>
    </r>
    <r>
      <rPr>
        <sz val="9"/>
        <rFont val="宋体"/>
        <family val="3"/>
        <charset val="134"/>
      </rPr>
      <t>幢</t>
    </r>
    <r>
      <rPr>
        <sz val="9"/>
        <rFont val="Arial"/>
        <family val="2"/>
      </rPr>
      <t>-2-2056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</si>
  <si>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2057</t>
    </r>
  </si>
  <si>
    <r>
      <rPr>
        <sz val="9"/>
        <rFont val="Arial"/>
        <family val="2"/>
      </rPr>
      <t>31</t>
    </r>
    <r>
      <rPr>
        <sz val="9"/>
        <rFont val="宋体"/>
        <family val="3"/>
        <charset val="134"/>
      </rPr>
      <t>幢</t>
    </r>
    <r>
      <rPr>
        <sz val="9"/>
        <rFont val="Arial"/>
        <family val="2"/>
      </rPr>
      <t>-2-2058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</si>
  <si>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2061</t>
    </r>
  </si>
  <si>
    <r>
      <rPr>
        <sz val="9"/>
        <rFont val="Arial"/>
        <family val="2"/>
      </rPr>
      <t>31</t>
    </r>
    <r>
      <rPr>
        <sz val="9"/>
        <rFont val="宋体"/>
        <family val="3"/>
        <charset val="134"/>
      </rPr>
      <t>幢</t>
    </r>
    <r>
      <rPr>
        <sz val="9"/>
        <rFont val="Arial"/>
        <family val="2"/>
      </rPr>
      <t>-2-2064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</si>
  <si>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2067</t>
    </r>
  </si>
  <si>
    <r>
      <rPr>
        <sz val="9"/>
        <rFont val="Arial"/>
        <family val="2"/>
      </rPr>
      <t>31</t>
    </r>
    <r>
      <rPr>
        <sz val="9"/>
        <rFont val="宋体"/>
        <family val="3"/>
        <charset val="134"/>
      </rPr>
      <t>幢</t>
    </r>
    <r>
      <rPr>
        <sz val="9"/>
        <rFont val="Arial"/>
        <family val="2"/>
      </rPr>
      <t>-2-2068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</si>
  <si>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2071</t>
    </r>
  </si>
  <si>
    <r>
      <rPr>
        <sz val="9"/>
        <rFont val="Arial"/>
        <family val="2"/>
      </rPr>
      <t>31</t>
    </r>
    <r>
      <rPr>
        <sz val="9"/>
        <rFont val="宋体"/>
        <family val="3"/>
        <charset val="134"/>
      </rPr>
      <t>幢</t>
    </r>
    <r>
      <rPr>
        <sz val="9"/>
        <rFont val="Arial"/>
        <family val="2"/>
      </rPr>
      <t>-2-2072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</si>
  <si>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2073</t>
    </r>
  </si>
  <si>
    <r>
      <rPr>
        <sz val="9"/>
        <rFont val="Arial"/>
        <family val="2"/>
      </rPr>
      <t>31</t>
    </r>
    <r>
      <rPr>
        <sz val="9"/>
        <rFont val="宋体"/>
        <family val="3"/>
        <charset val="134"/>
      </rPr>
      <t>幢</t>
    </r>
    <r>
      <rPr>
        <sz val="9"/>
        <rFont val="Arial"/>
        <family val="2"/>
      </rPr>
      <t>-2-2074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</si>
  <si>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2075</t>
    </r>
  </si>
  <si>
    <r>
      <rPr>
        <sz val="9"/>
        <rFont val="Arial"/>
        <family val="2"/>
      </rPr>
      <t>31</t>
    </r>
    <r>
      <rPr>
        <sz val="9"/>
        <rFont val="宋体"/>
        <family val="3"/>
        <charset val="134"/>
      </rPr>
      <t>幢</t>
    </r>
    <r>
      <rPr>
        <sz val="9"/>
        <rFont val="Arial"/>
        <family val="2"/>
      </rPr>
      <t>-2-2076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</si>
  <si>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2077</t>
    </r>
  </si>
  <si>
    <r>
      <rPr>
        <sz val="9"/>
        <rFont val="Arial"/>
        <family val="2"/>
      </rPr>
      <t>31</t>
    </r>
    <r>
      <rPr>
        <sz val="9"/>
        <rFont val="宋体"/>
        <family val="3"/>
        <charset val="134"/>
      </rPr>
      <t>幢</t>
    </r>
    <r>
      <rPr>
        <sz val="9"/>
        <rFont val="Arial"/>
        <family val="2"/>
      </rPr>
      <t>-2-2078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</si>
  <si>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2079</t>
    </r>
  </si>
  <si>
    <r>
      <rPr>
        <sz val="9"/>
        <rFont val="Arial"/>
        <family val="2"/>
      </rPr>
      <t>31</t>
    </r>
    <r>
      <rPr>
        <sz val="9"/>
        <rFont val="宋体"/>
        <family val="3"/>
        <charset val="134"/>
      </rPr>
      <t>幢</t>
    </r>
    <r>
      <rPr>
        <sz val="9"/>
        <rFont val="Arial"/>
        <family val="2"/>
      </rPr>
      <t>-2-2080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</si>
  <si>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2081</t>
    </r>
  </si>
  <si>
    <r>
      <rPr>
        <sz val="9"/>
        <rFont val="Arial"/>
        <family val="2"/>
      </rPr>
      <t>31</t>
    </r>
    <r>
      <rPr>
        <sz val="9"/>
        <rFont val="宋体"/>
        <family val="3"/>
        <charset val="134"/>
      </rPr>
      <t>幢</t>
    </r>
    <r>
      <rPr>
        <sz val="9"/>
        <rFont val="Arial"/>
        <family val="2"/>
      </rPr>
      <t>-2-2082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</si>
  <si>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2083</t>
    </r>
  </si>
  <si>
    <r>
      <rPr>
        <sz val="9"/>
        <rFont val="Arial"/>
        <family val="2"/>
      </rPr>
      <t>31</t>
    </r>
    <r>
      <rPr>
        <sz val="9"/>
        <rFont val="宋体"/>
        <family val="3"/>
        <charset val="134"/>
      </rPr>
      <t>幢</t>
    </r>
    <r>
      <rPr>
        <sz val="9"/>
        <rFont val="Arial"/>
        <family val="2"/>
      </rPr>
      <t>-2-2084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</si>
  <si>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2085</t>
    </r>
  </si>
  <si>
    <r>
      <rPr>
        <sz val="9"/>
        <rFont val="Arial"/>
        <family val="2"/>
      </rPr>
      <t>31</t>
    </r>
    <r>
      <rPr>
        <sz val="9"/>
        <rFont val="宋体"/>
        <family val="3"/>
        <charset val="134"/>
      </rPr>
      <t>幢</t>
    </r>
    <r>
      <rPr>
        <sz val="9"/>
        <rFont val="Arial"/>
        <family val="2"/>
      </rPr>
      <t>-2-2086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</si>
  <si>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2087</t>
    </r>
  </si>
  <si>
    <r>
      <rPr>
        <sz val="9"/>
        <rFont val="Arial"/>
        <family val="2"/>
      </rPr>
      <t>31</t>
    </r>
    <r>
      <rPr>
        <sz val="9"/>
        <rFont val="宋体"/>
        <family val="3"/>
        <charset val="134"/>
      </rPr>
      <t>幢</t>
    </r>
    <r>
      <rPr>
        <sz val="9"/>
        <rFont val="Arial"/>
        <family val="2"/>
      </rPr>
      <t>-2-2088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</si>
  <si>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2089</t>
    </r>
  </si>
  <si>
    <r>
      <rPr>
        <sz val="9"/>
        <rFont val="Arial"/>
        <family val="2"/>
      </rPr>
      <t>31</t>
    </r>
    <r>
      <rPr>
        <sz val="9"/>
        <rFont val="宋体"/>
        <family val="3"/>
        <charset val="134"/>
      </rPr>
      <t>幢</t>
    </r>
    <r>
      <rPr>
        <sz val="9"/>
        <rFont val="Arial"/>
        <family val="2"/>
      </rPr>
      <t>-2-2090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</si>
  <si>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2091</t>
    </r>
  </si>
  <si>
    <r>
      <rPr>
        <sz val="9"/>
        <rFont val="Arial"/>
        <family val="2"/>
      </rPr>
      <t>31</t>
    </r>
    <r>
      <rPr>
        <sz val="9"/>
        <rFont val="宋体"/>
        <family val="3"/>
        <charset val="134"/>
      </rPr>
      <t>幢</t>
    </r>
    <r>
      <rPr>
        <sz val="9"/>
        <rFont val="Arial"/>
        <family val="2"/>
      </rPr>
      <t>-2-2092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</si>
  <si>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2093</t>
    </r>
  </si>
  <si>
    <r>
      <rPr>
        <sz val="9"/>
        <rFont val="Arial"/>
        <family val="2"/>
      </rPr>
      <t>31</t>
    </r>
    <r>
      <rPr>
        <sz val="9"/>
        <rFont val="宋体"/>
        <family val="3"/>
        <charset val="134"/>
      </rPr>
      <t>幢</t>
    </r>
    <r>
      <rPr>
        <sz val="9"/>
        <rFont val="Arial"/>
        <family val="2"/>
      </rPr>
      <t>-2-2094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</si>
  <si>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2095</t>
    </r>
  </si>
  <si>
    <r>
      <rPr>
        <sz val="9"/>
        <rFont val="Arial"/>
        <family val="2"/>
      </rPr>
      <t>31</t>
    </r>
    <r>
      <rPr>
        <sz val="9"/>
        <rFont val="宋体"/>
        <family val="3"/>
        <charset val="134"/>
      </rPr>
      <t>幢</t>
    </r>
    <r>
      <rPr>
        <sz val="9"/>
        <rFont val="Arial"/>
        <family val="2"/>
      </rPr>
      <t>-2-2096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</si>
  <si>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2097</t>
    </r>
  </si>
  <si>
    <r>
      <rPr>
        <sz val="9"/>
        <rFont val="Arial"/>
        <family val="2"/>
      </rPr>
      <t>31</t>
    </r>
    <r>
      <rPr>
        <sz val="9"/>
        <rFont val="宋体"/>
        <family val="3"/>
        <charset val="134"/>
      </rPr>
      <t>幢</t>
    </r>
    <r>
      <rPr>
        <sz val="9"/>
        <rFont val="Arial"/>
        <family val="2"/>
      </rPr>
      <t>-2-2098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</si>
  <si>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2099</t>
    </r>
  </si>
  <si>
    <r>
      <rPr>
        <sz val="9"/>
        <rFont val="Arial"/>
        <family val="2"/>
      </rPr>
      <t>31</t>
    </r>
    <r>
      <rPr>
        <sz val="9"/>
        <rFont val="宋体"/>
        <family val="3"/>
        <charset val="134"/>
      </rPr>
      <t>幢</t>
    </r>
    <r>
      <rPr>
        <sz val="9"/>
        <rFont val="Arial"/>
        <family val="2"/>
      </rPr>
      <t>-2-2100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</si>
  <si>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2101</t>
    </r>
  </si>
  <si>
    <r>
      <rPr>
        <sz val="9"/>
        <rFont val="Arial"/>
        <family val="2"/>
      </rPr>
      <t>31</t>
    </r>
    <r>
      <rPr>
        <sz val="9"/>
        <rFont val="宋体"/>
        <family val="3"/>
        <charset val="134"/>
      </rPr>
      <t>幢</t>
    </r>
    <r>
      <rPr>
        <sz val="9"/>
        <rFont val="Arial"/>
        <family val="2"/>
      </rPr>
      <t>-2-2102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</si>
  <si>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2103</t>
    </r>
  </si>
  <si>
    <r>
      <rPr>
        <sz val="9"/>
        <rFont val="Arial"/>
        <family val="2"/>
      </rPr>
      <t>31</t>
    </r>
    <r>
      <rPr>
        <sz val="9"/>
        <rFont val="宋体"/>
        <family val="3"/>
        <charset val="134"/>
      </rPr>
      <t>幢</t>
    </r>
    <r>
      <rPr>
        <sz val="9"/>
        <rFont val="Arial"/>
        <family val="2"/>
      </rPr>
      <t>-2-2104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</si>
  <si>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2105</t>
    </r>
  </si>
  <si>
    <r>
      <rPr>
        <sz val="9"/>
        <rFont val="Arial"/>
        <family val="2"/>
      </rPr>
      <t>31</t>
    </r>
    <r>
      <rPr>
        <sz val="9"/>
        <rFont val="宋体"/>
        <family val="3"/>
        <charset val="134"/>
      </rPr>
      <t>幢</t>
    </r>
    <r>
      <rPr>
        <sz val="9"/>
        <rFont val="Arial"/>
        <family val="2"/>
      </rPr>
      <t>-2-2106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</si>
  <si>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2107</t>
    </r>
  </si>
  <si>
    <r>
      <rPr>
        <sz val="9"/>
        <rFont val="Arial"/>
        <family val="2"/>
      </rPr>
      <t>31</t>
    </r>
    <r>
      <rPr>
        <sz val="9"/>
        <rFont val="宋体"/>
        <family val="3"/>
        <charset val="134"/>
      </rPr>
      <t>幢</t>
    </r>
    <r>
      <rPr>
        <sz val="9"/>
        <rFont val="Arial"/>
        <family val="2"/>
      </rPr>
      <t>-2-2108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</si>
  <si>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2109</t>
    </r>
  </si>
  <si>
    <r>
      <rPr>
        <sz val="9"/>
        <rFont val="Arial"/>
        <family val="2"/>
      </rPr>
      <t>31</t>
    </r>
    <r>
      <rPr>
        <sz val="9"/>
        <rFont val="宋体"/>
        <family val="3"/>
        <charset val="134"/>
      </rPr>
      <t>幢</t>
    </r>
    <r>
      <rPr>
        <sz val="9"/>
        <rFont val="Arial"/>
        <family val="2"/>
      </rPr>
      <t>-2-2111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</si>
  <si>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2112</t>
    </r>
  </si>
  <si>
    <r>
      <rPr>
        <sz val="9"/>
        <rFont val="Arial"/>
        <family val="2"/>
      </rPr>
      <t>31</t>
    </r>
    <r>
      <rPr>
        <sz val="9"/>
        <rFont val="宋体"/>
        <family val="3"/>
        <charset val="134"/>
      </rPr>
      <t>幢</t>
    </r>
    <r>
      <rPr>
        <sz val="9"/>
        <rFont val="Arial"/>
        <family val="2"/>
      </rPr>
      <t>-2-2113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</si>
  <si>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2114</t>
    </r>
  </si>
  <si>
    <r>
      <rPr>
        <sz val="9"/>
        <rFont val="Arial"/>
        <family val="2"/>
      </rPr>
      <t>31</t>
    </r>
    <r>
      <rPr>
        <sz val="9"/>
        <rFont val="宋体"/>
        <family val="3"/>
        <charset val="134"/>
      </rPr>
      <t>幢</t>
    </r>
    <r>
      <rPr>
        <sz val="9"/>
        <rFont val="Arial"/>
        <family val="2"/>
      </rPr>
      <t>-2-2115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</si>
  <si>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2120</t>
    </r>
  </si>
  <si>
    <r>
      <rPr>
        <sz val="9"/>
        <rFont val="Arial"/>
        <family val="2"/>
      </rPr>
      <t>31</t>
    </r>
    <r>
      <rPr>
        <sz val="9"/>
        <rFont val="宋体"/>
        <family val="3"/>
        <charset val="134"/>
      </rPr>
      <t>幢</t>
    </r>
    <r>
      <rPr>
        <sz val="9"/>
        <rFont val="Arial"/>
        <family val="2"/>
      </rPr>
      <t>-2-2121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</si>
  <si>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2122</t>
    </r>
  </si>
  <si>
    <r>
      <rPr>
        <sz val="9"/>
        <rFont val="Arial"/>
        <family val="2"/>
      </rPr>
      <t>31</t>
    </r>
    <r>
      <rPr>
        <sz val="9"/>
        <rFont val="宋体"/>
        <family val="3"/>
        <charset val="134"/>
      </rPr>
      <t>幢</t>
    </r>
    <r>
      <rPr>
        <sz val="9"/>
        <rFont val="Arial"/>
        <family val="2"/>
      </rPr>
      <t>-2-2123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</si>
  <si>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2124</t>
    </r>
  </si>
  <si>
    <r>
      <rPr>
        <sz val="9"/>
        <rFont val="Arial"/>
        <family val="2"/>
      </rPr>
      <t>31</t>
    </r>
    <r>
      <rPr>
        <sz val="9"/>
        <rFont val="宋体"/>
        <family val="3"/>
        <charset val="134"/>
      </rPr>
      <t>幢</t>
    </r>
    <r>
      <rPr>
        <sz val="9"/>
        <rFont val="Arial"/>
        <family val="2"/>
      </rPr>
      <t>-2-2125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</si>
  <si>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2128</t>
    </r>
  </si>
  <si>
    <r>
      <rPr>
        <sz val="9"/>
        <rFont val="Arial"/>
        <family val="2"/>
      </rPr>
      <t>31</t>
    </r>
    <r>
      <rPr>
        <sz val="9"/>
        <rFont val="宋体"/>
        <family val="3"/>
        <charset val="134"/>
      </rPr>
      <t>幢</t>
    </r>
    <r>
      <rPr>
        <sz val="9"/>
        <rFont val="Arial"/>
        <family val="2"/>
      </rPr>
      <t>-2-2129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</si>
  <si>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2130</t>
    </r>
  </si>
  <si>
    <r>
      <rPr>
        <sz val="9"/>
        <rFont val="Arial"/>
        <family val="2"/>
      </rPr>
      <t>31</t>
    </r>
    <r>
      <rPr>
        <sz val="9"/>
        <rFont val="宋体"/>
        <family val="3"/>
        <charset val="134"/>
      </rPr>
      <t>幢</t>
    </r>
    <r>
      <rPr>
        <sz val="9"/>
        <rFont val="Arial"/>
        <family val="2"/>
      </rPr>
      <t>-2-2131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</si>
  <si>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2134</t>
    </r>
  </si>
  <si>
    <r>
      <rPr>
        <sz val="9"/>
        <rFont val="Arial"/>
        <family val="2"/>
      </rPr>
      <t>31</t>
    </r>
    <r>
      <rPr>
        <sz val="9"/>
        <rFont val="宋体"/>
        <family val="3"/>
        <charset val="134"/>
      </rPr>
      <t>幢</t>
    </r>
    <r>
      <rPr>
        <sz val="9"/>
        <rFont val="Arial"/>
        <family val="2"/>
      </rPr>
      <t>-2-2135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</si>
  <si>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2144</t>
    </r>
  </si>
  <si>
    <r>
      <rPr>
        <sz val="9"/>
        <rFont val="Arial"/>
        <family val="2"/>
      </rPr>
      <t>31</t>
    </r>
    <r>
      <rPr>
        <sz val="9"/>
        <rFont val="宋体"/>
        <family val="3"/>
        <charset val="134"/>
      </rPr>
      <t>幢</t>
    </r>
    <r>
      <rPr>
        <sz val="9"/>
        <rFont val="Arial"/>
        <family val="2"/>
      </rPr>
      <t>-2-2145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</si>
  <si>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2146</t>
    </r>
  </si>
  <si>
    <r>
      <rPr>
        <sz val="9"/>
        <rFont val="Arial"/>
        <family val="2"/>
      </rPr>
      <t>31</t>
    </r>
    <r>
      <rPr>
        <sz val="9"/>
        <rFont val="宋体"/>
        <family val="3"/>
        <charset val="134"/>
      </rPr>
      <t>幢</t>
    </r>
    <r>
      <rPr>
        <sz val="9"/>
        <rFont val="Arial"/>
        <family val="2"/>
      </rPr>
      <t>-2-2147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</si>
  <si>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2148</t>
    </r>
  </si>
  <si>
    <r>
      <rPr>
        <sz val="9"/>
        <rFont val="Arial"/>
        <family val="2"/>
      </rPr>
      <t>31</t>
    </r>
    <r>
      <rPr>
        <sz val="9"/>
        <rFont val="宋体"/>
        <family val="3"/>
        <charset val="134"/>
      </rPr>
      <t>幢</t>
    </r>
    <r>
      <rPr>
        <sz val="9"/>
        <rFont val="Arial"/>
        <family val="2"/>
      </rPr>
      <t>-2-2149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</si>
  <si>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2150</t>
    </r>
  </si>
  <si>
    <r>
      <rPr>
        <sz val="9"/>
        <rFont val="Arial"/>
        <family val="2"/>
      </rPr>
      <t>31</t>
    </r>
    <r>
      <rPr>
        <sz val="9"/>
        <rFont val="宋体"/>
        <family val="3"/>
        <charset val="134"/>
      </rPr>
      <t>幢</t>
    </r>
    <r>
      <rPr>
        <sz val="9"/>
        <rFont val="Arial"/>
        <family val="2"/>
      </rPr>
      <t>-2-2151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</si>
  <si>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2152</t>
    </r>
  </si>
  <si>
    <r>
      <rPr>
        <sz val="9"/>
        <rFont val="Arial"/>
        <family val="2"/>
      </rPr>
      <t>31</t>
    </r>
    <r>
      <rPr>
        <sz val="9"/>
        <rFont val="宋体"/>
        <family val="3"/>
        <charset val="134"/>
      </rPr>
      <t>幢</t>
    </r>
    <r>
      <rPr>
        <sz val="9"/>
        <rFont val="Arial"/>
        <family val="2"/>
      </rPr>
      <t>-2-2153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</si>
  <si>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2154</t>
    </r>
  </si>
  <si>
    <r>
      <rPr>
        <sz val="9"/>
        <rFont val="Arial"/>
        <family val="2"/>
      </rPr>
      <t>31</t>
    </r>
    <r>
      <rPr>
        <sz val="9"/>
        <rFont val="宋体"/>
        <family val="3"/>
        <charset val="134"/>
      </rPr>
      <t>幢</t>
    </r>
    <r>
      <rPr>
        <sz val="9"/>
        <rFont val="Arial"/>
        <family val="2"/>
      </rPr>
      <t>-2-2155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</si>
  <si>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2156</t>
    </r>
  </si>
  <si>
    <r>
      <rPr>
        <sz val="9"/>
        <rFont val="Arial"/>
        <family val="2"/>
      </rPr>
      <t>31</t>
    </r>
    <r>
      <rPr>
        <sz val="9"/>
        <rFont val="宋体"/>
        <family val="3"/>
        <charset val="134"/>
      </rPr>
      <t>幢</t>
    </r>
    <r>
      <rPr>
        <sz val="9"/>
        <rFont val="Arial"/>
        <family val="2"/>
      </rPr>
      <t>-2-2157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</si>
  <si>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2158</t>
    </r>
  </si>
  <si>
    <r>
      <rPr>
        <sz val="9"/>
        <rFont val="Arial"/>
        <family val="2"/>
      </rPr>
      <t>31</t>
    </r>
    <r>
      <rPr>
        <sz val="9"/>
        <rFont val="宋体"/>
        <family val="3"/>
        <charset val="134"/>
      </rPr>
      <t>幢</t>
    </r>
    <r>
      <rPr>
        <sz val="9"/>
        <rFont val="Arial"/>
        <family val="2"/>
      </rPr>
      <t>-2-2161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</si>
  <si>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2162</t>
    </r>
  </si>
  <si>
    <r>
      <rPr>
        <sz val="9"/>
        <rFont val="Arial"/>
        <family val="2"/>
      </rPr>
      <t>31</t>
    </r>
    <r>
      <rPr>
        <sz val="9"/>
        <rFont val="宋体"/>
        <family val="3"/>
        <charset val="134"/>
      </rPr>
      <t>幢</t>
    </r>
    <r>
      <rPr>
        <sz val="9"/>
        <rFont val="Arial"/>
        <family val="2"/>
      </rPr>
      <t>-2-2163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</si>
  <si>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2165</t>
    </r>
  </si>
  <si>
    <r>
      <rPr>
        <sz val="9"/>
        <rFont val="Arial"/>
        <family val="2"/>
      </rPr>
      <t>31</t>
    </r>
    <r>
      <rPr>
        <sz val="9"/>
        <rFont val="宋体"/>
        <family val="3"/>
        <charset val="134"/>
      </rPr>
      <t>幢</t>
    </r>
    <r>
      <rPr>
        <sz val="9"/>
        <rFont val="Arial"/>
        <family val="2"/>
      </rPr>
      <t>-2-2166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</si>
  <si>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2167</t>
    </r>
  </si>
  <si>
    <r>
      <rPr>
        <sz val="9"/>
        <rFont val="Arial"/>
        <family val="2"/>
      </rPr>
      <t>31</t>
    </r>
    <r>
      <rPr>
        <sz val="9"/>
        <rFont val="宋体"/>
        <family val="3"/>
        <charset val="134"/>
      </rPr>
      <t>幢</t>
    </r>
    <r>
      <rPr>
        <sz val="9"/>
        <rFont val="Arial"/>
        <family val="2"/>
      </rPr>
      <t>-2-2168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</si>
  <si>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2169</t>
    </r>
  </si>
  <si>
    <r>
      <rPr>
        <sz val="9"/>
        <rFont val="Arial"/>
        <family val="2"/>
      </rPr>
      <t>31</t>
    </r>
    <r>
      <rPr>
        <sz val="9"/>
        <rFont val="宋体"/>
        <family val="3"/>
        <charset val="134"/>
      </rPr>
      <t>幢</t>
    </r>
    <r>
      <rPr>
        <sz val="9"/>
        <rFont val="Arial"/>
        <family val="2"/>
      </rPr>
      <t>-2-2170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</si>
  <si>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2171</t>
    </r>
  </si>
  <si>
    <r>
      <rPr>
        <sz val="9"/>
        <rFont val="Arial"/>
        <family val="2"/>
      </rPr>
      <t>31</t>
    </r>
    <r>
      <rPr>
        <sz val="9"/>
        <rFont val="宋体"/>
        <family val="3"/>
        <charset val="134"/>
      </rPr>
      <t>幢</t>
    </r>
    <r>
      <rPr>
        <sz val="9"/>
        <rFont val="Arial"/>
        <family val="2"/>
      </rPr>
      <t>-2-2172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</si>
  <si>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2173</t>
    </r>
  </si>
  <si>
    <r>
      <rPr>
        <sz val="9"/>
        <rFont val="Arial"/>
        <family val="2"/>
      </rPr>
      <t>31</t>
    </r>
    <r>
      <rPr>
        <sz val="9"/>
        <rFont val="宋体"/>
        <family val="3"/>
        <charset val="134"/>
      </rPr>
      <t>幢</t>
    </r>
    <r>
      <rPr>
        <sz val="9"/>
        <rFont val="Arial"/>
        <family val="2"/>
      </rPr>
      <t>-2-2174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</si>
  <si>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2175</t>
    </r>
  </si>
  <si>
    <r>
      <rPr>
        <sz val="9"/>
        <rFont val="Arial"/>
        <family val="2"/>
      </rPr>
      <t>31</t>
    </r>
    <r>
      <rPr>
        <sz val="9"/>
        <rFont val="宋体"/>
        <family val="3"/>
        <charset val="134"/>
      </rPr>
      <t>幢</t>
    </r>
    <r>
      <rPr>
        <sz val="9"/>
        <rFont val="Arial"/>
        <family val="2"/>
      </rPr>
      <t>-2-2176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</si>
  <si>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2177</t>
    </r>
  </si>
  <si>
    <r>
      <rPr>
        <sz val="9"/>
        <rFont val="Arial"/>
        <family val="2"/>
      </rPr>
      <t>31</t>
    </r>
    <r>
      <rPr>
        <sz val="9"/>
        <rFont val="宋体"/>
        <family val="3"/>
        <charset val="134"/>
      </rPr>
      <t>幢</t>
    </r>
    <r>
      <rPr>
        <sz val="9"/>
        <rFont val="Arial"/>
        <family val="2"/>
      </rPr>
      <t>-2-2178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</si>
  <si>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2179</t>
    </r>
  </si>
  <si>
    <r>
      <rPr>
        <sz val="9"/>
        <rFont val="Arial"/>
        <family val="2"/>
      </rPr>
      <t>31</t>
    </r>
    <r>
      <rPr>
        <sz val="9"/>
        <rFont val="宋体"/>
        <family val="3"/>
        <charset val="134"/>
      </rPr>
      <t>幢</t>
    </r>
    <r>
      <rPr>
        <sz val="9"/>
        <rFont val="Arial"/>
        <family val="2"/>
      </rPr>
      <t>-2-2180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</si>
  <si>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2182</t>
    </r>
  </si>
  <si>
    <r>
      <rPr>
        <sz val="9"/>
        <rFont val="Arial"/>
        <family val="2"/>
      </rPr>
      <t>31</t>
    </r>
    <r>
      <rPr>
        <sz val="9"/>
        <rFont val="宋体"/>
        <family val="3"/>
        <charset val="134"/>
      </rPr>
      <t>幢</t>
    </r>
    <r>
      <rPr>
        <sz val="9"/>
        <rFont val="Arial"/>
        <family val="2"/>
      </rPr>
      <t>-2-2183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</si>
  <si>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2184</t>
    </r>
  </si>
  <si>
    <r>
      <rPr>
        <sz val="9"/>
        <rFont val="Arial"/>
        <family val="2"/>
      </rPr>
      <t>31</t>
    </r>
    <r>
      <rPr>
        <sz val="9"/>
        <rFont val="宋体"/>
        <family val="3"/>
        <charset val="134"/>
      </rPr>
      <t>幢</t>
    </r>
    <r>
      <rPr>
        <sz val="9"/>
        <rFont val="Arial"/>
        <family val="2"/>
      </rPr>
      <t>-2-2185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</si>
  <si>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2186</t>
    </r>
  </si>
  <si>
    <r>
      <rPr>
        <sz val="9"/>
        <rFont val="Arial"/>
        <family val="2"/>
      </rPr>
      <t>31</t>
    </r>
    <r>
      <rPr>
        <sz val="9"/>
        <rFont val="宋体"/>
        <family val="3"/>
        <charset val="134"/>
      </rPr>
      <t>幢</t>
    </r>
    <r>
      <rPr>
        <sz val="9"/>
        <rFont val="Arial"/>
        <family val="2"/>
      </rPr>
      <t>-2-2187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</si>
  <si>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2191</t>
    </r>
  </si>
  <si>
    <r>
      <rPr>
        <sz val="9"/>
        <rFont val="Arial"/>
        <family val="2"/>
      </rPr>
      <t>31</t>
    </r>
    <r>
      <rPr>
        <sz val="9"/>
        <rFont val="宋体"/>
        <family val="3"/>
        <charset val="134"/>
      </rPr>
      <t>幢</t>
    </r>
    <r>
      <rPr>
        <sz val="9"/>
        <rFont val="Arial"/>
        <family val="2"/>
      </rPr>
      <t>-2-2192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</si>
  <si>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2193</t>
    </r>
  </si>
  <si>
    <r>
      <rPr>
        <sz val="9"/>
        <rFont val="Arial"/>
        <family val="2"/>
      </rPr>
      <t>31</t>
    </r>
    <r>
      <rPr>
        <sz val="9"/>
        <rFont val="宋体"/>
        <family val="3"/>
        <charset val="134"/>
      </rPr>
      <t>幢</t>
    </r>
    <r>
      <rPr>
        <sz val="9"/>
        <rFont val="Arial"/>
        <family val="2"/>
      </rPr>
      <t>-2-2194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</si>
  <si>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2195</t>
    </r>
  </si>
  <si>
    <r>
      <rPr>
        <sz val="9"/>
        <rFont val="Arial"/>
        <family val="2"/>
      </rPr>
      <t>31</t>
    </r>
    <r>
      <rPr>
        <sz val="9"/>
        <rFont val="宋体"/>
        <family val="3"/>
        <charset val="134"/>
      </rPr>
      <t>幢</t>
    </r>
    <r>
      <rPr>
        <sz val="9"/>
        <rFont val="Arial"/>
        <family val="2"/>
      </rPr>
      <t>-2-2196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</si>
  <si>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2197</t>
    </r>
  </si>
  <si>
    <r>
      <rPr>
        <sz val="9"/>
        <rFont val="Arial"/>
        <family val="2"/>
      </rPr>
      <t>31</t>
    </r>
    <r>
      <rPr>
        <sz val="9"/>
        <rFont val="宋体"/>
        <family val="3"/>
        <charset val="134"/>
      </rPr>
      <t>幢</t>
    </r>
    <r>
      <rPr>
        <sz val="9"/>
        <rFont val="Arial"/>
        <family val="2"/>
      </rPr>
      <t>-2-2198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</si>
  <si>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2199</t>
    </r>
  </si>
  <si>
    <r>
      <rPr>
        <sz val="9"/>
        <rFont val="Arial"/>
        <family val="2"/>
      </rPr>
      <t>31</t>
    </r>
    <r>
      <rPr>
        <sz val="9"/>
        <rFont val="宋体"/>
        <family val="3"/>
        <charset val="134"/>
      </rPr>
      <t>幢</t>
    </r>
    <r>
      <rPr>
        <sz val="9"/>
        <rFont val="Arial"/>
        <family val="2"/>
      </rPr>
      <t>-2-2200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</si>
  <si>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2201</t>
    </r>
  </si>
  <si>
    <r>
      <rPr>
        <sz val="9"/>
        <rFont val="Arial"/>
        <family val="2"/>
      </rPr>
      <t>31</t>
    </r>
    <r>
      <rPr>
        <sz val="9"/>
        <rFont val="宋体"/>
        <family val="3"/>
        <charset val="134"/>
      </rPr>
      <t>幢</t>
    </r>
    <r>
      <rPr>
        <sz val="9"/>
        <rFont val="Arial"/>
        <family val="2"/>
      </rPr>
      <t>-2-2202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</si>
  <si>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2203</t>
    </r>
  </si>
  <si>
    <r>
      <rPr>
        <sz val="9"/>
        <rFont val="Arial"/>
        <family val="2"/>
      </rPr>
      <t>31</t>
    </r>
    <r>
      <rPr>
        <sz val="9"/>
        <rFont val="宋体"/>
        <family val="3"/>
        <charset val="134"/>
      </rPr>
      <t>幢</t>
    </r>
    <r>
      <rPr>
        <sz val="9"/>
        <rFont val="Arial"/>
        <family val="2"/>
      </rPr>
      <t>-2-2204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</si>
  <si>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2205</t>
    </r>
  </si>
  <si>
    <r>
      <rPr>
        <sz val="9"/>
        <rFont val="Arial"/>
        <family val="2"/>
      </rPr>
      <t>31</t>
    </r>
    <r>
      <rPr>
        <sz val="9"/>
        <rFont val="宋体"/>
        <family val="3"/>
        <charset val="134"/>
      </rPr>
      <t>幢</t>
    </r>
    <r>
      <rPr>
        <sz val="9"/>
        <rFont val="Arial"/>
        <family val="2"/>
      </rPr>
      <t>-2-2206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</si>
  <si>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2207</t>
    </r>
  </si>
  <si>
    <r>
      <rPr>
        <sz val="9"/>
        <rFont val="Arial"/>
        <family val="2"/>
      </rPr>
      <t>31</t>
    </r>
    <r>
      <rPr>
        <sz val="9"/>
        <rFont val="宋体"/>
        <family val="3"/>
        <charset val="134"/>
      </rPr>
      <t>幢</t>
    </r>
    <r>
      <rPr>
        <sz val="9"/>
        <rFont val="Arial"/>
        <family val="2"/>
      </rPr>
      <t>-2-2208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</si>
  <si>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2209</t>
    </r>
  </si>
  <si>
    <r>
      <rPr>
        <sz val="9"/>
        <rFont val="Arial"/>
        <family val="2"/>
      </rPr>
      <t>31</t>
    </r>
    <r>
      <rPr>
        <sz val="9"/>
        <rFont val="宋体"/>
        <family val="3"/>
        <charset val="134"/>
      </rPr>
      <t>幢</t>
    </r>
    <r>
      <rPr>
        <sz val="9"/>
        <rFont val="Arial"/>
        <family val="2"/>
      </rPr>
      <t>-2-2210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</si>
  <si>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2212</t>
    </r>
  </si>
  <si>
    <r>
      <rPr>
        <sz val="9"/>
        <rFont val="Arial"/>
        <family val="2"/>
      </rPr>
      <t>31</t>
    </r>
    <r>
      <rPr>
        <sz val="9"/>
        <rFont val="宋体"/>
        <family val="3"/>
        <charset val="134"/>
      </rPr>
      <t>幢</t>
    </r>
    <r>
      <rPr>
        <sz val="9"/>
        <rFont val="Arial"/>
        <family val="2"/>
      </rPr>
      <t>-2-2213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</si>
  <si>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2214</t>
    </r>
  </si>
  <si>
    <r>
      <rPr>
        <sz val="9"/>
        <rFont val="Arial"/>
        <family val="2"/>
      </rPr>
      <t>31</t>
    </r>
    <r>
      <rPr>
        <sz val="9"/>
        <rFont val="宋体"/>
        <family val="3"/>
        <charset val="134"/>
      </rPr>
      <t>幢</t>
    </r>
    <r>
      <rPr>
        <sz val="9"/>
        <rFont val="Arial"/>
        <family val="2"/>
      </rPr>
      <t>-2-2215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</si>
  <si>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2216</t>
    </r>
  </si>
  <si>
    <r>
      <rPr>
        <sz val="9"/>
        <rFont val="Arial"/>
        <family val="2"/>
      </rPr>
      <t>31</t>
    </r>
    <r>
      <rPr>
        <sz val="9"/>
        <rFont val="宋体"/>
        <family val="3"/>
        <charset val="134"/>
      </rPr>
      <t>幢</t>
    </r>
    <r>
      <rPr>
        <sz val="9"/>
        <rFont val="Arial"/>
        <family val="2"/>
      </rPr>
      <t>-2-2217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</si>
  <si>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2218</t>
    </r>
  </si>
  <si>
    <r>
      <rPr>
        <sz val="9"/>
        <rFont val="Arial"/>
        <family val="2"/>
      </rPr>
      <t>31</t>
    </r>
    <r>
      <rPr>
        <sz val="9"/>
        <rFont val="宋体"/>
        <family val="3"/>
        <charset val="134"/>
      </rPr>
      <t>幢</t>
    </r>
    <r>
      <rPr>
        <sz val="9"/>
        <rFont val="Arial"/>
        <family val="2"/>
      </rPr>
      <t>-2-2219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</si>
  <si>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2220</t>
    </r>
  </si>
  <si>
    <r>
      <rPr>
        <sz val="9"/>
        <rFont val="Arial"/>
        <family val="2"/>
      </rPr>
      <t>31</t>
    </r>
    <r>
      <rPr>
        <sz val="9"/>
        <rFont val="宋体"/>
        <family val="3"/>
        <charset val="134"/>
      </rPr>
      <t>幢</t>
    </r>
    <r>
      <rPr>
        <sz val="9"/>
        <rFont val="Arial"/>
        <family val="2"/>
      </rPr>
      <t>-2-2221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</si>
  <si>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2222</t>
    </r>
  </si>
  <si>
    <r>
      <rPr>
        <sz val="9"/>
        <rFont val="Arial"/>
        <family val="2"/>
      </rPr>
      <t>31</t>
    </r>
    <r>
      <rPr>
        <sz val="9"/>
        <rFont val="宋体"/>
        <family val="3"/>
        <charset val="134"/>
      </rPr>
      <t>幢</t>
    </r>
    <r>
      <rPr>
        <sz val="9"/>
        <rFont val="Arial"/>
        <family val="2"/>
      </rPr>
      <t>-2-2223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</si>
  <si>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2224</t>
    </r>
  </si>
  <si>
    <r>
      <rPr>
        <sz val="9"/>
        <rFont val="Arial"/>
        <family val="2"/>
      </rPr>
      <t>31</t>
    </r>
    <r>
      <rPr>
        <sz val="9"/>
        <rFont val="宋体"/>
        <family val="3"/>
        <charset val="134"/>
      </rPr>
      <t>幢</t>
    </r>
    <r>
      <rPr>
        <sz val="9"/>
        <rFont val="Arial"/>
        <family val="2"/>
      </rPr>
      <t>-2-2225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</si>
  <si>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2226</t>
    </r>
  </si>
  <si>
    <r>
      <rPr>
        <sz val="9"/>
        <rFont val="Arial"/>
        <family val="2"/>
      </rPr>
      <t>31</t>
    </r>
    <r>
      <rPr>
        <sz val="9"/>
        <rFont val="宋体"/>
        <family val="3"/>
        <charset val="134"/>
      </rPr>
      <t>幢</t>
    </r>
    <r>
      <rPr>
        <sz val="9"/>
        <rFont val="Arial"/>
        <family val="2"/>
      </rPr>
      <t>-2-2227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</si>
  <si>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2228</t>
    </r>
  </si>
  <si>
    <r>
      <rPr>
        <sz val="9"/>
        <rFont val="Arial"/>
        <family val="2"/>
      </rPr>
      <t>31</t>
    </r>
    <r>
      <rPr>
        <sz val="9"/>
        <rFont val="宋体"/>
        <family val="3"/>
        <charset val="134"/>
      </rPr>
      <t>幢</t>
    </r>
    <r>
      <rPr>
        <sz val="9"/>
        <rFont val="Arial"/>
        <family val="2"/>
      </rPr>
      <t>-2-2229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</si>
  <si>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2231</t>
    </r>
  </si>
  <si>
    <r>
      <rPr>
        <sz val="9"/>
        <rFont val="Arial"/>
        <family val="2"/>
      </rPr>
      <t>31</t>
    </r>
    <r>
      <rPr>
        <sz val="9"/>
        <rFont val="宋体"/>
        <family val="3"/>
        <charset val="134"/>
      </rPr>
      <t>幢</t>
    </r>
    <r>
      <rPr>
        <sz val="9"/>
        <rFont val="Arial"/>
        <family val="2"/>
      </rPr>
      <t>-2-2232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</si>
  <si>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2233</t>
    </r>
  </si>
  <si>
    <r>
      <rPr>
        <sz val="9"/>
        <rFont val="Arial"/>
        <family val="2"/>
      </rPr>
      <t>31</t>
    </r>
    <r>
      <rPr>
        <sz val="9"/>
        <rFont val="宋体"/>
        <family val="3"/>
        <charset val="134"/>
      </rPr>
      <t>幢</t>
    </r>
    <r>
      <rPr>
        <sz val="9"/>
        <rFont val="Arial"/>
        <family val="2"/>
      </rPr>
      <t>-1-1001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</si>
  <si>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1002</t>
    </r>
  </si>
  <si>
    <r>
      <rPr>
        <sz val="9"/>
        <rFont val="Arial"/>
        <family val="2"/>
      </rPr>
      <t>31</t>
    </r>
    <r>
      <rPr>
        <sz val="9"/>
        <rFont val="宋体"/>
        <family val="3"/>
        <charset val="134"/>
      </rPr>
      <t>幢</t>
    </r>
    <r>
      <rPr>
        <sz val="9"/>
        <rFont val="Arial"/>
        <family val="2"/>
      </rPr>
      <t>-1-1005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</si>
  <si>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1007</t>
    </r>
  </si>
  <si>
    <r>
      <rPr>
        <sz val="9"/>
        <rFont val="Arial"/>
        <family val="2"/>
      </rPr>
      <t>31</t>
    </r>
    <r>
      <rPr>
        <sz val="9"/>
        <rFont val="宋体"/>
        <family val="3"/>
        <charset val="134"/>
      </rPr>
      <t>幢</t>
    </r>
    <r>
      <rPr>
        <sz val="9"/>
        <rFont val="Arial"/>
        <family val="2"/>
      </rPr>
      <t>-1-1013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</si>
  <si>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1015</t>
    </r>
  </si>
  <si>
    <r>
      <rPr>
        <sz val="9"/>
        <rFont val="Arial"/>
        <family val="2"/>
      </rPr>
      <t>31</t>
    </r>
    <r>
      <rPr>
        <sz val="9"/>
        <rFont val="宋体"/>
        <family val="3"/>
        <charset val="134"/>
      </rPr>
      <t>幢</t>
    </r>
    <r>
      <rPr>
        <sz val="9"/>
        <rFont val="Arial"/>
        <family val="2"/>
      </rPr>
      <t>-1-1016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</si>
  <si>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1017</t>
    </r>
  </si>
  <si>
    <r>
      <rPr>
        <sz val="9"/>
        <rFont val="Arial"/>
        <family val="2"/>
      </rPr>
      <t>31</t>
    </r>
    <r>
      <rPr>
        <sz val="9"/>
        <rFont val="宋体"/>
        <family val="3"/>
        <charset val="134"/>
      </rPr>
      <t>幢</t>
    </r>
    <r>
      <rPr>
        <sz val="9"/>
        <rFont val="Arial"/>
        <family val="2"/>
      </rPr>
      <t>-1-1022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</si>
  <si>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1025</t>
    </r>
  </si>
  <si>
    <r>
      <rPr>
        <sz val="9"/>
        <rFont val="Arial"/>
        <family val="2"/>
      </rPr>
      <t>31</t>
    </r>
    <r>
      <rPr>
        <sz val="9"/>
        <rFont val="宋体"/>
        <family val="3"/>
        <charset val="134"/>
      </rPr>
      <t>幢</t>
    </r>
    <r>
      <rPr>
        <sz val="9"/>
        <rFont val="Arial"/>
        <family val="2"/>
      </rPr>
      <t>-1-1028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</si>
  <si>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1031</t>
    </r>
  </si>
  <si>
    <r>
      <rPr>
        <sz val="9"/>
        <rFont val="Arial"/>
        <family val="2"/>
      </rPr>
      <t>31</t>
    </r>
    <r>
      <rPr>
        <sz val="9"/>
        <rFont val="宋体"/>
        <family val="3"/>
        <charset val="134"/>
      </rPr>
      <t>幢</t>
    </r>
    <r>
      <rPr>
        <sz val="9"/>
        <rFont val="Arial"/>
        <family val="2"/>
      </rPr>
      <t>-1-1037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</si>
  <si>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1038</t>
    </r>
  </si>
  <si>
    <r>
      <rPr>
        <sz val="9"/>
        <rFont val="Arial"/>
        <family val="2"/>
      </rPr>
      <t>31</t>
    </r>
    <r>
      <rPr>
        <sz val="9"/>
        <rFont val="宋体"/>
        <family val="3"/>
        <charset val="134"/>
      </rPr>
      <t>幢</t>
    </r>
    <r>
      <rPr>
        <sz val="9"/>
        <rFont val="Arial"/>
        <family val="2"/>
      </rPr>
      <t>-1-1039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</si>
  <si>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1040</t>
    </r>
  </si>
  <si>
    <r>
      <rPr>
        <sz val="9"/>
        <rFont val="Arial"/>
        <family val="2"/>
      </rPr>
      <t>31</t>
    </r>
    <r>
      <rPr>
        <sz val="9"/>
        <rFont val="宋体"/>
        <family val="3"/>
        <charset val="134"/>
      </rPr>
      <t>幢</t>
    </r>
    <r>
      <rPr>
        <sz val="9"/>
        <rFont val="Arial"/>
        <family val="2"/>
      </rPr>
      <t>-1-1041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</si>
  <si>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1042</t>
    </r>
  </si>
  <si>
    <r>
      <rPr>
        <sz val="9"/>
        <rFont val="Arial"/>
        <family val="2"/>
      </rPr>
      <t>31</t>
    </r>
    <r>
      <rPr>
        <sz val="9"/>
        <rFont val="宋体"/>
        <family val="3"/>
        <charset val="134"/>
      </rPr>
      <t>幢</t>
    </r>
    <r>
      <rPr>
        <sz val="9"/>
        <rFont val="Arial"/>
        <family val="2"/>
      </rPr>
      <t>-1-1043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</si>
  <si>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1044</t>
    </r>
  </si>
  <si>
    <r>
      <rPr>
        <sz val="9"/>
        <rFont val="Arial"/>
        <family val="2"/>
      </rPr>
      <t>31</t>
    </r>
    <r>
      <rPr>
        <sz val="9"/>
        <rFont val="宋体"/>
        <family val="3"/>
        <charset val="134"/>
      </rPr>
      <t>幢</t>
    </r>
    <r>
      <rPr>
        <sz val="9"/>
        <rFont val="Arial"/>
        <family val="2"/>
      </rPr>
      <t>-1-1045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</si>
  <si>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1046</t>
    </r>
  </si>
  <si>
    <r>
      <rPr>
        <sz val="9"/>
        <rFont val="Arial"/>
        <family val="2"/>
      </rPr>
      <t>31</t>
    </r>
    <r>
      <rPr>
        <sz val="9"/>
        <rFont val="宋体"/>
        <family val="3"/>
        <charset val="134"/>
      </rPr>
      <t>幢</t>
    </r>
    <r>
      <rPr>
        <sz val="9"/>
        <rFont val="Arial"/>
        <family val="2"/>
      </rPr>
      <t>-1-1047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</si>
  <si>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1048</t>
    </r>
  </si>
  <si>
    <r>
      <rPr>
        <sz val="9"/>
        <rFont val="Arial"/>
        <family val="2"/>
      </rPr>
      <t>31</t>
    </r>
    <r>
      <rPr>
        <sz val="9"/>
        <rFont val="宋体"/>
        <family val="3"/>
        <charset val="134"/>
      </rPr>
      <t>幢</t>
    </r>
    <r>
      <rPr>
        <sz val="9"/>
        <rFont val="Arial"/>
        <family val="2"/>
      </rPr>
      <t>-1-1049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</si>
  <si>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1052</t>
    </r>
  </si>
  <si>
    <r>
      <rPr>
        <sz val="9"/>
        <rFont val="Arial"/>
        <family val="2"/>
      </rPr>
      <t>31</t>
    </r>
    <r>
      <rPr>
        <sz val="9"/>
        <rFont val="宋体"/>
        <family val="3"/>
        <charset val="134"/>
      </rPr>
      <t>幢</t>
    </r>
    <r>
      <rPr>
        <sz val="9"/>
        <rFont val="Arial"/>
        <family val="2"/>
      </rPr>
      <t>-1-1053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</si>
  <si>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1054</t>
    </r>
  </si>
  <si>
    <r>
      <rPr>
        <sz val="9"/>
        <rFont val="Arial"/>
        <family val="2"/>
      </rPr>
      <t>31</t>
    </r>
    <r>
      <rPr>
        <sz val="9"/>
        <rFont val="宋体"/>
        <family val="3"/>
        <charset val="134"/>
      </rPr>
      <t>幢</t>
    </r>
    <r>
      <rPr>
        <sz val="9"/>
        <rFont val="Arial"/>
        <family val="2"/>
      </rPr>
      <t>-1-1055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</si>
  <si>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1056</t>
    </r>
  </si>
  <si>
    <r>
      <rPr>
        <sz val="9"/>
        <rFont val="Arial"/>
        <family val="2"/>
      </rPr>
      <t>31</t>
    </r>
    <r>
      <rPr>
        <sz val="9"/>
        <rFont val="宋体"/>
        <family val="3"/>
        <charset val="134"/>
      </rPr>
      <t>幢</t>
    </r>
    <r>
      <rPr>
        <sz val="9"/>
        <rFont val="Arial"/>
        <family val="2"/>
      </rPr>
      <t>-1-1057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</si>
  <si>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1058</t>
    </r>
  </si>
  <si>
    <r>
      <rPr>
        <sz val="9"/>
        <rFont val="Arial"/>
        <family val="2"/>
      </rPr>
      <t>31</t>
    </r>
    <r>
      <rPr>
        <sz val="9"/>
        <rFont val="宋体"/>
        <family val="3"/>
        <charset val="134"/>
      </rPr>
      <t>幢</t>
    </r>
    <r>
      <rPr>
        <sz val="9"/>
        <rFont val="Arial"/>
        <family val="2"/>
      </rPr>
      <t>-1-1059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</si>
  <si>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1065</t>
    </r>
  </si>
  <si>
    <r>
      <rPr>
        <sz val="9"/>
        <rFont val="Arial"/>
        <family val="2"/>
      </rPr>
      <t>31</t>
    </r>
    <r>
      <rPr>
        <sz val="9"/>
        <rFont val="宋体"/>
        <family val="3"/>
        <charset val="134"/>
      </rPr>
      <t>幢</t>
    </r>
    <r>
      <rPr>
        <sz val="9"/>
        <rFont val="Arial"/>
        <family val="2"/>
      </rPr>
      <t>-1-1072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</si>
  <si>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1073</t>
    </r>
  </si>
  <si>
    <r>
      <rPr>
        <sz val="9"/>
        <rFont val="Arial"/>
        <family val="2"/>
      </rPr>
      <t>31</t>
    </r>
    <r>
      <rPr>
        <sz val="9"/>
        <rFont val="宋体"/>
        <family val="3"/>
        <charset val="134"/>
      </rPr>
      <t>幢</t>
    </r>
    <r>
      <rPr>
        <sz val="9"/>
        <rFont val="Arial"/>
        <family val="2"/>
      </rPr>
      <t>-1-1074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</si>
  <si>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1075</t>
    </r>
  </si>
  <si>
    <r>
      <rPr>
        <sz val="9"/>
        <rFont val="Arial"/>
        <family val="2"/>
      </rPr>
      <t>31</t>
    </r>
    <r>
      <rPr>
        <sz val="9"/>
        <rFont val="宋体"/>
        <family val="3"/>
        <charset val="134"/>
      </rPr>
      <t>幢</t>
    </r>
    <r>
      <rPr>
        <sz val="9"/>
        <rFont val="Arial"/>
        <family val="2"/>
      </rPr>
      <t>-1-1076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</si>
  <si>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1077</t>
    </r>
  </si>
  <si>
    <r>
      <rPr>
        <sz val="9"/>
        <rFont val="Arial"/>
        <family val="2"/>
      </rPr>
      <t>31</t>
    </r>
    <r>
      <rPr>
        <sz val="9"/>
        <rFont val="宋体"/>
        <family val="3"/>
        <charset val="134"/>
      </rPr>
      <t>幢</t>
    </r>
    <r>
      <rPr>
        <sz val="9"/>
        <rFont val="Arial"/>
        <family val="2"/>
      </rPr>
      <t>-1-1078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</si>
  <si>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1079</t>
    </r>
  </si>
  <si>
    <r>
      <rPr>
        <sz val="9"/>
        <rFont val="Arial"/>
        <family val="2"/>
      </rPr>
      <t>31</t>
    </r>
    <r>
      <rPr>
        <sz val="9"/>
        <rFont val="宋体"/>
        <family val="3"/>
        <charset val="134"/>
      </rPr>
      <t>幢</t>
    </r>
    <r>
      <rPr>
        <sz val="9"/>
        <rFont val="Arial"/>
        <family val="2"/>
      </rPr>
      <t>-1-1080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</si>
  <si>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1081</t>
    </r>
  </si>
  <si>
    <r>
      <rPr>
        <sz val="9"/>
        <rFont val="Arial"/>
        <family val="2"/>
      </rPr>
      <t>31</t>
    </r>
    <r>
      <rPr>
        <sz val="9"/>
        <rFont val="宋体"/>
        <family val="3"/>
        <charset val="134"/>
      </rPr>
      <t>幢</t>
    </r>
    <r>
      <rPr>
        <sz val="9"/>
        <rFont val="Arial"/>
        <family val="2"/>
      </rPr>
      <t>-1-1084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</si>
  <si>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1085</t>
    </r>
  </si>
  <si>
    <r>
      <rPr>
        <sz val="9"/>
        <rFont val="Arial"/>
        <family val="2"/>
      </rPr>
      <t>31</t>
    </r>
    <r>
      <rPr>
        <sz val="9"/>
        <rFont val="宋体"/>
        <family val="3"/>
        <charset val="134"/>
      </rPr>
      <t>幢</t>
    </r>
    <r>
      <rPr>
        <sz val="9"/>
        <rFont val="Arial"/>
        <family val="2"/>
      </rPr>
      <t>-1-1086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</si>
  <si>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1095</t>
    </r>
  </si>
  <si>
    <r>
      <rPr>
        <sz val="9"/>
        <rFont val="Arial"/>
        <family val="2"/>
      </rPr>
      <t>31</t>
    </r>
    <r>
      <rPr>
        <sz val="9"/>
        <rFont val="宋体"/>
        <family val="3"/>
        <charset val="134"/>
      </rPr>
      <t>幢</t>
    </r>
    <r>
      <rPr>
        <sz val="9"/>
        <rFont val="Arial"/>
        <family val="2"/>
      </rPr>
      <t>-1-1096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</si>
  <si>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1101</t>
    </r>
  </si>
  <si>
    <r>
      <rPr>
        <sz val="9"/>
        <rFont val="Arial"/>
        <family val="2"/>
      </rPr>
      <t>31</t>
    </r>
    <r>
      <rPr>
        <sz val="9"/>
        <rFont val="宋体"/>
        <family val="3"/>
        <charset val="134"/>
      </rPr>
      <t>幢</t>
    </r>
    <r>
      <rPr>
        <sz val="9"/>
        <rFont val="Arial"/>
        <family val="2"/>
      </rPr>
      <t>-1-1102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</si>
  <si>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1103</t>
    </r>
  </si>
  <si>
    <r>
      <rPr>
        <sz val="9"/>
        <rFont val="Arial"/>
        <family val="2"/>
      </rPr>
      <t>31</t>
    </r>
    <r>
      <rPr>
        <sz val="9"/>
        <rFont val="宋体"/>
        <family val="3"/>
        <charset val="134"/>
      </rPr>
      <t>幢</t>
    </r>
    <r>
      <rPr>
        <sz val="9"/>
        <rFont val="Arial"/>
        <family val="2"/>
      </rPr>
      <t>-1-1104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</si>
  <si>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1105</t>
    </r>
  </si>
  <si>
    <r>
      <rPr>
        <sz val="9"/>
        <rFont val="Arial"/>
        <family val="2"/>
      </rPr>
      <t>31</t>
    </r>
    <r>
      <rPr>
        <sz val="9"/>
        <rFont val="宋体"/>
        <family val="3"/>
        <charset val="134"/>
      </rPr>
      <t>幢</t>
    </r>
    <r>
      <rPr>
        <sz val="9"/>
        <rFont val="Arial"/>
        <family val="2"/>
      </rPr>
      <t>-1-1106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</si>
  <si>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1107</t>
    </r>
  </si>
  <si>
    <r>
      <rPr>
        <sz val="9"/>
        <rFont val="Arial"/>
        <family val="2"/>
      </rPr>
      <t>31</t>
    </r>
    <r>
      <rPr>
        <sz val="9"/>
        <rFont val="宋体"/>
        <family val="3"/>
        <charset val="134"/>
      </rPr>
      <t>幢</t>
    </r>
    <r>
      <rPr>
        <sz val="9"/>
        <rFont val="Arial"/>
        <family val="2"/>
      </rPr>
      <t>-1-1108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</si>
  <si>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1109</t>
    </r>
  </si>
  <si>
    <r>
      <rPr>
        <sz val="9"/>
        <rFont val="Arial"/>
        <family val="2"/>
      </rPr>
      <t>31</t>
    </r>
    <r>
      <rPr>
        <sz val="9"/>
        <rFont val="宋体"/>
        <family val="3"/>
        <charset val="134"/>
      </rPr>
      <t>幢</t>
    </r>
    <r>
      <rPr>
        <sz val="9"/>
        <rFont val="Arial"/>
        <family val="2"/>
      </rPr>
      <t>-1-1110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</si>
  <si>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1111</t>
    </r>
  </si>
  <si>
    <r>
      <rPr>
        <sz val="9"/>
        <rFont val="Arial"/>
        <family val="2"/>
      </rPr>
      <t>31</t>
    </r>
    <r>
      <rPr>
        <sz val="9"/>
        <rFont val="宋体"/>
        <family val="3"/>
        <charset val="134"/>
      </rPr>
      <t>幢</t>
    </r>
    <r>
      <rPr>
        <sz val="9"/>
        <rFont val="Arial"/>
        <family val="2"/>
      </rPr>
      <t>-1-1112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</si>
  <si>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1113</t>
    </r>
  </si>
  <si>
    <r>
      <rPr>
        <sz val="9"/>
        <rFont val="Arial"/>
        <family val="2"/>
      </rPr>
      <t>31</t>
    </r>
    <r>
      <rPr>
        <sz val="9"/>
        <rFont val="宋体"/>
        <family val="3"/>
        <charset val="134"/>
      </rPr>
      <t>幢</t>
    </r>
    <r>
      <rPr>
        <sz val="9"/>
        <rFont val="Arial"/>
        <family val="2"/>
      </rPr>
      <t>-1-1114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</si>
  <si>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1115</t>
    </r>
  </si>
  <si>
    <r>
      <rPr>
        <sz val="9"/>
        <rFont val="Arial"/>
        <family val="2"/>
      </rPr>
      <t>31</t>
    </r>
    <r>
      <rPr>
        <sz val="9"/>
        <rFont val="宋体"/>
        <family val="3"/>
        <charset val="134"/>
      </rPr>
      <t>幢</t>
    </r>
    <r>
      <rPr>
        <sz val="9"/>
        <rFont val="Arial"/>
        <family val="2"/>
      </rPr>
      <t>-1-1116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</si>
  <si>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1117</t>
    </r>
  </si>
  <si>
    <r>
      <rPr>
        <sz val="9"/>
        <rFont val="Arial"/>
        <family val="2"/>
      </rPr>
      <t>31</t>
    </r>
    <r>
      <rPr>
        <sz val="9"/>
        <rFont val="宋体"/>
        <family val="3"/>
        <charset val="134"/>
      </rPr>
      <t>幢</t>
    </r>
    <r>
      <rPr>
        <sz val="9"/>
        <rFont val="Arial"/>
        <family val="2"/>
      </rPr>
      <t>-1-1118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</si>
  <si>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1119</t>
    </r>
  </si>
  <si>
    <r>
      <rPr>
        <sz val="9"/>
        <rFont val="Arial"/>
        <family val="2"/>
      </rPr>
      <t>31</t>
    </r>
    <r>
      <rPr>
        <sz val="9"/>
        <rFont val="宋体"/>
        <family val="3"/>
        <charset val="134"/>
      </rPr>
      <t>幢</t>
    </r>
    <r>
      <rPr>
        <sz val="9"/>
        <rFont val="Arial"/>
        <family val="2"/>
      </rPr>
      <t>-1-1120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</si>
  <si>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1121</t>
    </r>
  </si>
  <si>
    <r>
      <rPr>
        <sz val="9"/>
        <rFont val="Arial"/>
        <family val="2"/>
      </rPr>
      <t>31</t>
    </r>
    <r>
      <rPr>
        <sz val="9"/>
        <rFont val="宋体"/>
        <family val="3"/>
        <charset val="134"/>
      </rPr>
      <t>幢</t>
    </r>
    <r>
      <rPr>
        <sz val="9"/>
        <rFont val="Arial"/>
        <family val="2"/>
      </rPr>
      <t>-1-1122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</si>
  <si>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1123</t>
    </r>
  </si>
  <si>
    <r>
      <rPr>
        <sz val="9"/>
        <rFont val="Arial"/>
        <family val="2"/>
      </rPr>
      <t>31</t>
    </r>
    <r>
      <rPr>
        <sz val="9"/>
        <rFont val="宋体"/>
        <family val="3"/>
        <charset val="134"/>
      </rPr>
      <t>幢</t>
    </r>
    <r>
      <rPr>
        <sz val="9"/>
        <rFont val="Arial"/>
        <family val="2"/>
      </rPr>
      <t>-1-1124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</si>
  <si>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1126</t>
    </r>
  </si>
  <si>
    <r>
      <rPr>
        <sz val="9"/>
        <rFont val="Arial"/>
        <family val="2"/>
      </rPr>
      <t>31</t>
    </r>
    <r>
      <rPr>
        <sz val="9"/>
        <rFont val="宋体"/>
        <family val="3"/>
        <charset val="134"/>
      </rPr>
      <t>幢</t>
    </r>
    <r>
      <rPr>
        <sz val="9"/>
        <rFont val="Arial"/>
        <family val="2"/>
      </rPr>
      <t>-1-1140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</si>
  <si>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1141</t>
    </r>
  </si>
  <si>
    <r>
      <rPr>
        <sz val="9"/>
        <rFont val="Arial"/>
        <family val="2"/>
      </rPr>
      <t>31</t>
    </r>
    <r>
      <rPr>
        <sz val="9"/>
        <rFont val="宋体"/>
        <family val="3"/>
        <charset val="134"/>
      </rPr>
      <t>幢</t>
    </r>
    <r>
      <rPr>
        <sz val="9"/>
        <rFont val="Arial"/>
        <family val="2"/>
      </rPr>
      <t>-1-1142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</si>
  <si>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1143</t>
    </r>
  </si>
  <si>
    <r>
      <rPr>
        <sz val="9"/>
        <rFont val="Arial"/>
        <family val="2"/>
      </rPr>
      <t>31</t>
    </r>
    <r>
      <rPr>
        <sz val="9"/>
        <rFont val="宋体"/>
        <family val="3"/>
        <charset val="134"/>
      </rPr>
      <t>幢</t>
    </r>
    <r>
      <rPr>
        <sz val="9"/>
        <rFont val="Arial"/>
        <family val="2"/>
      </rPr>
      <t>-1-1144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</si>
  <si>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1145</t>
    </r>
  </si>
  <si>
    <r>
      <rPr>
        <sz val="9"/>
        <rFont val="Arial"/>
        <family val="2"/>
      </rPr>
      <t>31</t>
    </r>
    <r>
      <rPr>
        <sz val="9"/>
        <rFont val="宋体"/>
        <family val="3"/>
        <charset val="134"/>
      </rPr>
      <t>幢</t>
    </r>
    <r>
      <rPr>
        <sz val="9"/>
        <rFont val="Arial"/>
        <family val="2"/>
      </rPr>
      <t>-1-1146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</si>
  <si>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1147</t>
    </r>
  </si>
  <si>
    <r>
      <rPr>
        <sz val="9"/>
        <rFont val="Arial"/>
        <family val="2"/>
      </rPr>
      <t>31</t>
    </r>
    <r>
      <rPr>
        <sz val="9"/>
        <rFont val="宋体"/>
        <family val="3"/>
        <charset val="134"/>
      </rPr>
      <t>幢</t>
    </r>
    <r>
      <rPr>
        <sz val="9"/>
        <rFont val="Arial"/>
        <family val="2"/>
      </rPr>
      <t>-1-1148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</si>
  <si>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1149</t>
    </r>
  </si>
  <si>
    <r>
      <rPr>
        <sz val="9"/>
        <rFont val="Arial"/>
        <family val="2"/>
      </rPr>
      <t>31</t>
    </r>
    <r>
      <rPr>
        <sz val="9"/>
        <rFont val="宋体"/>
        <family val="3"/>
        <charset val="134"/>
      </rPr>
      <t>幢</t>
    </r>
    <r>
      <rPr>
        <sz val="9"/>
        <rFont val="Arial"/>
        <family val="2"/>
      </rPr>
      <t>-1-1150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</si>
  <si>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1151</t>
    </r>
  </si>
  <si>
    <r>
      <rPr>
        <sz val="9"/>
        <rFont val="Arial"/>
        <family val="2"/>
      </rPr>
      <t>31</t>
    </r>
    <r>
      <rPr>
        <sz val="9"/>
        <rFont val="宋体"/>
        <family val="3"/>
        <charset val="134"/>
      </rPr>
      <t>幢</t>
    </r>
    <r>
      <rPr>
        <sz val="9"/>
        <rFont val="Arial"/>
        <family val="2"/>
      </rPr>
      <t>-1-1152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</si>
  <si>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1153</t>
    </r>
  </si>
  <si>
    <r>
      <rPr>
        <sz val="9"/>
        <rFont val="Arial"/>
        <family val="2"/>
      </rPr>
      <t>31</t>
    </r>
    <r>
      <rPr>
        <sz val="9"/>
        <rFont val="宋体"/>
        <family val="3"/>
        <charset val="134"/>
      </rPr>
      <t>幢</t>
    </r>
    <r>
      <rPr>
        <sz val="9"/>
        <rFont val="Arial"/>
        <family val="2"/>
      </rPr>
      <t>-1-1154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</si>
  <si>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1155</t>
    </r>
  </si>
  <si>
    <r>
      <rPr>
        <sz val="9"/>
        <rFont val="Arial"/>
        <family val="2"/>
      </rPr>
      <t>31</t>
    </r>
    <r>
      <rPr>
        <sz val="9"/>
        <rFont val="宋体"/>
        <family val="3"/>
        <charset val="134"/>
      </rPr>
      <t>幢</t>
    </r>
    <r>
      <rPr>
        <sz val="9"/>
        <rFont val="Arial"/>
        <family val="2"/>
      </rPr>
      <t>-1-1156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</si>
  <si>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1157</t>
    </r>
  </si>
  <si>
    <r>
      <rPr>
        <sz val="9"/>
        <rFont val="Arial"/>
        <family val="2"/>
      </rPr>
      <t>31</t>
    </r>
    <r>
      <rPr>
        <sz val="9"/>
        <rFont val="宋体"/>
        <family val="3"/>
        <charset val="134"/>
      </rPr>
      <t>幢</t>
    </r>
    <r>
      <rPr>
        <sz val="9"/>
        <rFont val="Arial"/>
        <family val="2"/>
      </rPr>
      <t>-1-1158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</si>
  <si>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1159</t>
    </r>
  </si>
  <si>
    <r>
      <rPr>
        <sz val="9"/>
        <rFont val="Arial"/>
        <family val="2"/>
      </rPr>
      <t>31</t>
    </r>
    <r>
      <rPr>
        <sz val="9"/>
        <rFont val="宋体"/>
        <family val="3"/>
        <charset val="134"/>
      </rPr>
      <t>幢</t>
    </r>
    <r>
      <rPr>
        <sz val="9"/>
        <rFont val="Arial"/>
        <family val="2"/>
      </rPr>
      <t>-1-1160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</si>
  <si>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1161</t>
    </r>
  </si>
  <si>
    <r>
      <rPr>
        <sz val="9"/>
        <rFont val="Arial"/>
        <family val="2"/>
      </rPr>
      <t>31</t>
    </r>
    <r>
      <rPr>
        <sz val="9"/>
        <rFont val="宋体"/>
        <family val="3"/>
        <charset val="134"/>
      </rPr>
      <t>幢</t>
    </r>
    <r>
      <rPr>
        <sz val="9"/>
        <rFont val="Arial"/>
        <family val="2"/>
      </rPr>
      <t>-1-1162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</si>
  <si>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1163</t>
    </r>
  </si>
  <si>
    <r>
      <rPr>
        <sz val="9"/>
        <rFont val="Arial"/>
        <family val="2"/>
      </rPr>
      <t>31</t>
    </r>
    <r>
      <rPr>
        <sz val="9"/>
        <rFont val="宋体"/>
        <family val="3"/>
        <charset val="134"/>
      </rPr>
      <t>幢</t>
    </r>
    <r>
      <rPr>
        <sz val="9"/>
        <rFont val="Arial"/>
        <family val="2"/>
      </rPr>
      <t>-1-1164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</si>
  <si>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1165</t>
    </r>
  </si>
  <si>
    <r>
      <rPr>
        <sz val="9"/>
        <rFont val="Arial"/>
        <family val="2"/>
      </rPr>
      <t>31</t>
    </r>
    <r>
      <rPr>
        <sz val="9"/>
        <rFont val="宋体"/>
        <family val="3"/>
        <charset val="134"/>
      </rPr>
      <t>幢</t>
    </r>
    <r>
      <rPr>
        <sz val="9"/>
        <rFont val="Arial"/>
        <family val="2"/>
      </rPr>
      <t>-1-1170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</si>
  <si>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1171</t>
    </r>
  </si>
  <si>
    <r>
      <rPr>
        <sz val="9"/>
        <rFont val="Arial"/>
        <family val="2"/>
      </rPr>
      <t>31</t>
    </r>
    <r>
      <rPr>
        <sz val="9"/>
        <rFont val="宋体"/>
        <family val="3"/>
        <charset val="134"/>
      </rPr>
      <t>幢</t>
    </r>
    <r>
      <rPr>
        <sz val="9"/>
        <rFont val="Arial"/>
        <family val="2"/>
      </rPr>
      <t>-1-1173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</si>
  <si>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1174</t>
    </r>
  </si>
  <si>
    <r>
      <rPr>
        <sz val="9"/>
        <rFont val="Arial"/>
        <family val="2"/>
      </rPr>
      <t>31</t>
    </r>
    <r>
      <rPr>
        <sz val="9"/>
        <rFont val="宋体"/>
        <family val="3"/>
        <charset val="134"/>
      </rPr>
      <t>幢</t>
    </r>
    <r>
      <rPr>
        <sz val="9"/>
        <rFont val="Arial"/>
        <family val="2"/>
      </rPr>
      <t>-1-1175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</si>
  <si>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1176</t>
    </r>
  </si>
  <si>
    <r>
      <rPr>
        <sz val="9"/>
        <rFont val="Arial"/>
        <family val="2"/>
      </rPr>
      <t>31</t>
    </r>
    <r>
      <rPr>
        <sz val="9"/>
        <rFont val="宋体"/>
        <family val="3"/>
        <charset val="134"/>
      </rPr>
      <t>幢</t>
    </r>
    <r>
      <rPr>
        <sz val="9"/>
        <rFont val="Arial"/>
        <family val="2"/>
      </rPr>
      <t>-1-1181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</si>
  <si>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1182</t>
    </r>
  </si>
  <si>
    <r>
      <rPr>
        <sz val="9"/>
        <rFont val="Arial"/>
        <family val="2"/>
      </rPr>
      <t>31</t>
    </r>
    <r>
      <rPr>
        <sz val="9"/>
        <rFont val="宋体"/>
        <family val="3"/>
        <charset val="134"/>
      </rPr>
      <t>幢</t>
    </r>
    <r>
      <rPr>
        <sz val="9"/>
        <rFont val="Arial"/>
        <family val="2"/>
      </rPr>
      <t>-1-1195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</si>
  <si>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1196</t>
    </r>
  </si>
  <si>
    <r>
      <rPr>
        <sz val="9"/>
        <rFont val="Arial"/>
        <family val="2"/>
      </rPr>
      <t>31</t>
    </r>
    <r>
      <rPr>
        <sz val="9"/>
        <rFont val="宋体"/>
        <family val="3"/>
        <charset val="134"/>
      </rPr>
      <t>幢</t>
    </r>
    <r>
      <rPr>
        <sz val="9"/>
        <rFont val="Arial"/>
        <family val="2"/>
      </rPr>
      <t>-1-1197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</si>
  <si>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1198</t>
    </r>
  </si>
  <si>
    <r>
      <rPr>
        <sz val="9"/>
        <rFont val="Arial"/>
        <family val="2"/>
      </rPr>
      <t>31</t>
    </r>
    <r>
      <rPr>
        <sz val="9"/>
        <rFont val="宋体"/>
        <family val="3"/>
        <charset val="134"/>
      </rPr>
      <t>幢</t>
    </r>
    <r>
      <rPr>
        <sz val="9"/>
        <rFont val="Arial"/>
        <family val="2"/>
      </rPr>
      <t>-1-1199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</si>
  <si>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1200</t>
    </r>
  </si>
  <si>
    <r>
      <rPr>
        <sz val="9"/>
        <rFont val="Arial"/>
        <family val="2"/>
      </rPr>
      <t>31</t>
    </r>
    <r>
      <rPr>
        <sz val="9"/>
        <rFont val="宋体"/>
        <family val="3"/>
        <charset val="134"/>
      </rPr>
      <t>幢</t>
    </r>
    <r>
      <rPr>
        <sz val="9"/>
        <rFont val="Arial"/>
        <family val="2"/>
      </rPr>
      <t>-1-1201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</si>
  <si>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1202</t>
    </r>
  </si>
  <si>
    <r>
      <rPr>
        <sz val="9"/>
        <rFont val="Arial"/>
        <family val="2"/>
      </rPr>
      <t>31</t>
    </r>
    <r>
      <rPr>
        <sz val="9"/>
        <rFont val="宋体"/>
        <family val="3"/>
        <charset val="134"/>
      </rPr>
      <t>幢</t>
    </r>
    <r>
      <rPr>
        <sz val="9"/>
        <rFont val="Arial"/>
        <family val="2"/>
      </rPr>
      <t>-1-1203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</si>
  <si>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1204</t>
    </r>
  </si>
  <si>
    <r>
      <rPr>
        <sz val="9"/>
        <rFont val="Arial"/>
        <family val="2"/>
      </rPr>
      <t>31</t>
    </r>
    <r>
      <rPr>
        <sz val="9"/>
        <rFont val="宋体"/>
        <family val="3"/>
        <charset val="134"/>
      </rPr>
      <t>幢</t>
    </r>
    <r>
      <rPr>
        <sz val="9"/>
        <rFont val="Arial"/>
        <family val="2"/>
      </rPr>
      <t>-1-1205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</si>
  <si>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1206</t>
    </r>
  </si>
  <si>
    <r>
      <rPr>
        <sz val="9"/>
        <rFont val="Arial"/>
        <family val="2"/>
      </rPr>
      <t>31</t>
    </r>
    <r>
      <rPr>
        <sz val="9"/>
        <rFont val="宋体"/>
        <family val="3"/>
        <charset val="134"/>
      </rPr>
      <t>幢</t>
    </r>
    <r>
      <rPr>
        <sz val="9"/>
        <rFont val="Arial"/>
        <family val="2"/>
      </rPr>
      <t>-1-1207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</si>
  <si>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1224</t>
    </r>
  </si>
  <si>
    <r>
      <rPr>
        <sz val="9"/>
        <rFont val="Arial"/>
        <family val="2"/>
      </rPr>
      <t>31</t>
    </r>
    <r>
      <rPr>
        <sz val="9"/>
        <rFont val="宋体"/>
        <family val="3"/>
        <charset val="134"/>
      </rPr>
      <t>幢</t>
    </r>
    <r>
      <rPr>
        <sz val="9"/>
        <rFont val="Arial"/>
        <family val="2"/>
      </rPr>
      <t>-1-1225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</si>
  <si>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1226</t>
    </r>
  </si>
  <si>
    <r>
      <rPr>
        <sz val="9"/>
        <color rgb="FF000000"/>
        <rFont val="宋体"/>
        <family val="3"/>
        <charset val="134"/>
      </rPr>
      <t>序号</t>
    </r>
    <phoneticPr fontId="137" type="noConversion"/>
  </si>
  <si>
    <r>
      <rPr>
        <sz val="9"/>
        <color rgb="FF000000"/>
        <rFont val="宋体"/>
        <family val="3"/>
        <charset val="134"/>
      </rPr>
      <t>幢号</t>
    </r>
    <phoneticPr fontId="137" type="noConversion"/>
  </si>
  <si>
    <r>
      <rPr>
        <sz val="9"/>
        <color rgb="FF000000"/>
        <rFont val="宋体"/>
        <family val="3"/>
        <charset val="134"/>
      </rPr>
      <t>实测建筑面积</t>
    </r>
    <phoneticPr fontId="137" type="noConversion"/>
  </si>
  <si>
    <r>
      <rPr>
        <sz val="9"/>
        <color rgb="FF000000"/>
        <rFont val="宋体"/>
        <family val="3"/>
        <charset val="134"/>
      </rPr>
      <t>实测套内面积</t>
    </r>
    <phoneticPr fontId="137" type="noConversion"/>
  </si>
  <si>
    <r>
      <rPr>
        <sz val="9"/>
        <rFont val="宋体"/>
        <family val="3"/>
        <charset val="134"/>
      </rPr>
      <t>车库</t>
    </r>
    <phoneticPr fontId="137" type="noConversion"/>
  </si>
  <si>
    <r>
      <rPr>
        <sz val="9"/>
        <rFont val="宋体"/>
        <family val="3"/>
        <charset val="134"/>
      </rPr>
      <t>两限房车位</t>
    </r>
    <phoneticPr fontId="137" type="noConversion"/>
  </si>
  <si>
    <r>
      <rPr>
        <sz val="9"/>
        <rFont val="Arial"/>
        <family val="2"/>
      </rPr>
      <t>-2</t>
    </r>
    <r>
      <rPr>
        <sz val="9"/>
        <rFont val="宋体"/>
        <family val="3"/>
        <charset val="134"/>
      </rPr>
      <t>层</t>
    </r>
    <phoneticPr fontId="137" type="noConversion"/>
  </si>
  <si>
    <r>
      <rPr>
        <sz val="9"/>
        <rFont val="Arial"/>
        <family val="2"/>
      </rPr>
      <t>10</t>
    </r>
    <r>
      <rPr>
        <sz val="9"/>
        <rFont val="宋体"/>
        <family val="3"/>
        <charset val="134"/>
      </rPr>
      <t>幢</t>
    </r>
    <r>
      <rPr>
        <sz val="9"/>
        <rFont val="Arial"/>
        <family val="2"/>
      </rPr>
      <t>-2-2001</t>
    </r>
    <phoneticPr fontId="137" type="noConversion"/>
  </si>
  <si>
    <r>
      <rPr>
        <sz val="9"/>
        <rFont val="宋体"/>
        <family val="3"/>
        <charset val="134"/>
      </rPr>
      <t>房山区揽秀南街</t>
    </r>
    <r>
      <rPr>
        <sz val="9"/>
        <rFont val="Arial"/>
        <family val="2"/>
      </rPr>
      <t>13</t>
    </r>
    <r>
      <rPr>
        <sz val="9"/>
        <rFont val="宋体"/>
        <family val="3"/>
        <charset val="134"/>
      </rPr>
      <t>号院</t>
    </r>
    <phoneticPr fontId="137" type="noConversion"/>
  </si>
  <si>
    <r>
      <rPr>
        <sz val="9"/>
        <rFont val="Arial"/>
        <family val="2"/>
      </rPr>
      <t>10</t>
    </r>
    <r>
      <rPr>
        <sz val="9"/>
        <rFont val="宋体"/>
        <family val="3"/>
        <charset val="134"/>
      </rPr>
      <t>幢</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</si>
  <si>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2002</t>
    </r>
    <phoneticPr fontId="137" type="noConversion"/>
  </si>
  <si>
    <r>
      <rPr>
        <sz val="9"/>
        <rFont val="Arial"/>
        <family val="2"/>
      </rPr>
      <t>10</t>
    </r>
    <r>
      <rPr>
        <sz val="9"/>
        <rFont val="宋体"/>
        <family val="3"/>
        <charset val="134"/>
      </rPr>
      <t>幢</t>
    </r>
    <r>
      <rPr>
        <sz val="9"/>
        <rFont val="Arial"/>
        <family val="2"/>
      </rPr>
      <t>-2-2003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</si>
  <si>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2004</t>
    </r>
    <phoneticPr fontId="137" type="noConversion"/>
  </si>
  <si>
    <r>
      <rPr>
        <sz val="9"/>
        <rFont val="Arial"/>
        <family val="2"/>
      </rPr>
      <t>10</t>
    </r>
    <r>
      <rPr>
        <sz val="9"/>
        <rFont val="宋体"/>
        <family val="3"/>
        <charset val="134"/>
      </rPr>
      <t>幢</t>
    </r>
    <r>
      <rPr>
        <sz val="9"/>
        <rFont val="Arial"/>
        <family val="2"/>
      </rPr>
      <t>-2-2005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</si>
  <si>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2006</t>
    </r>
    <phoneticPr fontId="137" type="noConversion"/>
  </si>
  <si>
    <r>
      <rPr>
        <sz val="9"/>
        <rFont val="Arial"/>
        <family val="2"/>
      </rPr>
      <t>10</t>
    </r>
    <r>
      <rPr>
        <sz val="9"/>
        <rFont val="宋体"/>
        <family val="3"/>
        <charset val="134"/>
      </rPr>
      <t>幢</t>
    </r>
    <r>
      <rPr>
        <sz val="9"/>
        <rFont val="Arial"/>
        <family val="2"/>
      </rPr>
      <t>-2-2007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</si>
  <si>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2008</t>
    </r>
    <phoneticPr fontId="137" type="noConversion"/>
  </si>
  <si>
    <r>
      <rPr>
        <sz val="9"/>
        <rFont val="Arial"/>
        <family val="2"/>
      </rPr>
      <t>10</t>
    </r>
    <r>
      <rPr>
        <sz val="9"/>
        <rFont val="宋体"/>
        <family val="3"/>
        <charset val="134"/>
      </rPr>
      <t>幢</t>
    </r>
    <r>
      <rPr>
        <sz val="9"/>
        <rFont val="Arial"/>
        <family val="2"/>
      </rPr>
      <t>-2-2009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</si>
  <si>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2010</t>
    </r>
    <phoneticPr fontId="137" type="noConversion"/>
  </si>
  <si>
    <r>
      <rPr>
        <sz val="9"/>
        <rFont val="Arial"/>
        <family val="2"/>
      </rPr>
      <t>10</t>
    </r>
    <r>
      <rPr>
        <sz val="9"/>
        <rFont val="宋体"/>
        <family val="3"/>
        <charset val="134"/>
      </rPr>
      <t>幢</t>
    </r>
    <r>
      <rPr>
        <sz val="9"/>
        <rFont val="Arial"/>
        <family val="2"/>
      </rPr>
      <t>-2-2011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</si>
  <si>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2012</t>
    </r>
    <phoneticPr fontId="137" type="noConversion"/>
  </si>
  <si>
    <r>
      <rPr>
        <sz val="9"/>
        <rFont val="Arial"/>
        <family val="2"/>
      </rPr>
      <t>10</t>
    </r>
    <r>
      <rPr>
        <sz val="9"/>
        <rFont val="宋体"/>
        <family val="3"/>
        <charset val="134"/>
      </rPr>
      <t>幢</t>
    </r>
    <r>
      <rPr>
        <sz val="9"/>
        <rFont val="Arial"/>
        <family val="2"/>
      </rPr>
      <t>-2-2013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</si>
  <si>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2014</t>
    </r>
    <phoneticPr fontId="137" type="noConversion"/>
  </si>
  <si>
    <r>
      <rPr>
        <sz val="9"/>
        <rFont val="Arial"/>
        <family val="2"/>
      </rPr>
      <t>10</t>
    </r>
    <r>
      <rPr>
        <sz val="9"/>
        <rFont val="宋体"/>
        <family val="3"/>
        <charset val="134"/>
      </rPr>
      <t>幢</t>
    </r>
    <r>
      <rPr>
        <sz val="9"/>
        <rFont val="Arial"/>
        <family val="2"/>
      </rPr>
      <t>-2-2015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</si>
  <si>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2016</t>
    </r>
    <phoneticPr fontId="137" type="noConversion"/>
  </si>
  <si>
    <r>
      <rPr>
        <sz val="9"/>
        <rFont val="Arial"/>
        <family val="2"/>
      </rPr>
      <t>10</t>
    </r>
    <r>
      <rPr>
        <sz val="9"/>
        <rFont val="宋体"/>
        <family val="3"/>
        <charset val="134"/>
      </rPr>
      <t>幢</t>
    </r>
    <r>
      <rPr>
        <sz val="9"/>
        <rFont val="Arial"/>
        <family val="2"/>
      </rPr>
      <t>-2-2017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</si>
  <si>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2018</t>
    </r>
    <phoneticPr fontId="137" type="noConversion"/>
  </si>
  <si>
    <r>
      <rPr>
        <sz val="9"/>
        <rFont val="Arial"/>
        <family val="2"/>
      </rPr>
      <t>10</t>
    </r>
    <r>
      <rPr>
        <sz val="9"/>
        <rFont val="宋体"/>
        <family val="3"/>
        <charset val="134"/>
      </rPr>
      <t>幢</t>
    </r>
    <r>
      <rPr>
        <sz val="9"/>
        <rFont val="Arial"/>
        <family val="2"/>
      </rPr>
      <t>-2-2019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</si>
  <si>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2020</t>
    </r>
    <phoneticPr fontId="137" type="noConversion"/>
  </si>
  <si>
    <r>
      <rPr>
        <sz val="9"/>
        <rFont val="Arial"/>
        <family val="2"/>
      </rPr>
      <t>10</t>
    </r>
    <r>
      <rPr>
        <sz val="9"/>
        <rFont val="宋体"/>
        <family val="3"/>
        <charset val="134"/>
      </rPr>
      <t>幢</t>
    </r>
    <r>
      <rPr>
        <sz val="9"/>
        <rFont val="Arial"/>
        <family val="2"/>
      </rPr>
      <t>-2-2021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</si>
  <si>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2022</t>
    </r>
    <phoneticPr fontId="137" type="noConversion"/>
  </si>
  <si>
    <r>
      <rPr>
        <sz val="9"/>
        <rFont val="Arial"/>
        <family val="2"/>
      </rPr>
      <t>10</t>
    </r>
    <r>
      <rPr>
        <sz val="9"/>
        <rFont val="宋体"/>
        <family val="3"/>
        <charset val="134"/>
      </rPr>
      <t>幢</t>
    </r>
    <r>
      <rPr>
        <sz val="9"/>
        <rFont val="Arial"/>
        <family val="2"/>
      </rPr>
      <t>-2-2023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</si>
  <si>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2024</t>
    </r>
    <phoneticPr fontId="137" type="noConversion"/>
  </si>
  <si>
    <r>
      <rPr>
        <sz val="9"/>
        <rFont val="Arial"/>
        <family val="2"/>
      </rPr>
      <t>10</t>
    </r>
    <r>
      <rPr>
        <sz val="9"/>
        <rFont val="宋体"/>
        <family val="3"/>
        <charset val="134"/>
      </rPr>
      <t>幢</t>
    </r>
    <r>
      <rPr>
        <sz val="9"/>
        <rFont val="Arial"/>
        <family val="2"/>
      </rPr>
      <t>-2-2025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</si>
  <si>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2026</t>
    </r>
    <phoneticPr fontId="137" type="noConversion"/>
  </si>
  <si>
    <r>
      <rPr>
        <sz val="9"/>
        <rFont val="Arial"/>
        <family val="2"/>
      </rPr>
      <t>10</t>
    </r>
    <r>
      <rPr>
        <sz val="9"/>
        <rFont val="宋体"/>
        <family val="3"/>
        <charset val="134"/>
      </rPr>
      <t>幢</t>
    </r>
    <r>
      <rPr>
        <sz val="9"/>
        <rFont val="Arial"/>
        <family val="2"/>
      </rPr>
      <t>-2-2027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</si>
  <si>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2028</t>
    </r>
    <phoneticPr fontId="137" type="noConversion"/>
  </si>
  <si>
    <r>
      <rPr>
        <sz val="9"/>
        <rFont val="Arial"/>
        <family val="2"/>
      </rPr>
      <t>10</t>
    </r>
    <r>
      <rPr>
        <sz val="9"/>
        <rFont val="宋体"/>
        <family val="3"/>
        <charset val="134"/>
      </rPr>
      <t>幢</t>
    </r>
    <r>
      <rPr>
        <sz val="9"/>
        <rFont val="Arial"/>
        <family val="2"/>
      </rPr>
      <t>-2-2029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</si>
  <si>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2030</t>
    </r>
    <phoneticPr fontId="137" type="noConversion"/>
  </si>
  <si>
    <r>
      <rPr>
        <sz val="9"/>
        <rFont val="Arial"/>
        <family val="2"/>
      </rPr>
      <t>10</t>
    </r>
    <r>
      <rPr>
        <sz val="9"/>
        <rFont val="宋体"/>
        <family val="3"/>
        <charset val="134"/>
      </rPr>
      <t>幢</t>
    </r>
    <r>
      <rPr>
        <sz val="9"/>
        <rFont val="Arial"/>
        <family val="2"/>
      </rPr>
      <t>-2-2031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</si>
  <si>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2032</t>
    </r>
    <phoneticPr fontId="137" type="noConversion"/>
  </si>
  <si>
    <r>
      <rPr>
        <sz val="9"/>
        <rFont val="Arial"/>
        <family val="2"/>
      </rPr>
      <t>10</t>
    </r>
    <r>
      <rPr>
        <sz val="9"/>
        <rFont val="宋体"/>
        <family val="3"/>
        <charset val="134"/>
      </rPr>
      <t>幢</t>
    </r>
    <r>
      <rPr>
        <sz val="9"/>
        <rFont val="Arial"/>
        <family val="2"/>
      </rPr>
      <t>-2-2033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</si>
  <si>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2034</t>
    </r>
    <phoneticPr fontId="137" type="noConversion"/>
  </si>
  <si>
    <r>
      <t>-2</t>
    </r>
    <r>
      <rPr>
        <sz val="9"/>
        <color rgb="FF000000"/>
        <rFont val="宋体"/>
        <family val="3"/>
        <charset val="134"/>
      </rPr>
      <t>层</t>
    </r>
    <phoneticPr fontId="137" type="noConversion"/>
  </si>
  <si>
    <r>
      <rPr>
        <sz val="9"/>
        <rFont val="Arial"/>
        <family val="2"/>
      </rPr>
      <t>10</t>
    </r>
    <r>
      <rPr>
        <sz val="9"/>
        <rFont val="宋体"/>
        <family val="3"/>
        <charset val="134"/>
      </rPr>
      <t>幢</t>
    </r>
    <r>
      <rPr>
        <sz val="9"/>
        <rFont val="Arial"/>
        <family val="2"/>
      </rPr>
      <t>-2-2035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</si>
  <si>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2036</t>
    </r>
    <phoneticPr fontId="137" type="noConversion"/>
  </si>
  <si>
    <r>
      <rPr>
        <sz val="9"/>
        <rFont val="Arial"/>
        <family val="2"/>
      </rPr>
      <t>10</t>
    </r>
    <r>
      <rPr>
        <sz val="9"/>
        <rFont val="宋体"/>
        <family val="3"/>
        <charset val="134"/>
      </rPr>
      <t>幢</t>
    </r>
    <r>
      <rPr>
        <sz val="9"/>
        <rFont val="Arial"/>
        <family val="2"/>
      </rPr>
      <t>-2-2037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</si>
  <si>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2038</t>
    </r>
    <phoneticPr fontId="137" type="noConversion"/>
  </si>
  <si>
    <r>
      <rPr>
        <sz val="9"/>
        <rFont val="Arial"/>
        <family val="2"/>
      </rPr>
      <t>10</t>
    </r>
    <r>
      <rPr>
        <sz val="9"/>
        <rFont val="宋体"/>
        <family val="3"/>
        <charset val="134"/>
      </rPr>
      <t>幢</t>
    </r>
    <r>
      <rPr>
        <sz val="9"/>
        <rFont val="Arial"/>
        <family val="2"/>
      </rPr>
      <t>-2-2039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</si>
  <si>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2040</t>
    </r>
    <phoneticPr fontId="137" type="noConversion"/>
  </si>
  <si>
    <r>
      <rPr>
        <sz val="9"/>
        <rFont val="Arial"/>
        <family val="2"/>
      </rPr>
      <t>10</t>
    </r>
    <r>
      <rPr>
        <sz val="9"/>
        <rFont val="宋体"/>
        <family val="3"/>
        <charset val="134"/>
      </rPr>
      <t>幢</t>
    </r>
    <r>
      <rPr>
        <sz val="9"/>
        <rFont val="Arial"/>
        <family val="2"/>
      </rPr>
      <t>-2-2041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</si>
  <si>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2042</t>
    </r>
    <phoneticPr fontId="137" type="noConversion"/>
  </si>
  <si>
    <r>
      <rPr>
        <sz val="9"/>
        <rFont val="Arial"/>
        <family val="2"/>
      </rPr>
      <t>10</t>
    </r>
    <r>
      <rPr>
        <sz val="9"/>
        <rFont val="宋体"/>
        <family val="3"/>
        <charset val="134"/>
      </rPr>
      <t>幢</t>
    </r>
    <r>
      <rPr>
        <sz val="9"/>
        <rFont val="Arial"/>
        <family val="2"/>
      </rPr>
      <t>-2-2043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</si>
  <si>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2044</t>
    </r>
    <phoneticPr fontId="137" type="noConversion"/>
  </si>
  <si>
    <r>
      <rPr>
        <sz val="9"/>
        <rFont val="Arial"/>
        <family val="2"/>
      </rPr>
      <t>10</t>
    </r>
    <r>
      <rPr>
        <sz val="9"/>
        <rFont val="宋体"/>
        <family val="3"/>
        <charset val="134"/>
      </rPr>
      <t>幢</t>
    </r>
    <r>
      <rPr>
        <sz val="9"/>
        <rFont val="Arial"/>
        <family val="2"/>
      </rPr>
      <t>-2-2045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</si>
  <si>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2046</t>
    </r>
    <phoneticPr fontId="137" type="noConversion"/>
  </si>
  <si>
    <r>
      <rPr>
        <sz val="9"/>
        <rFont val="Arial"/>
        <family val="2"/>
      </rPr>
      <t>10</t>
    </r>
    <r>
      <rPr>
        <sz val="9"/>
        <rFont val="宋体"/>
        <family val="3"/>
        <charset val="134"/>
      </rPr>
      <t>幢</t>
    </r>
    <r>
      <rPr>
        <sz val="9"/>
        <rFont val="Arial"/>
        <family val="2"/>
      </rPr>
      <t>-2-2047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</si>
  <si>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2048</t>
    </r>
    <phoneticPr fontId="137" type="noConversion"/>
  </si>
  <si>
    <r>
      <rPr>
        <sz val="9"/>
        <rFont val="Arial"/>
        <family val="2"/>
      </rPr>
      <t>10</t>
    </r>
    <r>
      <rPr>
        <sz val="9"/>
        <rFont val="宋体"/>
        <family val="3"/>
        <charset val="134"/>
      </rPr>
      <t>幢</t>
    </r>
    <r>
      <rPr>
        <sz val="9"/>
        <rFont val="Arial"/>
        <family val="2"/>
      </rPr>
      <t>-2-2049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</si>
  <si>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2050</t>
    </r>
    <phoneticPr fontId="137" type="noConversion"/>
  </si>
  <si>
    <r>
      <rPr>
        <sz val="9"/>
        <rFont val="Arial"/>
        <family val="2"/>
      </rPr>
      <t>10</t>
    </r>
    <r>
      <rPr>
        <sz val="9"/>
        <rFont val="宋体"/>
        <family val="3"/>
        <charset val="134"/>
      </rPr>
      <t>幢</t>
    </r>
    <r>
      <rPr>
        <sz val="9"/>
        <rFont val="Arial"/>
        <family val="2"/>
      </rPr>
      <t>-2-2051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</si>
  <si>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2052</t>
    </r>
    <phoneticPr fontId="137" type="noConversion"/>
  </si>
  <si>
    <r>
      <rPr>
        <sz val="9"/>
        <rFont val="Arial"/>
        <family val="2"/>
      </rPr>
      <t>10</t>
    </r>
    <r>
      <rPr>
        <sz val="9"/>
        <rFont val="宋体"/>
        <family val="3"/>
        <charset val="134"/>
      </rPr>
      <t>幢</t>
    </r>
    <r>
      <rPr>
        <sz val="9"/>
        <rFont val="Arial"/>
        <family val="2"/>
      </rPr>
      <t>-2-2053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</si>
  <si>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2054</t>
    </r>
    <phoneticPr fontId="137" type="noConversion"/>
  </si>
  <si>
    <r>
      <rPr>
        <sz val="9"/>
        <rFont val="Arial"/>
        <family val="2"/>
      </rPr>
      <t>10</t>
    </r>
    <r>
      <rPr>
        <sz val="9"/>
        <rFont val="宋体"/>
        <family val="3"/>
        <charset val="134"/>
      </rPr>
      <t>幢</t>
    </r>
    <r>
      <rPr>
        <sz val="9"/>
        <rFont val="Arial"/>
        <family val="2"/>
      </rPr>
      <t>-2-2055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</si>
  <si>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2056</t>
    </r>
    <phoneticPr fontId="137" type="noConversion"/>
  </si>
  <si>
    <r>
      <rPr>
        <sz val="9"/>
        <rFont val="Arial"/>
        <family val="2"/>
      </rPr>
      <t>10</t>
    </r>
    <r>
      <rPr>
        <sz val="9"/>
        <rFont val="宋体"/>
        <family val="3"/>
        <charset val="134"/>
      </rPr>
      <t>幢</t>
    </r>
    <r>
      <rPr>
        <sz val="9"/>
        <rFont val="Arial"/>
        <family val="2"/>
      </rPr>
      <t>-2-2057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</si>
  <si>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2058</t>
    </r>
    <phoneticPr fontId="137" type="noConversion"/>
  </si>
  <si>
    <r>
      <rPr>
        <sz val="9"/>
        <rFont val="Arial"/>
        <family val="2"/>
      </rPr>
      <t>10</t>
    </r>
    <r>
      <rPr>
        <sz val="9"/>
        <rFont val="宋体"/>
        <family val="3"/>
        <charset val="134"/>
      </rPr>
      <t>幢</t>
    </r>
    <r>
      <rPr>
        <sz val="9"/>
        <rFont val="Arial"/>
        <family val="2"/>
      </rPr>
      <t>-2-2059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</si>
  <si>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2060</t>
    </r>
    <phoneticPr fontId="137" type="noConversion"/>
  </si>
  <si>
    <r>
      <rPr>
        <sz val="9"/>
        <rFont val="Arial"/>
        <family val="2"/>
      </rPr>
      <t>10</t>
    </r>
    <r>
      <rPr>
        <sz val="9"/>
        <rFont val="宋体"/>
        <family val="3"/>
        <charset val="134"/>
      </rPr>
      <t>幢</t>
    </r>
    <r>
      <rPr>
        <sz val="9"/>
        <rFont val="Arial"/>
        <family val="2"/>
      </rPr>
      <t>-2-2061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</si>
  <si>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2062</t>
    </r>
    <phoneticPr fontId="137" type="noConversion"/>
  </si>
  <si>
    <r>
      <rPr>
        <sz val="9"/>
        <rFont val="Arial"/>
        <family val="2"/>
      </rPr>
      <t>10</t>
    </r>
    <r>
      <rPr>
        <sz val="9"/>
        <rFont val="宋体"/>
        <family val="3"/>
        <charset val="134"/>
      </rPr>
      <t>幢</t>
    </r>
    <r>
      <rPr>
        <sz val="9"/>
        <rFont val="Arial"/>
        <family val="2"/>
      </rPr>
      <t>-2-2063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</si>
  <si>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2064</t>
    </r>
    <phoneticPr fontId="137" type="noConversion"/>
  </si>
  <si>
    <r>
      <rPr>
        <sz val="9"/>
        <rFont val="Arial"/>
        <family val="2"/>
      </rPr>
      <t>10</t>
    </r>
    <r>
      <rPr>
        <sz val="9"/>
        <rFont val="宋体"/>
        <family val="3"/>
        <charset val="134"/>
      </rPr>
      <t>幢</t>
    </r>
    <r>
      <rPr>
        <sz val="9"/>
        <rFont val="Arial"/>
        <family val="2"/>
      </rPr>
      <t>-2-2065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</si>
  <si>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2066</t>
    </r>
    <phoneticPr fontId="137" type="noConversion"/>
  </si>
  <si>
    <r>
      <rPr>
        <sz val="9"/>
        <rFont val="Arial"/>
        <family val="2"/>
      </rPr>
      <t>10</t>
    </r>
    <r>
      <rPr>
        <sz val="9"/>
        <rFont val="宋体"/>
        <family val="3"/>
        <charset val="134"/>
      </rPr>
      <t>幢</t>
    </r>
    <r>
      <rPr>
        <sz val="9"/>
        <rFont val="Arial"/>
        <family val="2"/>
      </rPr>
      <t>-2-2067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</si>
  <si>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2068</t>
    </r>
    <phoneticPr fontId="137" type="noConversion"/>
  </si>
  <si>
    <r>
      <rPr>
        <sz val="9"/>
        <rFont val="Arial"/>
        <family val="2"/>
      </rPr>
      <t>10</t>
    </r>
    <r>
      <rPr>
        <sz val="9"/>
        <rFont val="宋体"/>
        <family val="3"/>
        <charset val="134"/>
      </rPr>
      <t>幢</t>
    </r>
    <r>
      <rPr>
        <sz val="9"/>
        <rFont val="Arial"/>
        <family val="2"/>
      </rPr>
      <t>-2-2069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</si>
  <si>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2070</t>
    </r>
    <phoneticPr fontId="137" type="noConversion"/>
  </si>
  <si>
    <r>
      <rPr>
        <sz val="9"/>
        <rFont val="Arial"/>
        <family val="2"/>
      </rPr>
      <t>10</t>
    </r>
    <r>
      <rPr>
        <sz val="9"/>
        <rFont val="宋体"/>
        <family val="3"/>
        <charset val="134"/>
      </rPr>
      <t>幢</t>
    </r>
    <r>
      <rPr>
        <sz val="9"/>
        <rFont val="Arial"/>
        <family val="2"/>
      </rPr>
      <t>-2-2071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</si>
  <si>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2072</t>
    </r>
    <phoneticPr fontId="137" type="noConversion"/>
  </si>
  <si>
    <r>
      <rPr>
        <sz val="9"/>
        <rFont val="Arial"/>
        <family val="2"/>
      </rPr>
      <t>10</t>
    </r>
    <r>
      <rPr>
        <sz val="9"/>
        <rFont val="宋体"/>
        <family val="3"/>
        <charset val="134"/>
      </rPr>
      <t>幢</t>
    </r>
    <r>
      <rPr>
        <sz val="9"/>
        <rFont val="Arial"/>
        <family val="2"/>
      </rPr>
      <t>-2-2073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</si>
  <si>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2074</t>
    </r>
    <phoneticPr fontId="137" type="noConversion"/>
  </si>
  <si>
    <r>
      <rPr>
        <sz val="9"/>
        <rFont val="Arial"/>
        <family val="2"/>
      </rPr>
      <t>10</t>
    </r>
    <r>
      <rPr>
        <sz val="9"/>
        <rFont val="宋体"/>
        <family val="3"/>
        <charset val="134"/>
      </rPr>
      <t>幢</t>
    </r>
    <r>
      <rPr>
        <sz val="9"/>
        <rFont val="Arial"/>
        <family val="2"/>
      </rPr>
      <t>-2-2075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</si>
  <si>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2076</t>
    </r>
    <phoneticPr fontId="137" type="noConversion"/>
  </si>
  <si>
    <r>
      <rPr>
        <sz val="9"/>
        <rFont val="Arial"/>
        <family val="2"/>
      </rPr>
      <t>10</t>
    </r>
    <r>
      <rPr>
        <sz val="9"/>
        <rFont val="宋体"/>
        <family val="3"/>
        <charset val="134"/>
      </rPr>
      <t>幢</t>
    </r>
    <r>
      <rPr>
        <sz val="9"/>
        <rFont val="Arial"/>
        <family val="2"/>
      </rPr>
      <t>-2-2077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</si>
  <si>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2078</t>
    </r>
    <phoneticPr fontId="137" type="noConversion"/>
  </si>
  <si>
    <r>
      <rPr>
        <sz val="9"/>
        <rFont val="Arial"/>
        <family val="2"/>
      </rPr>
      <t>10</t>
    </r>
    <r>
      <rPr>
        <sz val="9"/>
        <rFont val="宋体"/>
        <family val="3"/>
        <charset val="134"/>
      </rPr>
      <t>幢</t>
    </r>
    <r>
      <rPr>
        <sz val="9"/>
        <rFont val="Arial"/>
        <family val="2"/>
      </rPr>
      <t>-2-2079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</si>
  <si>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2080</t>
    </r>
    <phoneticPr fontId="137" type="noConversion"/>
  </si>
  <si>
    <r>
      <rPr>
        <sz val="9"/>
        <rFont val="Arial"/>
        <family val="2"/>
      </rPr>
      <t>10</t>
    </r>
    <r>
      <rPr>
        <sz val="9"/>
        <rFont val="宋体"/>
        <family val="3"/>
        <charset val="134"/>
      </rPr>
      <t>幢</t>
    </r>
    <r>
      <rPr>
        <sz val="9"/>
        <rFont val="Arial"/>
        <family val="2"/>
      </rPr>
      <t>-2-2081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</si>
  <si>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2082</t>
    </r>
    <phoneticPr fontId="137" type="noConversion"/>
  </si>
  <si>
    <r>
      <rPr>
        <sz val="9"/>
        <rFont val="Arial"/>
        <family val="2"/>
      </rPr>
      <t>10</t>
    </r>
    <r>
      <rPr>
        <sz val="9"/>
        <rFont val="宋体"/>
        <family val="3"/>
        <charset val="134"/>
      </rPr>
      <t>幢</t>
    </r>
    <r>
      <rPr>
        <sz val="9"/>
        <rFont val="Arial"/>
        <family val="2"/>
      </rPr>
      <t>-2-2083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</si>
  <si>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2084</t>
    </r>
    <phoneticPr fontId="137" type="noConversion"/>
  </si>
  <si>
    <r>
      <rPr>
        <sz val="9"/>
        <rFont val="Arial"/>
        <family val="2"/>
      </rPr>
      <t>10</t>
    </r>
    <r>
      <rPr>
        <sz val="9"/>
        <rFont val="宋体"/>
        <family val="3"/>
        <charset val="134"/>
      </rPr>
      <t>幢</t>
    </r>
    <r>
      <rPr>
        <sz val="9"/>
        <rFont val="Arial"/>
        <family val="2"/>
      </rPr>
      <t>-2-2085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</si>
  <si>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2086</t>
    </r>
    <phoneticPr fontId="137" type="noConversion"/>
  </si>
  <si>
    <r>
      <rPr>
        <sz val="9"/>
        <rFont val="Arial"/>
        <family val="2"/>
      </rPr>
      <t>10</t>
    </r>
    <r>
      <rPr>
        <sz val="9"/>
        <rFont val="宋体"/>
        <family val="3"/>
        <charset val="134"/>
      </rPr>
      <t>幢</t>
    </r>
    <r>
      <rPr>
        <sz val="9"/>
        <rFont val="Arial"/>
        <family val="2"/>
      </rPr>
      <t>-2-2087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</si>
  <si>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2088</t>
    </r>
    <phoneticPr fontId="137" type="noConversion"/>
  </si>
  <si>
    <r>
      <rPr>
        <sz val="9"/>
        <rFont val="Arial"/>
        <family val="2"/>
      </rPr>
      <t>10</t>
    </r>
    <r>
      <rPr>
        <sz val="9"/>
        <rFont val="宋体"/>
        <family val="3"/>
        <charset val="134"/>
      </rPr>
      <t>幢</t>
    </r>
    <r>
      <rPr>
        <sz val="9"/>
        <rFont val="Arial"/>
        <family val="2"/>
      </rPr>
      <t>-2-2089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</si>
  <si>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2090</t>
    </r>
    <phoneticPr fontId="137" type="noConversion"/>
  </si>
  <si>
    <r>
      <rPr>
        <sz val="9"/>
        <rFont val="Arial"/>
        <family val="2"/>
      </rPr>
      <t>10</t>
    </r>
    <r>
      <rPr>
        <sz val="9"/>
        <rFont val="宋体"/>
        <family val="3"/>
        <charset val="134"/>
      </rPr>
      <t>幢</t>
    </r>
    <r>
      <rPr>
        <sz val="9"/>
        <rFont val="Arial"/>
        <family val="2"/>
      </rPr>
      <t>-2-2091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</si>
  <si>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2092</t>
    </r>
    <phoneticPr fontId="137" type="noConversion"/>
  </si>
  <si>
    <r>
      <rPr>
        <sz val="9"/>
        <rFont val="Arial"/>
        <family val="2"/>
      </rPr>
      <t>10</t>
    </r>
    <r>
      <rPr>
        <sz val="9"/>
        <rFont val="宋体"/>
        <family val="3"/>
        <charset val="134"/>
      </rPr>
      <t>幢</t>
    </r>
    <r>
      <rPr>
        <sz val="9"/>
        <rFont val="Arial"/>
        <family val="2"/>
      </rPr>
      <t>-2-2093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</si>
  <si>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2094</t>
    </r>
    <phoneticPr fontId="137" type="noConversion"/>
  </si>
  <si>
    <r>
      <rPr>
        <sz val="9"/>
        <rFont val="Arial"/>
        <family val="2"/>
      </rPr>
      <t>10</t>
    </r>
    <r>
      <rPr>
        <sz val="9"/>
        <rFont val="宋体"/>
        <family val="3"/>
        <charset val="134"/>
      </rPr>
      <t>幢</t>
    </r>
    <r>
      <rPr>
        <sz val="9"/>
        <rFont val="Arial"/>
        <family val="2"/>
      </rPr>
      <t>-2-2095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</si>
  <si>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2096</t>
    </r>
    <phoneticPr fontId="137" type="noConversion"/>
  </si>
  <si>
    <r>
      <rPr>
        <sz val="9"/>
        <rFont val="Arial"/>
        <family val="2"/>
      </rPr>
      <t>10</t>
    </r>
    <r>
      <rPr>
        <sz val="9"/>
        <rFont val="宋体"/>
        <family val="3"/>
        <charset val="134"/>
      </rPr>
      <t>幢</t>
    </r>
    <r>
      <rPr>
        <sz val="9"/>
        <rFont val="Arial"/>
        <family val="2"/>
      </rPr>
      <t>-2-2097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</si>
  <si>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2098</t>
    </r>
    <phoneticPr fontId="137" type="noConversion"/>
  </si>
  <si>
    <r>
      <rPr>
        <sz val="9"/>
        <rFont val="Arial"/>
        <family val="2"/>
      </rPr>
      <t>10</t>
    </r>
    <r>
      <rPr>
        <sz val="9"/>
        <rFont val="宋体"/>
        <family val="3"/>
        <charset val="134"/>
      </rPr>
      <t>幢</t>
    </r>
    <r>
      <rPr>
        <sz val="9"/>
        <rFont val="Arial"/>
        <family val="2"/>
      </rPr>
      <t>-2-2099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</si>
  <si>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2100</t>
    </r>
    <phoneticPr fontId="137" type="noConversion"/>
  </si>
  <si>
    <r>
      <rPr>
        <sz val="9"/>
        <rFont val="Arial"/>
        <family val="2"/>
      </rPr>
      <t>10</t>
    </r>
    <r>
      <rPr>
        <sz val="9"/>
        <rFont val="宋体"/>
        <family val="3"/>
        <charset val="134"/>
      </rPr>
      <t>幢</t>
    </r>
    <r>
      <rPr>
        <sz val="9"/>
        <rFont val="Arial"/>
        <family val="2"/>
      </rPr>
      <t>-2-2101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</si>
  <si>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2102</t>
    </r>
    <phoneticPr fontId="137" type="noConversion"/>
  </si>
  <si>
    <r>
      <rPr>
        <sz val="9"/>
        <rFont val="Arial"/>
        <family val="2"/>
      </rPr>
      <t>10</t>
    </r>
    <r>
      <rPr>
        <sz val="9"/>
        <rFont val="宋体"/>
        <family val="3"/>
        <charset val="134"/>
      </rPr>
      <t>幢</t>
    </r>
    <r>
      <rPr>
        <sz val="9"/>
        <rFont val="Arial"/>
        <family val="2"/>
      </rPr>
      <t>-2-2103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</si>
  <si>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2104</t>
    </r>
    <phoneticPr fontId="137" type="noConversion"/>
  </si>
  <si>
    <r>
      <rPr>
        <sz val="9"/>
        <rFont val="Arial"/>
        <family val="2"/>
      </rPr>
      <t>10</t>
    </r>
    <r>
      <rPr>
        <sz val="9"/>
        <rFont val="宋体"/>
        <family val="3"/>
        <charset val="134"/>
      </rPr>
      <t>幢</t>
    </r>
    <r>
      <rPr>
        <sz val="9"/>
        <rFont val="Arial"/>
        <family val="2"/>
      </rPr>
      <t>-2-2105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</si>
  <si>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2106</t>
    </r>
    <phoneticPr fontId="137" type="noConversion"/>
  </si>
  <si>
    <r>
      <rPr>
        <sz val="9"/>
        <rFont val="Arial"/>
        <family val="2"/>
      </rPr>
      <t>10</t>
    </r>
    <r>
      <rPr>
        <sz val="9"/>
        <rFont val="宋体"/>
        <family val="3"/>
        <charset val="134"/>
      </rPr>
      <t>幢</t>
    </r>
    <r>
      <rPr>
        <sz val="9"/>
        <rFont val="Arial"/>
        <family val="2"/>
      </rPr>
      <t>-2-2107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</si>
  <si>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2108</t>
    </r>
    <phoneticPr fontId="137" type="noConversion"/>
  </si>
  <si>
    <r>
      <rPr>
        <sz val="9"/>
        <rFont val="Arial"/>
        <family val="2"/>
      </rPr>
      <t>10</t>
    </r>
    <r>
      <rPr>
        <sz val="9"/>
        <rFont val="宋体"/>
        <family val="3"/>
        <charset val="134"/>
      </rPr>
      <t>幢</t>
    </r>
    <r>
      <rPr>
        <sz val="9"/>
        <rFont val="Arial"/>
        <family val="2"/>
      </rPr>
      <t>-2-2109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</si>
  <si>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2110</t>
    </r>
    <phoneticPr fontId="137" type="noConversion"/>
  </si>
  <si>
    <r>
      <rPr>
        <sz val="9"/>
        <rFont val="Arial"/>
        <family val="2"/>
      </rPr>
      <t>10</t>
    </r>
    <r>
      <rPr>
        <sz val="9"/>
        <rFont val="宋体"/>
        <family val="3"/>
        <charset val="134"/>
      </rPr>
      <t>幢</t>
    </r>
    <r>
      <rPr>
        <sz val="9"/>
        <rFont val="Arial"/>
        <family val="2"/>
      </rPr>
      <t>-2-2111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</si>
  <si>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2112</t>
    </r>
    <phoneticPr fontId="137" type="noConversion"/>
  </si>
  <si>
    <r>
      <rPr>
        <sz val="9"/>
        <rFont val="Arial"/>
        <family val="2"/>
      </rPr>
      <t>10</t>
    </r>
    <r>
      <rPr>
        <sz val="9"/>
        <rFont val="宋体"/>
        <family val="3"/>
        <charset val="134"/>
      </rPr>
      <t>幢</t>
    </r>
    <r>
      <rPr>
        <sz val="9"/>
        <rFont val="Arial"/>
        <family val="2"/>
      </rPr>
      <t>-2-2113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</si>
  <si>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2114</t>
    </r>
    <phoneticPr fontId="137" type="noConversion"/>
  </si>
  <si>
    <r>
      <rPr>
        <sz val="9"/>
        <rFont val="Arial"/>
        <family val="2"/>
      </rPr>
      <t>10</t>
    </r>
    <r>
      <rPr>
        <sz val="9"/>
        <rFont val="宋体"/>
        <family val="3"/>
        <charset val="134"/>
      </rPr>
      <t>幢</t>
    </r>
    <r>
      <rPr>
        <sz val="9"/>
        <rFont val="Arial"/>
        <family val="2"/>
      </rPr>
      <t>-2-2115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</si>
  <si>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2116</t>
    </r>
    <phoneticPr fontId="137" type="noConversion"/>
  </si>
  <si>
    <r>
      <rPr>
        <sz val="9"/>
        <rFont val="Arial"/>
        <family val="2"/>
      </rPr>
      <t>10</t>
    </r>
    <r>
      <rPr>
        <sz val="9"/>
        <rFont val="宋体"/>
        <family val="3"/>
        <charset val="134"/>
      </rPr>
      <t>幢</t>
    </r>
    <r>
      <rPr>
        <sz val="9"/>
        <rFont val="Arial"/>
        <family val="2"/>
      </rPr>
      <t>-2-2117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</si>
  <si>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2118</t>
    </r>
    <phoneticPr fontId="137" type="noConversion"/>
  </si>
  <si>
    <r>
      <rPr>
        <sz val="9"/>
        <rFont val="Arial"/>
        <family val="2"/>
      </rPr>
      <t>10</t>
    </r>
    <r>
      <rPr>
        <sz val="9"/>
        <rFont val="宋体"/>
        <family val="3"/>
        <charset val="134"/>
      </rPr>
      <t>幢</t>
    </r>
    <r>
      <rPr>
        <sz val="9"/>
        <rFont val="Arial"/>
        <family val="2"/>
      </rPr>
      <t>-2-2119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</si>
  <si>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2120</t>
    </r>
    <phoneticPr fontId="137" type="noConversion"/>
  </si>
  <si>
    <r>
      <rPr>
        <sz val="9"/>
        <rFont val="Arial"/>
        <family val="2"/>
      </rPr>
      <t>10</t>
    </r>
    <r>
      <rPr>
        <sz val="9"/>
        <rFont val="宋体"/>
        <family val="3"/>
        <charset val="134"/>
      </rPr>
      <t>幢</t>
    </r>
    <r>
      <rPr>
        <sz val="9"/>
        <rFont val="Arial"/>
        <family val="2"/>
      </rPr>
      <t>-2-2121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</si>
  <si>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2122</t>
    </r>
    <phoneticPr fontId="137" type="noConversion"/>
  </si>
  <si>
    <r>
      <rPr>
        <sz val="9"/>
        <rFont val="Arial"/>
        <family val="2"/>
      </rPr>
      <t>10</t>
    </r>
    <r>
      <rPr>
        <sz val="9"/>
        <rFont val="宋体"/>
        <family val="3"/>
        <charset val="134"/>
      </rPr>
      <t>幢</t>
    </r>
    <r>
      <rPr>
        <sz val="9"/>
        <rFont val="Arial"/>
        <family val="2"/>
      </rPr>
      <t>-2-2123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</si>
  <si>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2124</t>
    </r>
    <phoneticPr fontId="137" type="noConversion"/>
  </si>
  <si>
    <r>
      <rPr>
        <sz val="9"/>
        <rFont val="Arial"/>
        <family val="2"/>
      </rPr>
      <t>10</t>
    </r>
    <r>
      <rPr>
        <sz val="9"/>
        <rFont val="宋体"/>
        <family val="3"/>
        <charset val="134"/>
      </rPr>
      <t>幢</t>
    </r>
    <r>
      <rPr>
        <sz val="9"/>
        <rFont val="Arial"/>
        <family val="2"/>
      </rPr>
      <t>-2-2125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</si>
  <si>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2126</t>
    </r>
    <phoneticPr fontId="137" type="noConversion"/>
  </si>
  <si>
    <r>
      <rPr>
        <sz val="9"/>
        <rFont val="Arial"/>
        <family val="2"/>
      </rPr>
      <t>10</t>
    </r>
    <r>
      <rPr>
        <sz val="9"/>
        <rFont val="宋体"/>
        <family val="3"/>
        <charset val="134"/>
      </rPr>
      <t>幢</t>
    </r>
    <r>
      <rPr>
        <sz val="9"/>
        <rFont val="Arial"/>
        <family val="2"/>
      </rPr>
      <t>-2-2127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</si>
  <si>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2128</t>
    </r>
    <phoneticPr fontId="137" type="noConversion"/>
  </si>
  <si>
    <r>
      <rPr>
        <sz val="9"/>
        <rFont val="Arial"/>
        <family val="2"/>
      </rPr>
      <t>10</t>
    </r>
    <r>
      <rPr>
        <sz val="9"/>
        <rFont val="宋体"/>
        <family val="3"/>
        <charset val="134"/>
      </rPr>
      <t>幢</t>
    </r>
    <r>
      <rPr>
        <sz val="9"/>
        <rFont val="Arial"/>
        <family val="2"/>
      </rPr>
      <t>-2-2129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</si>
  <si>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2130</t>
    </r>
    <phoneticPr fontId="137" type="noConversion"/>
  </si>
  <si>
    <r>
      <rPr>
        <sz val="9"/>
        <rFont val="Arial"/>
        <family val="2"/>
      </rPr>
      <t>10</t>
    </r>
    <r>
      <rPr>
        <sz val="9"/>
        <rFont val="宋体"/>
        <family val="3"/>
        <charset val="134"/>
      </rPr>
      <t>幢</t>
    </r>
    <r>
      <rPr>
        <sz val="9"/>
        <rFont val="Arial"/>
        <family val="2"/>
      </rPr>
      <t>-2-2131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</si>
  <si>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2132</t>
    </r>
    <phoneticPr fontId="137" type="noConversion"/>
  </si>
  <si>
    <r>
      <rPr>
        <sz val="9"/>
        <rFont val="Arial"/>
        <family val="2"/>
      </rPr>
      <t>10</t>
    </r>
    <r>
      <rPr>
        <sz val="9"/>
        <rFont val="宋体"/>
        <family val="3"/>
        <charset val="134"/>
      </rPr>
      <t>幢</t>
    </r>
    <r>
      <rPr>
        <sz val="9"/>
        <rFont val="Arial"/>
        <family val="2"/>
      </rPr>
      <t>-2-2133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</si>
  <si>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2134</t>
    </r>
    <phoneticPr fontId="137" type="noConversion"/>
  </si>
  <si>
    <r>
      <rPr>
        <sz val="9"/>
        <rFont val="Arial"/>
        <family val="2"/>
      </rPr>
      <t>10</t>
    </r>
    <r>
      <rPr>
        <sz val="9"/>
        <rFont val="宋体"/>
        <family val="3"/>
        <charset val="134"/>
      </rPr>
      <t>幢</t>
    </r>
    <r>
      <rPr>
        <sz val="9"/>
        <rFont val="Arial"/>
        <family val="2"/>
      </rPr>
      <t>-2-2135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</si>
  <si>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2136</t>
    </r>
    <phoneticPr fontId="137" type="noConversion"/>
  </si>
  <si>
    <r>
      <rPr>
        <sz val="9"/>
        <rFont val="Arial"/>
        <family val="2"/>
      </rPr>
      <t>10</t>
    </r>
    <r>
      <rPr>
        <sz val="9"/>
        <rFont val="宋体"/>
        <family val="3"/>
        <charset val="134"/>
      </rPr>
      <t>幢</t>
    </r>
    <r>
      <rPr>
        <sz val="9"/>
        <rFont val="Arial"/>
        <family val="2"/>
      </rPr>
      <t>-2-2137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</si>
  <si>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2138</t>
    </r>
    <phoneticPr fontId="137" type="noConversion"/>
  </si>
  <si>
    <r>
      <rPr>
        <sz val="9"/>
        <rFont val="Arial"/>
        <family val="2"/>
      </rPr>
      <t>10</t>
    </r>
    <r>
      <rPr>
        <sz val="9"/>
        <rFont val="宋体"/>
        <family val="3"/>
        <charset val="134"/>
      </rPr>
      <t>幢</t>
    </r>
    <r>
      <rPr>
        <sz val="9"/>
        <rFont val="Arial"/>
        <family val="2"/>
      </rPr>
      <t>-2-2139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</si>
  <si>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2140</t>
    </r>
    <phoneticPr fontId="137" type="noConversion"/>
  </si>
  <si>
    <r>
      <rPr>
        <sz val="9"/>
        <rFont val="Arial"/>
        <family val="2"/>
      </rPr>
      <t>10</t>
    </r>
    <r>
      <rPr>
        <sz val="9"/>
        <rFont val="宋体"/>
        <family val="3"/>
        <charset val="134"/>
      </rPr>
      <t>幢</t>
    </r>
    <r>
      <rPr>
        <sz val="9"/>
        <rFont val="Arial"/>
        <family val="2"/>
      </rPr>
      <t>-2-2141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</si>
  <si>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2142</t>
    </r>
    <phoneticPr fontId="137" type="noConversion"/>
  </si>
  <si>
    <r>
      <rPr>
        <sz val="9"/>
        <rFont val="Arial"/>
        <family val="2"/>
      </rPr>
      <t>10</t>
    </r>
    <r>
      <rPr>
        <sz val="9"/>
        <rFont val="宋体"/>
        <family val="3"/>
        <charset val="134"/>
      </rPr>
      <t>幢</t>
    </r>
    <r>
      <rPr>
        <sz val="9"/>
        <rFont val="Arial"/>
        <family val="2"/>
      </rPr>
      <t>-2-2143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</si>
  <si>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2144</t>
    </r>
    <phoneticPr fontId="137" type="noConversion"/>
  </si>
  <si>
    <r>
      <rPr>
        <sz val="9"/>
        <rFont val="Arial"/>
        <family val="2"/>
      </rPr>
      <t>10</t>
    </r>
    <r>
      <rPr>
        <sz val="9"/>
        <rFont val="宋体"/>
        <family val="3"/>
        <charset val="134"/>
      </rPr>
      <t>幢</t>
    </r>
    <r>
      <rPr>
        <sz val="9"/>
        <rFont val="Arial"/>
        <family val="2"/>
      </rPr>
      <t>-2-2145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</si>
  <si>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2146</t>
    </r>
    <phoneticPr fontId="137" type="noConversion"/>
  </si>
  <si>
    <r>
      <rPr>
        <sz val="9"/>
        <rFont val="Arial"/>
        <family val="2"/>
      </rPr>
      <t>10</t>
    </r>
    <r>
      <rPr>
        <sz val="9"/>
        <rFont val="宋体"/>
        <family val="3"/>
        <charset val="134"/>
      </rPr>
      <t>幢</t>
    </r>
    <r>
      <rPr>
        <sz val="9"/>
        <rFont val="Arial"/>
        <family val="2"/>
      </rPr>
      <t>-2-2147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</si>
  <si>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2148</t>
    </r>
    <phoneticPr fontId="137" type="noConversion"/>
  </si>
  <si>
    <r>
      <rPr>
        <sz val="9"/>
        <rFont val="Arial"/>
        <family val="2"/>
      </rPr>
      <t>10</t>
    </r>
    <r>
      <rPr>
        <sz val="9"/>
        <rFont val="宋体"/>
        <family val="3"/>
        <charset val="134"/>
      </rPr>
      <t>幢</t>
    </r>
    <r>
      <rPr>
        <sz val="9"/>
        <rFont val="Arial"/>
        <family val="2"/>
      </rPr>
      <t>-2-2149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</si>
  <si>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2150</t>
    </r>
    <phoneticPr fontId="137" type="noConversion"/>
  </si>
  <si>
    <r>
      <rPr>
        <sz val="9"/>
        <rFont val="Arial"/>
        <family val="2"/>
      </rPr>
      <t>10</t>
    </r>
    <r>
      <rPr>
        <sz val="9"/>
        <rFont val="宋体"/>
        <family val="3"/>
        <charset val="134"/>
      </rPr>
      <t>幢</t>
    </r>
    <r>
      <rPr>
        <sz val="9"/>
        <rFont val="Arial"/>
        <family val="2"/>
      </rPr>
      <t>-2-2151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</si>
  <si>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2152</t>
    </r>
    <phoneticPr fontId="137" type="noConversion"/>
  </si>
  <si>
    <r>
      <rPr>
        <sz val="9"/>
        <rFont val="Arial"/>
        <family val="2"/>
      </rPr>
      <t>10</t>
    </r>
    <r>
      <rPr>
        <sz val="9"/>
        <rFont val="宋体"/>
        <family val="3"/>
        <charset val="134"/>
      </rPr>
      <t>幢</t>
    </r>
    <r>
      <rPr>
        <sz val="9"/>
        <rFont val="Arial"/>
        <family val="2"/>
      </rPr>
      <t>-2-2153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</si>
  <si>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2154</t>
    </r>
    <phoneticPr fontId="137" type="noConversion"/>
  </si>
  <si>
    <r>
      <rPr>
        <sz val="9"/>
        <rFont val="Arial"/>
        <family val="2"/>
      </rPr>
      <t>10</t>
    </r>
    <r>
      <rPr>
        <sz val="9"/>
        <rFont val="宋体"/>
        <family val="3"/>
        <charset val="134"/>
      </rPr>
      <t>幢</t>
    </r>
    <r>
      <rPr>
        <sz val="9"/>
        <rFont val="Arial"/>
        <family val="2"/>
      </rPr>
      <t>-2-2155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</si>
  <si>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2156</t>
    </r>
    <phoneticPr fontId="137" type="noConversion"/>
  </si>
  <si>
    <r>
      <rPr>
        <sz val="9"/>
        <rFont val="Arial"/>
        <family val="2"/>
      </rPr>
      <t>10</t>
    </r>
    <r>
      <rPr>
        <sz val="9"/>
        <rFont val="宋体"/>
        <family val="3"/>
        <charset val="134"/>
      </rPr>
      <t>幢</t>
    </r>
    <r>
      <rPr>
        <sz val="9"/>
        <rFont val="Arial"/>
        <family val="2"/>
      </rPr>
      <t>-2-2157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</si>
  <si>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2158</t>
    </r>
    <phoneticPr fontId="137" type="noConversion"/>
  </si>
  <si>
    <r>
      <rPr>
        <sz val="9"/>
        <rFont val="Arial"/>
        <family val="2"/>
      </rPr>
      <t>10</t>
    </r>
    <r>
      <rPr>
        <sz val="9"/>
        <rFont val="宋体"/>
        <family val="3"/>
        <charset val="134"/>
      </rPr>
      <t>幢</t>
    </r>
    <r>
      <rPr>
        <sz val="9"/>
        <rFont val="Arial"/>
        <family val="2"/>
      </rPr>
      <t>-2-2159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</si>
  <si>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2160</t>
    </r>
    <phoneticPr fontId="137" type="noConversion"/>
  </si>
  <si>
    <r>
      <rPr>
        <sz val="9"/>
        <rFont val="Arial"/>
        <family val="2"/>
      </rPr>
      <t>10</t>
    </r>
    <r>
      <rPr>
        <sz val="9"/>
        <rFont val="宋体"/>
        <family val="3"/>
        <charset val="134"/>
      </rPr>
      <t>幢</t>
    </r>
    <r>
      <rPr>
        <sz val="9"/>
        <rFont val="Arial"/>
        <family val="2"/>
      </rPr>
      <t>-2-2161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</si>
  <si>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2162</t>
    </r>
    <phoneticPr fontId="137" type="noConversion"/>
  </si>
  <si>
    <r>
      <rPr>
        <sz val="9"/>
        <rFont val="Arial"/>
        <family val="2"/>
      </rPr>
      <t>10</t>
    </r>
    <r>
      <rPr>
        <sz val="9"/>
        <rFont val="宋体"/>
        <family val="3"/>
        <charset val="134"/>
      </rPr>
      <t>幢</t>
    </r>
    <r>
      <rPr>
        <sz val="9"/>
        <rFont val="Arial"/>
        <family val="2"/>
      </rPr>
      <t>-2-2163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</si>
  <si>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2164</t>
    </r>
    <phoneticPr fontId="137" type="noConversion"/>
  </si>
  <si>
    <r>
      <rPr>
        <sz val="9"/>
        <rFont val="Arial"/>
        <family val="2"/>
      </rPr>
      <t>10</t>
    </r>
    <r>
      <rPr>
        <sz val="9"/>
        <rFont val="宋体"/>
        <family val="3"/>
        <charset val="134"/>
      </rPr>
      <t>幢</t>
    </r>
    <r>
      <rPr>
        <sz val="9"/>
        <rFont val="Arial"/>
        <family val="2"/>
      </rPr>
      <t>-2-2165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</si>
  <si>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2166</t>
    </r>
    <phoneticPr fontId="137" type="noConversion"/>
  </si>
  <si>
    <r>
      <rPr>
        <sz val="9"/>
        <rFont val="Arial"/>
        <family val="2"/>
      </rPr>
      <t>10</t>
    </r>
    <r>
      <rPr>
        <sz val="9"/>
        <rFont val="宋体"/>
        <family val="3"/>
        <charset val="134"/>
      </rPr>
      <t>幢</t>
    </r>
    <r>
      <rPr>
        <sz val="9"/>
        <rFont val="Arial"/>
        <family val="2"/>
      </rPr>
      <t>-2-2167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</si>
  <si>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2168</t>
    </r>
    <phoneticPr fontId="137" type="noConversion"/>
  </si>
  <si>
    <r>
      <rPr>
        <sz val="9"/>
        <rFont val="Arial"/>
        <family val="2"/>
      </rPr>
      <t>10</t>
    </r>
    <r>
      <rPr>
        <sz val="9"/>
        <rFont val="宋体"/>
        <family val="3"/>
        <charset val="134"/>
      </rPr>
      <t>幢</t>
    </r>
    <r>
      <rPr>
        <sz val="9"/>
        <rFont val="Arial"/>
        <family val="2"/>
      </rPr>
      <t>-2-2169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</si>
  <si>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2170</t>
    </r>
    <phoneticPr fontId="137" type="noConversion"/>
  </si>
  <si>
    <r>
      <rPr>
        <sz val="9"/>
        <rFont val="Arial"/>
        <family val="2"/>
      </rPr>
      <t>10</t>
    </r>
    <r>
      <rPr>
        <sz val="9"/>
        <rFont val="宋体"/>
        <family val="3"/>
        <charset val="134"/>
      </rPr>
      <t>幢</t>
    </r>
    <r>
      <rPr>
        <sz val="9"/>
        <rFont val="Arial"/>
        <family val="2"/>
      </rPr>
      <t>-2-2171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</si>
  <si>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2172</t>
    </r>
    <phoneticPr fontId="137" type="noConversion"/>
  </si>
  <si>
    <r>
      <rPr>
        <sz val="9"/>
        <rFont val="Arial"/>
        <family val="2"/>
      </rPr>
      <t>10</t>
    </r>
    <r>
      <rPr>
        <sz val="9"/>
        <rFont val="宋体"/>
        <family val="3"/>
        <charset val="134"/>
      </rPr>
      <t>幢</t>
    </r>
    <r>
      <rPr>
        <sz val="9"/>
        <rFont val="Arial"/>
        <family val="2"/>
      </rPr>
      <t>-2-2173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</si>
  <si>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2174</t>
    </r>
    <phoneticPr fontId="137" type="noConversion"/>
  </si>
  <si>
    <r>
      <rPr>
        <sz val="9"/>
        <rFont val="Arial"/>
        <family val="2"/>
      </rPr>
      <t>10</t>
    </r>
    <r>
      <rPr>
        <sz val="9"/>
        <rFont val="宋体"/>
        <family val="3"/>
        <charset val="134"/>
      </rPr>
      <t>幢</t>
    </r>
    <r>
      <rPr>
        <sz val="9"/>
        <rFont val="Arial"/>
        <family val="2"/>
      </rPr>
      <t>-2-2175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</si>
  <si>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2176</t>
    </r>
    <phoneticPr fontId="137" type="noConversion"/>
  </si>
  <si>
    <r>
      <rPr>
        <sz val="9"/>
        <rFont val="Arial"/>
        <family val="2"/>
      </rPr>
      <t>10</t>
    </r>
    <r>
      <rPr>
        <sz val="9"/>
        <rFont val="宋体"/>
        <family val="3"/>
        <charset val="134"/>
      </rPr>
      <t>幢</t>
    </r>
    <r>
      <rPr>
        <sz val="9"/>
        <rFont val="Arial"/>
        <family val="2"/>
      </rPr>
      <t>-2-2177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</si>
  <si>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2178</t>
    </r>
    <phoneticPr fontId="137" type="noConversion"/>
  </si>
  <si>
    <r>
      <rPr>
        <sz val="9"/>
        <rFont val="Arial"/>
        <family val="2"/>
      </rPr>
      <t>10</t>
    </r>
    <r>
      <rPr>
        <sz val="9"/>
        <rFont val="宋体"/>
        <family val="3"/>
        <charset val="134"/>
      </rPr>
      <t>幢</t>
    </r>
    <r>
      <rPr>
        <sz val="9"/>
        <rFont val="Arial"/>
        <family val="2"/>
      </rPr>
      <t>-2-2179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</si>
  <si>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2180</t>
    </r>
    <phoneticPr fontId="137" type="noConversion"/>
  </si>
  <si>
    <r>
      <rPr>
        <sz val="9"/>
        <rFont val="Arial"/>
        <family val="2"/>
      </rPr>
      <t>10</t>
    </r>
    <r>
      <rPr>
        <sz val="9"/>
        <rFont val="宋体"/>
        <family val="3"/>
        <charset val="134"/>
      </rPr>
      <t>幢</t>
    </r>
    <r>
      <rPr>
        <sz val="9"/>
        <rFont val="Arial"/>
        <family val="2"/>
      </rPr>
      <t>-2-2181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</si>
  <si>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2182</t>
    </r>
    <phoneticPr fontId="137" type="noConversion"/>
  </si>
  <si>
    <r>
      <rPr>
        <sz val="9"/>
        <rFont val="Arial"/>
        <family val="2"/>
      </rPr>
      <t>10</t>
    </r>
    <r>
      <rPr>
        <sz val="9"/>
        <rFont val="宋体"/>
        <family val="3"/>
        <charset val="134"/>
      </rPr>
      <t>幢</t>
    </r>
    <r>
      <rPr>
        <sz val="9"/>
        <rFont val="Arial"/>
        <family val="2"/>
      </rPr>
      <t>-2-2183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</si>
  <si>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2184</t>
    </r>
    <phoneticPr fontId="137" type="noConversion"/>
  </si>
  <si>
    <r>
      <rPr>
        <sz val="9"/>
        <rFont val="Arial"/>
        <family val="2"/>
      </rPr>
      <t>10</t>
    </r>
    <r>
      <rPr>
        <sz val="9"/>
        <rFont val="宋体"/>
        <family val="3"/>
        <charset val="134"/>
      </rPr>
      <t>幢</t>
    </r>
    <r>
      <rPr>
        <sz val="9"/>
        <rFont val="Arial"/>
        <family val="2"/>
      </rPr>
      <t>-2-2185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</si>
  <si>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2186</t>
    </r>
    <phoneticPr fontId="137" type="noConversion"/>
  </si>
  <si>
    <r>
      <rPr>
        <sz val="9"/>
        <rFont val="Arial"/>
        <family val="2"/>
      </rPr>
      <t>10</t>
    </r>
    <r>
      <rPr>
        <sz val="9"/>
        <rFont val="宋体"/>
        <family val="3"/>
        <charset val="134"/>
      </rPr>
      <t>幢</t>
    </r>
    <r>
      <rPr>
        <sz val="9"/>
        <rFont val="Arial"/>
        <family val="2"/>
      </rPr>
      <t>-2-2187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</si>
  <si>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2188</t>
    </r>
    <phoneticPr fontId="137" type="noConversion"/>
  </si>
  <si>
    <r>
      <rPr>
        <sz val="9"/>
        <rFont val="Arial"/>
        <family val="2"/>
      </rPr>
      <t>10</t>
    </r>
    <r>
      <rPr>
        <sz val="9"/>
        <rFont val="宋体"/>
        <family val="3"/>
        <charset val="134"/>
      </rPr>
      <t>幢</t>
    </r>
    <r>
      <rPr>
        <sz val="9"/>
        <rFont val="Arial"/>
        <family val="2"/>
      </rPr>
      <t>-2-2189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</si>
  <si>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2190</t>
    </r>
    <phoneticPr fontId="137" type="noConversion"/>
  </si>
  <si>
    <r>
      <rPr>
        <sz val="9"/>
        <rFont val="Arial"/>
        <family val="2"/>
      </rPr>
      <t>10</t>
    </r>
    <r>
      <rPr>
        <sz val="9"/>
        <rFont val="宋体"/>
        <family val="3"/>
        <charset val="134"/>
      </rPr>
      <t>幢</t>
    </r>
    <r>
      <rPr>
        <sz val="9"/>
        <rFont val="Arial"/>
        <family val="2"/>
      </rPr>
      <t>-2-2191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</si>
  <si>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2192</t>
    </r>
    <phoneticPr fontId="137" type="noConversion"/>
  </si>
  <si>
    <r>
      <rPr>
        <sz val="9"/>
        <rFont val="Arial"/>
        <family val="2"/>
      </rPr>
      <t>10</t>
    </r>
    <r>
      <rPr>
        <sz val="9"/>
        <rFont val="宋体"/>
        <family val="3"/>
        <charset val="134"/>
      </rPr>
      <t>幢</t>
    </r>
    <r>
      <rPr>
        <sz val="9"/>
        <rFont val="Arial"/>
        <family val="2"/>
      </rPr>
      <t>-2-2193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</si>
  <si>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2194</t>
    </r>
    <phoneticPr fontId="137" type="noConversion"/>
  </si>
  <si>
    <r>
      <rPr>
        <sz val="9"/>
        <rFont val="Arial"/>
        <family val="2"/>
      </rPr>
      <t>10</t>
    </r>
    <r>
      <rPr>
        <sz val="9"/>
        <rFont val="宋体"/>
        <family val="3"/>
        <charset val="134"/>
      </rPr>
      <t>幢</t>
    </r>
    <r>
      <rPr>
        <sz val="9"/>
        <rFont val="Arial"/>
        <family val="2"/>
      </rPr>
      <t>-2-2195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</si>
  <si>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2196</t>
    </r>
    <phoneticPr fontId="137" type="noConversion"/>
  </si>
  <si>
    <r>
      <rPr>
        <sz val="9"/>
        <rFont val="Arial"/>
        <family val="2"/>
      </rPr>
      <t>10</t>
    </r>
    <r>
      <rPr>
        <sz val="9"/>
        <rFont val="宋体"/>
        <family val="3"/>
        <charset val="134"/>
      </rPr>
      <t>幢</t>
    </r>
    <r>
      <rPr>
        <sz val="9"/>
        <rFont val="Arial"/>
        <family val="2"/>
      </rPr>
      <t>-2-2197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</si>
  <si>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2198</t>
    </r>
    <phoneticPr fontId="137" type="noConversion"/>
  </si>
  <si>
    <r>
      <rPr>
        <sz val="9"/>
        <rFont val="Arial"/>
        <family val="2"/>
      </rPr>
      <t>10</t>
    </r>
    <r>
      <rPr>
        <sz val="9"/>
        <rFont val="宋体"/>
        <family val="3"/>
        <charset val="134"/>
      </rPr>
      <t>幢</t>
    </r>
    <r>
      <rPr>
        <sz val="9"/>
        <rFont val="Arial"/>
        <family val="2"/>
      </rPr>
      <t>-2-2199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</si>
  <si>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2200</t>
    </r>
    <phoneticPr fontId="137" type="noConversion"/>
  </si>
  <si>
    <r>
      <rPr>
        <sz val="9"/>
        <rFont val="Arial"/>
        <family val="2"/>
      </rPr>
      <t>10</t>
    </r>
    <r>
      <rPr>
        <sz val="9"/>
        <rFont val="宋体"/>
        <family val="3"/>
        <charset val="134"/>
      </rPr>
      <t>幢</t>
    </r>
    <r>
      <rPr>
        <sz val="9"/>
        <rFont val="Arial"/>
        <family val="2"/>
      </rPr>
      <t>-2-2201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</si>
  <si>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2202</t>
    </r>
    <phoneticPr fontId="137" type="noConversion"/>
  </si>
  <si>
    <r>
      <rPr>
        <sz val="9"/>
        <rFont val="Arial"/>
        <family val="2"/>
      </rPr>
      <t>10</t>
    </r>
    <r>
      <rPr>
        <sz val="9"/>
        <rFont val="宋体"/>
        <family val="3"/>
        <charset val="134"/>
      </rPr>
      <t>幢</t>
    </r>
    <r>
      <rPr>
        <sz val="9"/>
        <rFont val="Arial"/>
        <family val="2"/>
      </rPr>
      <t>-2-2203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</si>
  <si>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2204</t>
    </r>
    <phoneticPr fontId="137" type="noConversion"/>
  </si>
  <si>
    <r>
      <rPr>
        <sz val="9"/>
        <rFont val="Arial"/>
        <family val="2"/>
      </rPr>
      <t>10</t>
    </r>
    <r>
      <rPr>
        <sz val="9"/>
        <rFont val="宋体"/>
        <family val="3"/>
        <charset val="134"/>
      </rPr>
      <t>幢</t>
    </r>
    <r>
      <rPr>
        <sz val="9"/>
        <rFont val="Arial"/>
        <family val="2"/>
      </rPr>
      <t>-2-2205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</si>
  <si>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2206</t>
    </r>
    <phoneticPr fontId="137" type="noConversion"/>
  </si>
  <si>
    <r>
      <rPr>
        <sz val="9"/>
        <rFont val="Arial"/>
        <family val="2"/>
      </rPr>
      <t>10</t>
    </r>
    <r>
      <rPr>
        <sz val="9"/>
        <rFont val="宋体"/>
        <family val="3"/>
        <charset val="134"/>
      </rPr>
      <t>幢</t>
    </r>
    <r>
      <rPr>
        <sz val="9"/>
        <rFont val="Arial"/>
        <family val="2"/>
      </rPr>
      <t>-2-2207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</si>
  <si>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2208</t>
    </r>
    <phoneticPr fontId="137" type="noConversion"/>
  </si>
  <si>
    <r>
      <rPr>
        <sz val="9"/>
        <rFont val="Arial"/>
        <family val="2"/>
      </rPr>
      <t>10</t>
    </r>
    <r>
      <rPr>
        <sz val="9"/>
        <rFont val="宋体"/>
        <family val="3"/>
        <charset val="134"/>
      </rPr>
      <t>幢</t>
    </r>
    <r>
      <rPr>
        <sz val="9"/>
        <rFont val="Arial"/>
        <family val="2"/>
      </rPr>
      <t>-2-2209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</si>
  <si>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2210</t>
    </r>
    <phoneticPr fontId="137" type="noConversion"/>
  </si>
  <si>
    <r>
      <rPr>
        <sz val="9"/>
        <rFont val="Arial"/>
        <family val="2"/>
      </rPr>
      <t>10</t>
    </r>
    <r>
      <rPr>
        <sz val="9"/>
        <rFont val="宋体"/>
        <family val="3"/>
        <charset val="134"/>
      </rPr>
      <t>幢</t>
    </r>
    <r>
      <rPr>
        <sz val="9"/>
        <rFont val="Arial"/>
        <family val="2"/>
      </rPr>
      <t>-2-2211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</si>
  <si>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2212</t>
    </r>
    <phoneticPr fontId="137" type="noConversion"/>
  </si>
  <si>
    <r>
      <rPr>
        <sz val="9"/>
        <rFont val="Arial"/>
        <family val="2"/>
      </rPr>
      <t>10</t>
    </r>
    <r>
      <rPr>
        <sz val="9"/>
        <rFont val="宋体"/>
        <family val="3"/>
        <charset val="134"/>
      </rPr>
      <t>幢</t>
    </r>
    <r>
      <rPr>
        <sz val="9"/>
        <rFont val="Arial"/>
        <family val="2"/>
      </rPr>
      <t>-2-2213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</si>
  <si>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2214</t>
    </r>
    <phoneticPr fontId="137" type="noConversion"/>
  </si>
  <si>
    <r>
      <rPr>
        <sz val="9"/>
        <rFont val="Arial"/>
        <family val="2"/>
      </rPr>
      <t>10</t>
    </r>
    <r>
      <rPr>
        <sz val="9"/>
        <rFont val="宋体"/>
        <family val="3"/>
        <charset val="134"/>
      </rPr>
      <t>幢</t>
    </r>
    <r>
      <rPr>
        <sz val="9"/>
        <rFont val="Arial"/>
        <family val="2"/>
      </rPr>
      <t>-2-2215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</si>
  <si>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2216</t>
    </r>
    <phoneticPr fontId="137" type="noConversion"/>
  </si>
  <si>
    <r>
      <rPr>
        <sz val="9"/>
        <rFont val="Arial"/>
        <family val="2"/>
      </rPr>
      <t>10</t>
    </r>
    <r>
      <rPr>
        <sz val="9"/>
        <rFont val="宋体"/>
        <family val="3"/>
        <charset val="134"/>
      </rPr>
      <t>幢</t>
    </r>
    <r>
      <rPr>
        <sz val="9"/>
        <rFont val="Arial"/>
        <family val="2"/>
      </rPr>
      <t>-2-2217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</si>
  <si>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2218</t>
    </r>
    <phoneticPr fontId="137" type="noConversion"/>
  </si>
  <si>
    <r>
      <rPr>
        <sz val="9"/>
        <rFont val="Arial"/>
        <family val="2"/>
      </rPr>
      <t>10</t>
    </r>
    <r>
      <rPr>
        <sz val="9"/>
        <rFont val="宋体"/>
        <family val="3"/>
        <charset val="134"/>
      </rPr>
      <t>幢</t>
    </r>
    <r>
      <rPr>
        <sz val="9"/>
        <rFont val="Arial"/>
        <family val="2"/>
      </rPr>
      <t>-2-2219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</si>
  <si>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2220</t>
    </r>
    <phoneticPr fontId="137" type="noConversion"/>
  </si>
  <si>
    <r>
      <rPr>
        <sz val="9"/>
        <rFont val="Arial"/>
        <family val="2"/>
      </rPr>
      <t>10</t>
    </r>
    <r>
      <rPr>
        <sz val="9"/>
        <rFont val="宋体"/>
        <family val="3"/>
        <charset val="134"/>
      </rPr>
      <t>幢</t>
    </r>
    <r>
      <rPr>
        <sz val="9"/>
        <rFont val="Arial"/>
        <family val="2"/>
      </rPr>
      <t>-2-2221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</si>
  <si>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2222</t>
    </r>
    <phoneticPr fontId="137" type="noConversion"/>
  </si>
  <si>
    <r>
      <rPr>
        <sz val="9"/>
        <rFont val="Arial"/>
        <family val="2"/>
      </rPr>
      <t>10</t>
    </r>
    <r>
      <rPr>
        <sz val="9"/>
        <rFont val="宋体"/>
        <family val="3"/>
        <charset val="134"/>
      </rPr>
      <t>幢</t>
    </r>
    <r>
      <rPr>
        <sz val="9"/>
        <rFont val="Arial"/>
        <family val="2"/>
      </rPr>
      <t>-2-2223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</si>
  <si>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2224</t>
    </r>
    <phoneticPr fontId="137" type="noConversion"/>
  </si>
  <si>
    <r>
      <rPr>
        <sz val="9"/>
        <rFont val="Arial"/>
        <family val="2"/>
      </rPr>
      <t>10</t>
    </r>
    <r>
      <rPr>
        <sz val="9"/>
        <rFont val="宋体"/>
        <family val="3"/>
        <charset val="134"/>
      </rPr>
      <t>幢</t>
    </r>
    <r>
      <rPr>
        <sz val="9"/>
        <rFont val="Arial"/>
        <family val="2"/>
      </rPr>
      <t>-2-2225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</si>
  <si>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2226</t>
    </r>
    <phoneticPr fontId="137" type="noConversion"/>
  </si>
  <si>
    <r>
      <rPr>
        <sz val="9"/>
        <rFont val="Arial"/>
        <family val="2"/>
      </rPr>
      <t>10</t>
    </r>
    <r>
      <rPr>
        <sz val="9"/>
        <rFont val="宋体"/>
        <family val="3"/>
        <charset val="134"/>
      </rPr>
      <t>幢</t>
    </r>
    <r>
      <rPr>
        <sz val="9"/>
        <rFont val="Arial"/>
        <family val="2"/>
      </rPr>
      <t>-2-2227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</si>
  <si>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2228</t>
    </r>
    <phoneticPr fontId="137" type="noConversion"/>
  </si>
  <si>
    <r>
      <rPr>
        <sz val="9"/>
        <rFont val="Arial"/>
        <family val="2"/>
      </rPr>
      <t>10</t>
    </r>
    <r>
      <rPr>
        <sz val="9"/>
        <rFont val="宋体"/>
        <family val="3"/>
        <charset val="134"/>
      </rPr>
      <t>幢</t>
    </r>
    <r>
      <rPr>
        <sz val="9"/>
        <rFont val="Arial"/>
        <family val="2"/>
      </rPr>
      <t>-2-2229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</si>
  <si>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2230</t>
    </r>
    <phoneticPr fontId="137" type="noConversion"/>
  </si>
  <si>
    <r>
      <rPr>
        <sz val="9"/>
        <rFont val="Arial"/>
        <family val="2"/>
      </rPr>
      <t>10</t>
    </r>
    <r>
      <rPr>
        <sz val="9"/>
        <rFont val="宋体"/>
        <family val="3"/>
        <charset val="134"/>
      </rPr>
      <t>幢</t>
    </r>
    <r>
      <rPr>
        <sz val="9"/>
        <rFont val="Arial"/>
        <family val="2"/>
      </rPr>
      <t>-2-2231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</si>
  <si>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2232</t>
    </r>
    <phoneticPr fontId="137" type="noConversion"/>
  </si>
  <si>
    <r>
      <rPr>
        <sz val="9"/>
        <rFont val="Arial"/>
        <family val="2"/>
      </rPr>
      <t>10</t>
    </r>
    <r>
      <rPr>
        <sz val="9"/>
        <rFont val="宋体"/>
        <family val="3"/>
        <charset val="134"/>
      </rPr>
      <t>幢</t>
    </r>
    <r>
      <rPr>
        <sz val="9"/>
        <rFont val="Arial"/>
        <family val="2"/>
      </rPr>
      <t>-2-2233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</si>
  <si>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2234</t>
    </r>
    <phoneticPr fontId="137" type="noConversion"/>
  </si>
  <si>
    <r>
      <rPr>
        <sz val="9"/>
        <rFont val="Arial"/>
        <family val="2"/>
      </rPr>
      <t>10</t>
    </r>
    <r>
      <rPr>
        <sz val="9"/>
        <rFont val="宋体"/>
        <family val="3"/>
        <charset val="134"/>
      </rPr>
      <t>幢</t>
    </r>
    <r>
      <rPr>
        <sz val="9"/>
        <rFont val="Arial"/>
        <family val="2"/>
      </rPr>
      <t>-2-2235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</si>
  <si>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2236</t>
    </r>
    <phoneticPr fontId="137" type="noConversion"/>
  </si>
  <si>
    <r>
      <rPr>
        <sz val="9"/>
        <rFont val="Arial"/>
        <family val="2"/>
      </rPr>
      <t>10</t>
    </r>
    <r>
      <rPr>
        <sz val="9"/>
        <rFont val="宋体"/>
        <family val="3"/>
        <charset val="134"/>
      </rPr>
      <t>幢</t>
    </r>
    <r>
      <rPr>
        <sz val="9"/>
        <rFont val="Arial"/>
        <family val="2"/>
      </rPr>
      <t>-2-2237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</si>
  <si>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2238</t>
    </r>
    <phoneticPr fontId="137" type="noConversion"/>
  </si>
  <si>
    <r>
      <rPr>
        <sz val="9"/>
        <rFont val="Arial"/>
        <family val="2"/>
      </rPr>
      <t>10</t>
    </r>
    <r>
      <rPr>
        <sz val="9"/>
        <rFont val="宋体"/>
        <family val="3"/>
        <charset val="134"/>
      </rPr>
      <t>幢</t>
    </r>
    <r>
      <rPr>
        <sz val="9"/>
        <rFont val="Arial"/>
        <family val="2"/>
      </rPr>
      <t>-2-2239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</si>
  <si>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2240</t>
    </r>
    <phoneticPr fontId="137" type="noConversion"/>
  </si>
  <si>
    <r>
      <rPr>
        <sz val="9"/>
        <rFont val="Arial"/>
        <family val="2"/>
      </rPr>
      <t>10</t>
    </r>
    <r>
      <rPr>
        <sz val="9"/>
        <rFont val="宋体"/>
        <family val="3"/>
        <charset val="134"/>
      </rPr>
      <t>幢</t>
    </r>
    <r>
      <rPr>
        <sz val="9"/>
        <rFont val="Arial"/>
        <family val="2"/>
      </rPr>
      <t>-2-2241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</si>
  <si>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2242</t>
    </r>
    <phoneticPr fontId="137" type="noConversion"/>
  </si>
  <si>
    <r>
      <rPr>
        <sz val="9"/>
        <rFont val="Arial"/>
        <family val="2"/>
      </rPr>
      <t>10</t>
    </r>
    <r>
      <rPr>
        <sz val="9"/>
        <rFont val="宋体"/>
        <family val="3"/>
        <charset val="134"/>
      </rPr>
      <t>幢</t>
    </r>
    <r>
      <rPr>
        <sz val="9"/>
        <rFont val="Arial"/>
        <family val="2"/>
      </rPr>
      <t>-2-2243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</si>
  <si>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2244</t>
    </r>
    <phoneticPr fontId="137" type="noConversion"/>
  </si>
  <si>
    <r>
      <rPr>
        <sz val="9"/>
        <rFont val="Arial"/>
        <family val="2"/>
      </rPr>
      <t>10</t>
    </r>
    <r>
      <rPr>
        <sz val="9"/>
        <rFont val="宋体"/>
        <family val="3"/>
        <charset val="134"/>
      </rPr>
      <t>幢</t>
    </r>
    <r>
      <rPr>
        <sz val="9"/>
        <rFont val="Arial"/>
        <family val="2"/>
      </rPr>
      <t>-2-2245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</si>
  <si>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2246</t>
    </r>
    <phoneticPr fontId="137" type="noConversion"/>
  </si>
  <si>
    <r>
      <rPr>
        <sz val="9"/>
        <rFont val="Arial"/>
        <family val="2"/>
      </rPr>
      <t>10</t>
    </r>
    <r>
      <rPr>
        <sz val="9"/>
        <rFont val="宋体"/>
        <family val="3"/>
        <charset val="134"/>
      </rPr>
      <t>幢</t>
    </r>
    <r>
      <rPr>
        <sz val="9"/>
        <rFont val="Arial"/>
        <family val="2"/>
      </rPr>
      <t>-2-2247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</si>
  <si>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2248</t>
    </r>
    <phoneticPr fontId="137" type="noConversion"/>
  </si>
  <si>
    <r>
      <rPr>
        <sz val="9"/>
        <rFont val="Arial"/>
        <family val="2"/>
      </rPr>
      <t>10</t>
    </r>
    <r>
      <rPr>
        <sz val="9"/>
        <rFont val="宋体"/>
        <family val="3"/>
        <charset val="134"/>
      </rPr>
      <t>幢</t>
    </r>
    <r>
      <rPr>
        <sz val="9"/>
        <rFont val="Arial"/>
        <family val="2"/>
      </rPr>
      <t>-2-2249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</si>
  <si>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2250</t>
    </r>
    <phoneticPr fontId="137" type="noConversion"/>
  </si>
  <si>
    <r>
      <rPr>
        <sz val="9"/>
        <rFont val="Arial"/>
        <family val="2"/>
      </rPr>
      <t>10</t>
    </r>
    <r>
      <rPr>
        <sz val="9"/>
        <rFont val="宋体"/>
        <family val="3"/>
        <charset val="134"/>
      </rPr>
      <t>幢</t>
    </r>
    <r>
      <rPr>
        <sz val="9"/>
        <rFont val="Arial"/>
        <family val="2"/>
      </rPr>
      <t>-2-2251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</si>
  <si>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2252</t>
    </r>
    <phoneticPr fontId="137" type="noConversion"/>
  </si>
  <si>
    <r>
      <rPr>
        <sz val="9"/>
        <rFont val="Arial"/>
        <family val="2"/>
      </rPr>
      <t>10</t>
    </r>
    <r>
      <rPr>
        <sz val="9"/>
        <rFont val="宋体"/>
        <family val="3"/>
        <charset val="134"/>
      </rPr>
      <t>幢</t>
    </r>
    <r>
      <rPr>
        <sz val="9"/>
        <rFont val="Arial"/>
        <family val="2"/>
      </rPr>
      <t>-2-2253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</si>
  <si>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2254</t>
    </r>
    <phoneticPr fontId="137" type="noConversion"/>
  </si>
  <si>
    <r>
      <rPr>
        <sz val="9"/>
        <rFont val="Arial"/>
        <family val="2"/>
      </rPr>
      <t>10</t>
    </r>
    <r>
      <rPr>
        <sz val="9"/>
        <rFont val="宋体"/>
        <family val="3"/>
        <charset val="134"/>
      </rPr>
      <t>幢</t>
    </r>
    <r>
      <rPr>
        <sz val="9"/>
        <rFont val="Arial"/>
        <family val="2"/>
      </rPr>
      <t>-2-2255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</si>
  <si>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2256</t>
    </r>
    <phoneticPr fontId="137" type="noConversion"/>
  </si>
  <si>
    <r>
      <rPr>
        <sz val="9"/>
        <rFont val="Arial"/>
        <family val="2"/>
      </rPr>
      <t>10</t>
    </r>
    <r>
      <rPr>
        <sz val="9"/>
        <rFont val="宋体"/>
        <family val="3"/>
        <charset val="134"/>
      </rPr>
      <t>幢</t>
    </r>
    <r>
      <rPr>
        <sz val="9"/>
        <rFont val="Arial"/>
        <family val="2"/>
      </rPr>
      <t>-2-2257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</si>
  <si>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2258</t>
    </r>
    <phoneticPr fontId="137" type="noConversion"/>
  </si>
  <si>
    <r>
      <rPr>
        <sz val="9"/>
        <rFont val="Arial"/>
        <family val="2"/>
      </rPr>
      <t>10</t>
    </r>
    <r>
      <rPr>
        <sz val="9"/>
        <rFont val="宋体"/>
        <family val="3"/>
        <charset val="134"/>
      </rPr>
      <t>幢</t>
    </r>
    <r>
      <rPr>
        <sz val="9"/>
        <rFont val="Arial"/>
        <family val="2"/>
      </rPr>
      <t>-2-2259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</si>
  <si>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2260</t>
    </r>
    <phoneticPr fontId="137" type="noConversion"/>
  </si>
  <si>
    <r>
      <rPr>
        <sz val="9"/>
        <rFont val="Arial"/>
        <family val="2"/>
      </rPr>
      <t>10</t>
    </r>
    <r>
      <rPr>
        <sz val="9"/>
        <rFont val="宋体"/>
        <family val="3"/>
        <charset val="134"/>
      </rPr>
      <t>幢</t>
    </r>
    <r>
      <rPr>
        <sz val="9"/>
        <rFont val="Arial"/>
        <family val="2"/>
      </rPr>
      <t>-2-2261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</si>
  <si>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2262</t>
    </r>
    <phoneticPr fontId="137" type="noConversion"/>
  </si>
  <si>
    <r>
      <rPr>
        <sz val="9"/>
        <rFont val="Arial"/>
        <family val="2"/>
      </rPr>
      <t>10</t>
    </r>
    <r>
      <rPr>
        <sz val="9"/>
        <rFont val="宋体"/>
        <family val="3"/>
        <charset val="134"/>
      </rPr>
      <t>幢</t>
    </r>
    <r>
      <rPr>
        <sz val="9"/>
        <rFont val="Arial"/>
        <family val="2"/>
      </rPr>
      <t>-2-2263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</si>
  <si>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2264</t>
    </r>
    <phoneticPr fontId="137" type="noConversion"/>
  </si>
  <si>
    <r>
      <rPr>
        <sz val="9"/>
        <rFont val="Arial"/>
        <family val="2"/>
      </rPr>
      <t>10</t>
    </r>
    <r>
      <rPr>
        <sz val="9"/>
        <rFont val="宋体"/>
        <family val="3"/>
        <charset val="134"/>
      </rPr>
      <t>幢</t>
    </r>
    <r>
      <rPr>
        <sz val="9"/>
        <rFont val="Arial"/>
        <family val="2"/>
      </rPr>
      <t>-2-2265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</si>
  <si>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2266</t>
    </r>
    <phoneticPr fontId="137" type="noConversion"/>
  </si>
  <si>
    <r>
      <rPr>
        <sz val="9"/>
        <rFont val="Arial"/>
        <family val="2"/>
      </rPr>
      <t>10</t>
    </r>
    <r>
      <rPr>
        <sz val="9"/>
        <rFont val="宋体"/>
        <family val="3"/>
        <charset val="134"/>
      </rPr>
      <t>幢</t>
    </r>
    <r>
      <rPr>
        <sz val="9"/>
        <rFont val="Arial"/>
        <family val="2"/>
      </rPr>
      <t>-2-2267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</si>
  <si>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2268</t>
    </r>
    <phoneticPr fontId="137" type="noConversion"/>
  </si>
  <si>
    <r>
      <rPr>
        <sz val="9"/>
        <rFont val="Arial"/>
        <family val="2"/>
      </rPr>
      <t>10</t>
    </r>
    <r>
      <rPr>
        <sz val="9"/>
        <rFont val="宋体"/>
        <family val="3"/>
        <charset val="134"/>
      </rPr>
      <t>幢</t>
    </r>
    <r>
      <rPr>
        <sz val="9"/>
        <rFont val="Arial"/>
        <family val="2"/>
      </rPr>
      <t>-2-2269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</si>
  <si>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2270</t>
    </r>
    <phoneticPr fontId="137" type="noConversion"/>
  </si>
  <si>
    <r>
      <rPr>
        <sz val="9"/>
        <rFont val="Arial"/>
        <family val="2"/>
      </rPr>
      <t>10</t>
    </r>
    <r>
      <rPr>
        <sz val="9"/>
        <rFont val="宋体"/>
        <family val="3"/>
        <charset val="134"/>
      </rPr>
      <t>幢</t>
    </r>
    <r>
      <rPr>
        <sz val="9"/>
        <rFont val="Arial"/>
        <family val="2"/>
      </rPr>
      <t>-2-2271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</si>
  <si>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2272</t>
    </r>
    <phoneticPr fontId="137" type="noConversion"/>
  </si>
  <si>
    <r>
      <rPr>
        <sz val="9"/>
        <rFont val="Arial"/>
        <family val="2"/>
      </rPr>
      <t>10</t>
    </r>
    <r>
      <rPr>
        <sz val="9"/>
        <rFont val="宋体"/>
        <family val="3"/>
        <charset val="134"/>
      </rPr>
      <t>幢</t>
    </r>
    <r>
      <rPr>
        <sz val="9"/>
        <rFont val="Arial"/>
        <family val="2"/>
      </rPr>
      <t>-2-2273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</si>
  <si>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2274</t>
    </r>
    <phoneticPr fontId="137" type="noConversion"/>
  </si>
  <si>
    <r>
      <rPr>
        <sz val="9"/>
        <rFont val="Arial"/>
        <family val="2"/>
      </rPr>
      <t>10</t>
    </r>
    <r>
      <rPr>
        <sz val="9"/>
        <rFont val="宋体"/>
        <family val="3"/>
        <charset val="134"/>
      </rPr>
      <t>幢</t>
    </r>
    <r>
      <rPr>
        <sz val="9"/>
        <rFont val="Arial"/>
        <family val="2"/>
      </rPr>
      <t>-2-2275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</si>
  <si>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2276</t>
    </r>
    <phoneticPr fontId="137" type="noConversion"/>
  </si>
  <si>
    <r>
      <rPr>
        <sz val="9"/>
        <rFont val="Arial"/>
        <family val="2"/>
      </rPr>
      <t>10</t>
    </r>
    <r>
      <rPr>
        <sz val="9"/>
        <rFont val="宋体"/>
        <family val="3"/>
        <charset val="134"/>
      </rPr>
      <t>幢</t>
    </r>
    <r>
      <rPr>
        <sz val="9"/>
        <rFont val="Arial"/>
        <family val="2"/>
      </rPr>
      <t>-2-2277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</si>
  <si>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2278</t>
    </r>
    <phoneticPr fontId="137" type="noConversion"/>
  </si>
  <si>
    <r>
      <rPr>
        <sz val="9"/>
        <rFont val="Arial"/>
        <family val="2"/>
      </rPr>
      <t>10</t>
    </r>
    <r>
      <rPr>
        <sz val="9"/>
        <rFont val="宋体"/>
        <family val="3"/>
        <charset val="134"/>
      </rPr>
      <t>幢</t>
    </r>
    <r>
      <rPr>
        <sz val="9"/>
        <rFont val="Arial"/>
        <family val="2"/>
      </rPr>
      <t>-2-2279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</si>
  <si>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2280</t>
    </r>
    <phoneticPr fontId="137" type="noConversion"/>
  </si>
  <si>
    <r>
      <rPr>
        <sz val="9"/>
        <rFont val="Arial"/>
        <family val="2"/>
      </rPr>
      <t>10</t>
    </r>
    <r>
      <rPr>
        <sz val="9"/>
        <rFont val="宋体"/>
        <family val="3"/>
        <charset val="134"/>
      </rPr>
      <t>幢</t>
    </r>
    <r>
      <rPr>
        <sz val="9"/>
        <rFont val="Arial"/>
        <family val="2"/>
      </rPr>
      <t>-2-2281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</si>
  <si>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2282</t>
    </r>
    <phoneticPr fontId="137" type="noConversion"/>
  </si>
  <si>
    <r>
      <rPr>
        <sz val="9"/>
        <rFont val="Arial"/>
        <family val="2"/>
      </rPr>
      <t>10</t>
    </r>
    <r>
      <rPr>
        <sz val="9"/>
        <rFont val="宋体"/>
        <family val="3"/>
        <charset val="134"/>
      </rPr>
      <t>幢</t>
    </r>
    <r>
      <rPr>
        <sz val="9"/>
        <rFont val="Arial"/>
        <family val="2"/>
      </rPr>
      <t>-2-2283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</si>
  <si>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2284</t>
    </r>
    <phoneticPr fontId="137" type="noConversion"/>
  </si>
  <si>
    <r>
      <rPr>
        <sz val="9"/>
        <rFont val="Arial"/>
        <family val="2"/>
      </rPr>
      <t>10</t>
    </r>
    <r>
      <rPr>
        <sz val="9"/>
        <rFont val="宋体"/>
        <family val="3"/>
        <charset val="134"/>
      </rPr>
      <t>幢</t>
    </r>
    <r>
      <rPr>
        <sz val="9"/>
        <rFont val="Arial"/>
        <family val="2"/>
      </rPr>
      <t>-2-2285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</si>
  <si>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2286</t>
    </r>
    <phoneticPr fontId="137" type="noConversion"/>
  </si>
  <si>
    <r>
      <rPr>
        <sz val="9"/>
        <rFont val="Arial"/>
        <family val="2"/>
      </rPr>
      <t>10</t>
    </r>
    <r>
      <rPr>
        <sz val="9"/>
        <rFont val="宋体"/>
        <family val="3"/>
        <charset val="134"/>
      </rPr>
      <t>幢</t>
    </r>
    <r>
      <rPr>
        <sz val="9"/>
        <rFont val="Arial"/>
        <family val="2"/>
      </rPr>
      <t>-2-2287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</si>
  <si>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2288</t>
    </r>
    <phoneticPr fontId="137" type="noConversion"/>
  </si>
  <si>
    <r>
      <rPr>
        <sz val="9"/>
        <rFont val="Arial"/>
        <family val="2"/>
      </rPr>
      <t>10</t>
    </r>
    <r>
      <rPr>
        <sz val="9"/>
        <rFont val="宋体"/>
        <family val="3"/>
        <charset val="134"/>
      </rPr>
      <t>幢</t>
    </r>
    <r>
      <rPr>
        <sz val="9"/>
        <rFont val="Arial"/>
        <family val="2"/>
      </rPr>
      <t>-2-2289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</si>
  <si>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2290</t>
    </r>
    <phoneticPr fontId="137" type="noConversion"/>
  </si>
  <si>
    <r>
      <rPr>
        <sz val="9"/>
        <rFont val="Arial"/>
        <family val="2"/>
      </rPr>
      <t>10</t>
    </r>
    <r>
      <rPr>
        <sz val="9"/>
        <rFont val="宋体"/>
        <family val="3"/>
        <charset val="134"/>
      </rPr>
      <t>幢</t>
    </r>
    <r>
      <rPr>
        <sz val="9"/>
        <rFont val="Arial"/>
        <family val="2"/>
      </rPr>
      <t>-2-2291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</si>
  <si>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2292</t>
    </r>
    <phoneticPr fontId="137" type="noConversion"/>
  </si>
  <si>
    <r>
      <rPr>
        <sz val="9"/>
        <rFont val="Arial"/>
        <family val="2"/>
      </rPr>
      <t>10</t>
    </r>
    <r>
      <rPr>
        <sz val="9"/>
        <rFont val="宋体"/>
        <family val="3"/>
        <charset val="134"/>
      </rPr>
      <t>幢</t>
    </r>
    <r>
      <rPr>
        <sz val="9"/>
        <rFont val="Arial"/>
        <family val="2"/>
      </rPr>
      <t>-2-2293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</si>
  <si>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2294</t>
    </r>
    <phoneticPr fontId="137" type="noConversion"/>
  </si>
  <si>
    <r>
      <rPr>
        <sz val="9"/>
        <rFont val="Arial"/>
        <family val="2"/>
      </rPr>
      <t>10</t>
    </r>
    <r>
      <rPr>
        <sz val="9"/>
        <rFont val="宋体"/>
        <family val="3"/>
        <charset val="134"/>
      </rPr>
      <t>幢</t>
    </r>
    <r>
      <rPr>
        <sz val="9"/>
        <rFont val="Arial"/>
        <family val="2"/>
      </rPr>
      <t>-2-2295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</si>
  <si>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2296</t>
    </r>
    <phoneticPr fontId="137" type="noConversion"/>
  </si>
  <si>
    <r>
      <rPr>
        <sz val="9"/>
        <rFont val="Arial"/>
        <family val="2"/>
      </rPr>
      <t>10</t>
    </r>
    <r>
      <rPr>
        <sz val="9"/>
        <rFont val="宋体"/>
        <family val="3"/>
        <charset val="134"/>
      </rPr>
      <t>幢</t>
    </r>
    <r>
      <rPr>
        <sz val="9"/>
        <rFont val="Arial"/>
        <family val="2"/>
      </rPr>
      <t>-2-2297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</si>
  <si>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2298</t>
    </r>
    <phoneticPr fontId="137" type="noConversion"/>
  </si>
  <si>
    <r>
      <rPr>
        <sz val="9"/>
        <rFont val="Arial"/>
        <family val="2"/>
      </rPr>
      <t>10</t>
    </r>
    <r>
      <rPr>
        <sz val="9"/>
        <rFont val="宋体"/>
        <family val="3"/>
        <charset val="134"/>
      </rPr>
      <t>幢</t>
    </r>
    <r>
      <rPr>
        <sz val="9"/>
        <rFont val="Arial"/>
        <family val="2"/>
      </rPr>
      <t>-2-2299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</si>
  <si>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2300</t>
    </r>
    <phoneticPr fontId="137" type="noConversion"/>
  </si>
  <si>
    <r>
      <rPr>
        <sz val="9"/>
        <rFont val="Arial"/>
        <family val="2"/>
      </rPr>
      <t>10</t>
    </r>
    <r>
      <rPr>
        <sz val="9"/>
        <rFont val="宋体"/>
        <family val="3"/>
        <charset val="134"/>
      </rPr>
      <t>幢</t>
    </r>
    <r>
      <rPr>
        <sz val="9"/>
        <rFont val="Arial"/>
        <family val="2"/>
      </rPr>
      <t>-2-2301</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</si>
  <si>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2302</t>
    </r>
    <phoneticPr fontId="137" type="noConversion"/>
  </si>
  <si>
    <r>
      <rPr>
        <sz val="9"/>
        <rFont val="Arial"/>
        <family val="2"/>
      </rPr>
      <t>10</t>
    </r>
    <r>
      <rPr>
        <sz val="9"/>
        <rFont val="宋体"/>
        <family val="3"/>
        <charset val="134"/>
      </rPr>
      <t>幢</t>
    </r>
    <r>
      <rPr>
        <sz val="9"/>
        <rFont val="Arial"/>
        <family val="2"/>
      </rPr>
      <t>-2-2303</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</si>
  <si>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2304</t>
    </r>
    <phoneticPr fontId="137" type="noConversion"/>
  </si>
  <si>
    <r>
      <rPr>
        <sz val="9"/>
        <rFont val="Arial"/>
        <family val="2"/>
      </rPr>
      <t>10</t>
    </r>
    <r>
      <rPr>
        <sz val="9"/>
        <rFont val="宋体"/>
        <family val="3"/>
        <charset val="134"/>
      </rPr>
      <t>幢</t>
    </r>
    <r>
      <rPr>
        <sz val="9"/>
        <rFont val="Arial"/>
        <family val="2"/>
      </rPr>
      <t>-2-2305</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</si>
  <si>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2306</t>
    </r>
    <phoneticPr fontId="137" type="noConversion"/>
  </si>
  <si>
    <r>
      <rPr>
        <sz val="9"/>
        <rFont val="Arial"/>
        <family val="2"/>
      </rPr>
      <t>10</t>
    </r>
    <r>
      <rPr>
        <sz val="9"/>
        <rFont val="宋体"/>
        <family val="3"/>
        <charset val="134"/>
      </rPr>
      <t>幢</t>
    </r>
    <r>
      <rPr>
        <sz val="9"/>
        <rFont val="Arial"/>
        <family val="2"/>
      </rPr>
      <t>-2-2307</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</si>
  <si>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2308</t>
    </r>
    <phoneticPr fontId="137" type="noConversion"/>
  </si>
  <si>
    <r>
      <rPr>
        <sz val="9"/>
        <rFont val="Arial"/>
        <family val="2"/>
      </rPr>
      <t>10</t>
    </r>
    <r>
      <rPr>
        <sz val="9"/>
        <rFont val="宋体"/>
        <family val="3"/>
        <charset val="134"/>
      </rPr>
      <t>幢</t>
    </r>
    <r>
      <rPr>
        <sz val="9"/>
        <rFont val="Arial"/>
        <family val="2"/>
      </rPr>
      <t>-2-2309</t>
    </r>
    <phoneticPr fontId="137" type="noConversion"/>
  </si>
  <si>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2310</t>
    </r>
    <phoneticPr fontId="137" type="noConversion"/>
  </si>
  <si>
    <r>
      <rPr>
        <sz val="9"/>
        <rFont val="Arial"/>
        <family val="2"/>
      </rPr>
      <t>10</t>
    </r>
    <r>
      <rPr>
        <sz val="9"/>
        <rFont val="宋体"/>
        <family val="3"/>
        <charset val="134"/>
      </rPr>
      <t>幢</t>
    </r>
    <r>
      <rPr>
        <sz val="9"/>
        <rFont val="Arial"/>
        <family val="2"/>
      </rPr>
      <t>-2-2311</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</si>
  <si>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1003</t>
    </r>
    <phoneticPr fontId="137" type="noConversion"/>
  </si>
  <si>
    <r>
      <rPr>
        <sz val="9"/>
        <rFont val="Arial"/>
        <family val="2"/>
      </rPr>
      <t>-1</t>
    </r>
    <r>
      <rPr>
        <sz val="9"/>
        <rFont val="宋体"/>
        <family val="3"/>
        <charset val="134"/>
      </rPr>
      <t>层</t>
    </r>
    <phoneticPr fontId="137" type="noConversion"/>
  </si>
  <si>
    <r>
      <rPr>
        <sz val="9"/>
        <rFont val="Arial"/>
        <family val="2"/>
      </rPr>
      <t>10</t>
    </r>
    <r>
      <rPr>
        <sz val="9"/>
        <rFont val="宋体"/>
        <family val="3"/>
        <charset val="134"/>
      </rPr>
      <t>幢</t>
    </r>
    <r>
      <rPr>
        <sz val="9"/>
        <rFont val="Arial"/>
        <family val="2"/>
      </rPr>
      <t>-1-1004</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</si>
  <si>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1005</t>
    </r>
    <phoneticPr fontId="137" type="noConversion"/>
  </si>
  <si>
    <r>
      <rPr>
        <sz val="9"/>
        <rFont val="Arial"/>
        <family val="2"/>
      </rPr>
      <t>10</t>
    </r>
    <r>
      <rPr>
        <sz val="9"/>
        <rFont val="宋体"/>
        <family val="3"/>
        <charset val="134"/>
      </rPr>
      <t>幢</t>
    </r>
    <r>
      <rPr>
        <sz val="9"/>
        <rFont val="Arial"/>
        <family val="2"/>
      </rPr>
      <t>-1-1006</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</si>
  <si>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1009</t>
    </r>
    <phoneticPr fontId="137" type="noConversion"/>
  </si>
  <si>
    <r>
      <rPr>
        <sz val="9"/>
        <rFont val="Arial"/>
        <family val="2"/>
      </rPr>
      <t>10</t>
    </r>
    <r>
      <rPr>
        <sz val="9"/>
        <rFont val="宋体"/>
        <family val="3"/>
        <charset val="134"/>
      </rPr>
      <t>幢</t>
    </r>
    <r>
      <rPr>
        <sz val="9"/>
        <rFont val="Arial"/>
        <family val="2"/>
      </rPr>
      <t>-1-1010</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</si>
  <si>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1011</t>
    </r>
    <phoneticPr fontId="137" type="noConversion"/>
  </si>
  <si>
    <r>
      <t>-1</t>
    </r>
    <r>
      <rPr>
        <sz val="9"/>
        <rFont val="宋体"/>
        <family val="3"/>
        <charset val="134"/>
      </rPr>
      <t>层</t>
    </r>
    <phoneticPr fontId="137" type="noConversion"/>
  </si>
  <si>
    <r>
      <rPr>
        <sz val="9"/>
        <rFont val="Arial"/>
        <family val="2"/>
      </rPr>
      <t>10</t>
    </r>
    <r>
      <rPr>
        <sz val="9"/>
        <rFont val="宋体"/>
        <family val="3"/>
        <charset val="134"/>
      </rPr>
      <t>幢</t>
    </r>
    <r>
      <rPr>
        <sz val="9"/>
        <rFont val="Arial"/>
        <family val="2"/>
      </rPr>
      <t>-1-1012</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</si>
  <si>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1013</t>
    </r>
    <phoneticPr fontId="137" type="noConversion"/>
  </si>
  <si>
    <r>
      <rPr>
        <sz val="9"/>
        <rFont val="Arial"/>
        <family val="2"/>
      </rPr>
      <t>10</t>
    </r>
    <r>
      <rPr>
        <sz val="9"/>
        <rFont val="宋体"/>
        <family val="3"/>
        <charset val="134"/>
      </rPr>
      <t>幢</t>
    </r>
    <r>
      <rPr>
        <sz val="9"/>
        <rFont val="Arial"/>
        <family val="2"/>
      </rPr>
      <t>-1-1014</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</si>
  <si>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1015</t>
    </r>
    <phoneticPr fontId="137" type="noConversion"/>
  </si>
  <si>
    <r>
      <rPr>
        <sz val="9"/>
        <rFont val="Arial"/>
        <family val="2"/>
      </rPr>
      <t>10</t>
    </r>
    <r>
      <rPr>
        <sz val="9"/>
        <rFont val="宋体"/>
        <family val="3"/>
        <charset val="134"/>
      </rPr>
      <t>幢</t>
    </r>
    <r>
      <rPr>
        <sz val="9"/>
        <rFont val="Arial"/>
        <family val="2"/>
      </rPr>
      <t>-1-1016</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</si>
  <si>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1017</t>
    </r>
    <phoneticPr fontId="137" type="noConversion"/>
  </si>
  <si>
    <r>
      <rPr>
        <sz val="9"/>
        <rFont val="Arial"/>
        <family val="2"/>
      </rPr>
      <t>10</t>
    </r>
    <r>
      <rPr>
        <sz val="9"/>
        <rFont val="宋体"/>
        <family val="3"/>
        <charset val="134"/>
      </rPr>
      <t>幢</t>
    </r>
    <r>
      <rPr>
        <sz val="9"/>
        <rFont val="Arial"/>
        <family val="2"/>
      </rPr>
      <t>-1-1018</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</si>
  <si>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1019</t>
    </r>
    <phoneticPr fontId="137" type="noConversion"/>
  </si>
  <si>
    <r>
      <rPr>
        <sz val="9"/>
        <rFont val="Arial"/>
        <family val="2"/>
      </rPr>
      <t>10</t>
    </r>
    <r>
      <rPr>
        <sz val="9"/>
        <rFont val="宋体"/>
        <family val="3"/>
        <charset val="134"/>
      </rPr>
      <t>幢</t>
    </r>
    <r>
      <rPr>
        <sz val="9"/>
        <rFont val="Arial"/>
        <family val="2"/>
      </rPr>
      <t>-1-1022</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</si>
  <si>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1023</t>
    </r>
    <phoneticPr fontId="137" type="noConversion"/>
  </si>
  <si>
    <r>
      <rPr>
        <sz val="9"/>
        <rFont val="Arial"/>
        <family val="2"/>
      </rPr>
      <t>10</t>
    </r>
    <r>
      <rPr>
        <sz val="9"/>
        <rFont val="宋体"/>
        <family val="3"/>
        <charset val="134"/>
      </rPr>
      <t>幢</t>
    </r>
    <r>
      <rPr>
        <sz val="9"/>
        <rFont val="Arial"/>
        <family val="2"/>
      </rPr>
      <t>-1-1024</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</si>
  <si>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1025</t>
    </r>
    <phoneticPr fontId="137" type="noConversion"/>
  </si>
  <si>
    <r>
      <rPr>
        <sz val="9"/>
        <rFont val="Arial"/>
        <family val="2"/>
      </rPr>
      <t>10</t>
    </r>
    <r>
      <rPr>
        <sz val="9"/>
        <rFont val="宋体"/>
        <family val="3"/>
        <charset val="134"/>
      </rPr>
      <t>幢</t>
    </r>
    <r>
      <rPr>
        <sz val="9"/>
        <rFont val="Arial"/>
        <family val="2"/>
      </rPr>
      <t>-1-1026</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</si>
  <si>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1027</t>
    </r>
    <phoneticPr fontId="137" type="noConversion"/>
  </si>
  <si>
    <r>
      <rPr>
        <sz val="9"/>
        <rFont val="Arial"/>
        <family val="2"/>
      </rPr>
      <t>10</t>
    </r>
    <r>
      <rPr>
        <sz val="9"/>
        <rFont val="宋体"/>
        <family val="3"/>
        <charset val="134"/>
      </rPr>
      <t>幢</t>
    </r>
    <r>
      <rPr>
        <sz val="9"/>
        <rFont val="Arial"/>
        <family val="2"/>
      </rPr>
      <t>-1-1028</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</si>
  <si>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1029</t>
    </r>
    <phoneticPr fontId="137" type="noConversion"/>
  </si>
  <si>
    <r>
      <rPr>
        <sz val="9"/>
        <rFont val="Arial"/>
        <family val="2"/>
      </rPr>
      <t>10</t>
    </r>
    <r>
      <rPr>
        <sz val="9"/>
        <rFont val="宋体"/>
        <family val="3"/>
        <charset val="134"/>
      </rPr>
      <t>幢</t>
    </r>
    <r>
      <rPr>
        <sz val="9"/>
        <rFont val="Arial"/>
        <family val="2"/>
      </rPr>
      <t>-1-1031</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</si>
  <si>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1032</t>
    </r>
    <phoneticPr fontId="137" type="noConversion"/>
  </si>
  <si>
    <r>
      <rPr>
        <sz val="9"/>
        <rFont val="Arial"/>
        <family val="2"/>
      </rPr>
      <t>10</t>
    </r>
    <r>
      <rPr>
        <sz val="9"/>
        <rFont val="宋体"/>
        <family val="3"/>
        <charset val="134"/>
      </rPr>
      <t>幢</t>
    </r>
    <r>
      <rPr>
        <sz val="9"/>
        <rFont val="Arial"/>
        <family val="2"/>
      </rPr>
      <t>-1-1033</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</si>
  <si>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1034</t>
    </r>
    <phoneticPr fontId="137" type="noConversion"/>
  </si>
  <si>
    <r>
      <rPr>
        <sz val="9"/>
        <rFont val="Arial"/>
        <family val="2"/>
      </rPr>
      <t>10</t>
    </r>
    <r>
      <rPr>
        <sz val="9"/>
        <rFont val="宋体"/>
        <family val="3"/>
        <charset val="134"/>
      </rPr>
      <t>幢</t>
    </r>
    <r>
      <rPr>
        <sz val="9"/>
        <rFont val="Arial"/>
        <family val="2"/>
      </rPr>
      <t>-1-1037</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</si>
  <si>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1038</t>
    </r>
    <phoneticPr fontId="137" type="noConversion"/>
  </si>
  <si>
    <r>
      <rPr>
        <sz val="9"/>
        <rFont val="Arial"/>
        <family val="2"/>
      </rPr>
      <t>10</t>
    </r>
    <r>
      <rPr>
        <sz val="9"/>
        <rFont val="宋体"/>
        <family val="3"/>
        <charset val="134"/>
      </rPr>
      <t>幢</t>
    </r>
    <r>
      <rPr>
        <sz val="9"/>
        <rFont val="Arial"/>
        <family val="2"/>
      </rPr>
      <t>-1-1039</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</si>
  <si>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1040</t>
    </r>
    <phoneticPr fontId="137" type="noConversion"/>
  </si>
  <si>
    <r>
      <rPr>
        <sz val="9"/>
        <rFont val="Arial"/>
        <family val="2"/>
      </rPr>
      <t>10</t>
    </r>
    <r>
      <rPr>
        <sz val="9"/>
        <rFont val="宋体"/>
        <family val="3"/>
        <charset val="134"/>
      </rPr>
      <t>幢</t>
    </r>
    <r>
      <rPr>
        <sz val="9"/>
        <rFont val="Arial"/>
        <family val="2"/>
      </rPr>
      <t>-1-1041</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</si>
  <si>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1042</t>
    </r>
    <phoneticPr fontId="137" type="noConversion"/>
  </si>
  <si>
    <r>
      <rPr>
        <sz val="9"/>
        <rFont val="Arial"/>
        <family val="2"/>
      </rPr>
      <t>10</t>
    </r>
    <r>
      <rPr>
        <sz val="9"/>
        <rFont val="宋体"/>
        <family val="3"/>
        <charset val="134"/>
      </rPr>
      <t>幢</t>
    </r>
    <r>
      <rPr>
        <sz val="9"/>
        <rFont val="Arial"/>
        <family val="2"/>
      </rPr>
      <t>-1-1043</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</si>
  <si>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1044</t>
    </r>
    <phoneticPr fontId="137" type="noConversion"/>
  </si>
  <si>
    <r>
      <rPr>
        <sz val="9"/>
        <rFont val="Arial"/>
        <family val="2"/>
      </rPr>
      <t>10</t>
    </r>
    <r>
      <rPr>
        <sz val="9"/>
        <rFont val="宋体"/>
        <family val="3"/>
        <charset val="134"/>
      </rPr>
      <t>幢</t>
    </r>
    <r>
      <rPr>
        <sz val="9"/>
        <rFont val="Arial"/>
        <family val="2"/>
      </rPr>
      <t>-1-1045</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</si>
  <si>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1046</t>
    </r>
    <phoneticPr fontId="137" type="noConversion"/>
  </si>
  <si>
    <r>
      <rPr>
        <sz val="9"/>
        <rFont val="Arial"/>
        <family val="2"/>
      </rPr>
      <t>10</t>
    </r>
    <r>
      <rPr>
        <sz val="9"/>
        <rFont val="宋体"/>
        <family val="3"/>
        <charset val="134"/>
      </rPr>
      <t>幢</t>
    </r>
    <r>
      <rPr>
        <sz val="9"/>
        <rFont val="Arial"/>
        <family val="2"/>
      </rPr>
      <t>-1-1047</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</si>
  <si>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1048</t>
    </r>
    <phoneticPr fontId="137" type="noConversion"/>
  </si>
  <si>
    <r>
      <rPr>
        <sz val="9"/>
        <rFont val="Arial"/>
        <family val="2"/>
      </rPr>
      <t>10</t>
    </r>
    <r>
      <rPr>
        <sz val="9"/>
        <rFont val="宋体"/>
        <family val="3"/>
        <charset val="134"/>
      </rPr>
      <t>幢</t>
    </r>
    <r>
      <rPr>
        <sz val="9"/>
        <rFont val="Arial"/>
        <family val="2"/>
      </rPr>
      <t>-1-1049</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</si>
  <si>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1050</t>
    </r>
    <phoneticPr fontId="137" type="noConversion"/>
  </si>
  <si>
    <r>
      <rPr>
        <sz val="9"/>
        <rFont val="Arial"/>
        <family val="2"/>
      </rPr>
      <t>10</t>
    </r>
    <r>
      <rPr>
        <sz val="9"/>
        <rFont val="宋体"/>
        <family val="3"/>
        <charset val="134"/>
      </rPr>
      <t>幢</t>
    </r>
    <r>
      <rPr>
        <sz val="9"/>
        <rFont val="Arial"/>
        <family val="2"/>
      </rPr>
      <t>-1-1051</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</si>
  <si>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1052</t>
    </r>
    <phoneticPr fontId="137" type="noConversion"/>
  </si>
  <si>
    <r>
      <rPr>
        <sz val="9"/>
        <rFont val="Arial"/>
        <family val="2"/>
      </rPr>
      <t>10</t>
    </r>
    <r>
      <rPr>
        <sz val="9"/>
        <rFont val="宋体"/>
        <family val="3"/>
        <charset val="134"/>
      </rPr>
      <t>幢</t>
    </r>
    <r>
      <rPr>
        <sz val="9"/>
        <rFont val="Arial"/>
        <family val="2"/>
      </rPr>
      <t>-1-1053</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</si>
  <si>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1054</t>
    </r>
    <phoneticPr fontId="137" type="noConversion"/>
  </si>
  <si>
    <r>
      <rPr>
        <sz val="9"/>
        <rFont val="Arial"/>
        <family val="2"/>
      </rPr>
      <t>10</t>
    </r>
    <r>
      <rPr>
        <sz val="9"/>
        <rFont val="宋体"/>
        <family val="3"/>
        <charset val="134"/>
      </rPr>
      <t>幢</t>
    </r>
    <r>
      <rPr>
        <sz val="9"/>
        <rFont val="Arial"/>
        <family val="2"/>
      </rPr>
      <t>-1-1055</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</si>
  <si>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1056</t>
    </r>
    <phoneticPr fontId="137" type="noConversion"/>
  </si>
  <si>
    <r>
      <rPr>
        <sz val="9"/>
        <rFont val="Arial"/>
        <family val="2"/>
      </rPr>
      <t>10</t>
    </r>
    <r>
      <rPr>
        <sz val="9"/>
        <rFont val="宋体"/>
        <family val="3"/>
        <charset val="134"/>
      </rPr>
      <t>幢</t>
    </r>
    <r>
      <rPr>
        <sz val="9"/>
        <rFont val="Arial"/>
        <family val="2"/>
      </rPr>
      <t>-1-1057</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</si>
  <si>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1058</t>
    </r>
    <phoneticPr fontId="137" type="noConversion"/>
  </si>
  <si>
    <r>
      <rPr>
        <sz val="9"/>
        <rFont val="Arial"/>
        <family val="2"/>
      </rPr>
      <t>10</t>
    </r>
    <r>
      <rPr>
        <sz val="9"/>
        <rFont val="宋体"/>
        <family val="3"/>
        <charset val="134"/>
      </rPr>
      <t>幢</t>
    </r>
    <r>
      <rPr>
        <sz val="9"/>
        <rFont val="Arial"/>
        <family val="2"/>
      </rPr>
      <t>-1-1059</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</si>
  <si>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1060</t>
    </r>
    <phoneticPr fontId="137" type="noConversion"/>
  </si>
  <si>
    <r>
      <rPr>
        <sz val="9"/>
        <rFont val="Arial"/>
        <family val="2"/>
      </rPr>
      <t>10</t>
    </r>
    <r>
      <rPr>
        <sz val="9"/>
        <rFont val="宋体"/>
        <family val="3"/>
        <charset val="134"/>
      </rPr>
      <t>幢</t>
    </r>
    <r>
      <rPr>
        <sz val="9"/>
        <rFont val="Arial"/>
        <family val="2"/>
      </rPr>
      <t>-1-1061</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</si>
  <si>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1062</t>
    </r>
    <phoneticPr fontId="137" type="noConversion"/>
  </si>
  <si>
    <r>
      <rPr>
        <sz val="9"/>
        <rFont val="Arial"/>
        <family val="2"/>
      </rPr>
      <t>10</t>
    </r>
    <r>
      <rPr>
        <sz val="9"/>
        <rFont val="宋体"/>
        <family val="3"/>
        <charset val="134"/>
      </rPr>
      <t>幢</t>
    </r>
    <r>
      <rPr>
        <sz val="9"/>
        <rFont val="Arial"/>
        <family val="2"/>
      </rPr>
      <t>-1-1063</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</si>
  <si>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1064</t>
    </r>
    <phoneticPr fontId="137" type="noConversion"/>
  </si>
  <si>
    <r>
      <rPr>
        <sz val="9"/>
        <rFont val="Arial"/>
        <family val="2"/>
      </rPr>
      <t>10</t>
    </r>
    <r>
      <rPr>
        <sz val="9"/>
        <rFont val="宋体"/>
        <family val="3"/>
        <charset val="134"/>
      </rPr>
      <t>幢</t>
    </r>
    <r>
      <rPr>
        <sz val="9"/>
        <rFont val="Arial"/>
        <family val="2"/>
      </rPr>
      <t>-1-1065</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</si>
  <si>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1066</t>
    </r>
    <phoneticPr fontId="137" type="noConversion"/>
  </si>
  <si>
    <r>
      <rPr>
        <sz val="9"/>
        <rFont val="Arial"/>
        <family val="2"/>
      </rPr>
      <t>10</t>
    </r>
    <r>
      <rPr>
        <sz val="9"/>
        <rFont val="宋体"/>
        <family val="3"/>
        <charset val="134"/>
      </rPr>
      <t>幢</t>
    </r>
    <r>
      <rPr>
        <sz val="9"/>
        <rFont val="Arial"/>
        <family val="2"/>
      </rPr>
      <t>-1-1067</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</si>
  <si>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1068</t>
    </r>
    <phoneticPr fontId="137" type="noConversion"/>
  </si>
  <si>
    <r>
      <rPr>
        <sz val="9"/>
        <rFont val="Arial"/>
        <family val="2"/>
      </rPr>
      <t>10</t>
    </r>
    <r>
      <rPr>
        <sz val="9"/>
        <rFont val="宋体"/>
        <family val="3"/>
        <charset val="134"/>
      </rPr>
      <t>幢</t>
    </r>
    <r>
      <rPr>
        <sz val="9"/>
        <rFont val="Arial"/>
        <family val="2"/>
      </rPr>
      <t>-1-1069</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</si>
  <si>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1070</t>
    </r>
    <phoneticPr fontId="137" type="noConversion"/>
  </si>
  <si>
    <r>
      <rPr>
        <sz val="9"/>
        <rFont val="Arial"/>
        <family val="2"/>
      </rPr>
      <t>10</t>
    </r>
    <r>
      <rPr>
        <sz val="9"/>
        <rFont val="宋体"/>
        <family val="3"/>
        <charset val="134"/>
      </rPr>
      <t>幢</t>
    </r>
    <r>
      <rPr>
        <sz val="9"/>
        <rFont val="Arial"/>
        <family val="2"/>
      </rPr>
      <t>-1-1071</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</si>
  <si>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1072</t>
    </r>
    <phoneticPr fontId="137" type="noConversion"/>
  </si>
  <si>
    <r>
      <rPr>
        <sz val="9"/>
        <rFont val="Arial"/>
        <family val="2"/>
      </rPr>
      <t>10</t>
    </r>
    <r>
      <rPr>
        <sz val="9"/>
        <rFont val="宋体"/>
        <family val="3"/>
        <charset val="134"/>
      </rPr>
      <t>幢</t>
    </r>
    <r>
      <rPr>
        <sz val="9"/>
        <rFont val="Arial"/>
        <family val="2"/>
      </rPr>
      <t>-1-1073</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</si>
  <si>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1074</t>
    </r>
    <phoneticPr fontId="137" type="noConversion"/>
  </si>
  <si>
    <r>
      <rPr>
        <sz val="9"/>
        <rFont val="Arial"/>
        <family val="2"/>
      </rPr>
      <t>10</t>
    </r>
    <r>
      <rPr>
        <sz val="9"/>
        <rFont val="宋体"/>
        <family val="3"/>
        <charset val="134"/>
      </rPr>
      <t>幢</t>
    </r>
    <r>
      <rPr>
        <sz val="9"/>
        <rFont val="Arial"/>
        <family val="2"/>
      </rPr>
      <t>-1-1075</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</si>
  <si>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1076</t>
    </r>
    <phoneticPr fontId="137" type="noConversion"/>
  </si>
  <si>
    <r>
      <rPr>
        <sz val="9"/>
        <rFont val="Arial"/>
        <family val="2"/>
      </rPr>
      <t>10</t>
    </r>
    <r>
      <rPr>
        <sz val="9"/>
        <rFont val="宋体"/>
        <family val="3"/>
        <charset val="134"/>
      </rPr>
      <t>幢</t>
    </r>
    <r>
      <rPr>
        <sz val="9"/>
        <rFont val="Arial"/>
        <family val="2"/>
      </rPr>
      <t>-1-1077</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</si>
  <si>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1078</t>
    </r>
    <phoneticPr fontId="137" type="noConversion"/>
  </si>
  <si>
    <r>
      <rPr>
        <sz val="9"/>
        <rFont val="Arial"/>
        <family val="2"/>
      </rPr>
      <t>10</t>
    </r>
    <r>
      <rPr>
        <sz val="9"/>
        <rFont val="宋体"/>
        <family val="3"/>
        <charset val="134"/>
      </rPr>
      <t>幢</t>
    </r>
    <r>
      <rPr>
        <sz val="9"/>
        <rFont val="Arial"/>
        <family val="2"/>
      </rPr>
      <t>-1-1079</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</si>
  <si>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1080</t>
    </r>
    <phoneticPr fontId="137" type="noConversion"/>
  </si>
  <si>
    <r>
      <rPr>
        <sz val="9"/>
        <rFont val="Arial"/>
        <family val="2"/>
      </rPr>
      <t>10</t>
    </r>
    <r>
      <rPr>
        <sz val="9"/>
        <rFont val="宋体"/>
        <family val="3"/>
        <charset val="134"/>
      </rPr>
      <t>幢</t>
    </r>
    <r>
      <rPr>
        <sz val="9"/>
        <rFont val="Arial"/>
        <family val="2"/>
      </rPr>
      <t>-1-1081</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</si>
  <si>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1082</t>
    </r>
    <phoneticPr fontId="137" type="noConversion"/>
  </si>
  <si>
    <r>
      <rPr>
        <sz val="9"/>
        <rFont val="Arial"/>
        <family val="2"/>
      </rPr>
      <t>10</t>
    </r>
    <r>
      <rPr>
        <sz val="9"/>
        <rFont val="宋体"/>
        <family val="3"/>
        <charset val="134"/>
      </rPr>
      <t>幢</t>
    </r>
    <r>
      <rPr>
        <sz val="9"/>
        <rFont val="Arial"/>
        <family val="2"/>
      </rPr>
      <t>-1-1083</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</si>
  <si>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1084</t>
    </r>
    <phoneticPr fontId="137" type="noConversion"/>
  </si>
  <si>
    <r>
      <rPr>
        <sz val="9"/>
        <rFont val="Arial"/>
        <family val="2"/>
      </rPr>
      <t>10</t>
    </r>
    <r>
      <rPr>
        <sz val="9"/>
        <rFont val="宋体"/>
        <family val="3"/>
        <charset val="134"/>
      </rPr>
      <t>幢</t>
    </r>
    <r>
      <rPr>
        <sz val="9"/>
        <rFont val="Arial"/>
        <family val="2"/>
      </rPr>
      <t>-1-1085</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</si>
  <si>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1086</t>
    </r>
    <phoneticPr fontId="137" type="noConversion"/>
  </si>
  <si>
    <r>
      <rPr>
        <sz val="9"/>
        <rFont val="Arial"/>
        <family val="2"/>
      </rPr>
      <t>10</t>
    </r>
    <r>
      <rPr>
        <sz val="9"/>
        <rFont val="宋体"/>
        <family val="3"/>
        <charset val="134"/>
      </rPr>
      <t>幢</t>
    </r>
    <r>
      <rPr>
        <sz val="9"/>
        <rFont val="Arial"/>
        <family val="2"/>
      </rPr>
      <t>-1-1087</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</si>
  <si>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1088</t>
    </r>
    <phoneticPr fontId="137" type="noConversion"/>
  </si>
  <si>
    <r>
      <rPr>
        <sz val="9"/>
        <rFont val="Arial"/>
        <family val="2"/>
      </rPr>
      <t>10</t>
    </r>
    <r>
      <rPr>
        <sz val="9"/>
        <rFont val="宋体"/>
        <family val="3"/>
        <charset val="134"/>
      </rPr>
      <t>幢</t>
    </r>
    <r>
      <rPr>
        <sz val="9"/>
        <rFont val="Arial"/>
        <family val="2"/>
      </rPr>
      <t>-1-1089</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</si>
  <si>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1090</t>
    </r>
    <phoneticPr fontId="137" type="noConversion"/>
  </si>
  <si>
    <r>
      <rPr>
        <sz val="9"/>
        <rFont val="Arial"/>
        <family val="2"/>
      </rPr>
      <t>10</t>
    </r>
    <r>
      <rPr>
        <sz val="9"/>
        <rFont val="宋体"/>
        <family val="3"/>
        <charset val="134"/>
      </rPr>
      <t>幢</t>
    </r>
    <r>
      <rPr>
        <sz val="9"/>
        <rFont val="Arial"/>
        <family val="2"/>
      </rPr>
      <t>-1-1091</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</si>
  <si>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1092</t>
    </r>
    <phoneticPr fontId="137" type="noConversion"/>
  </si>
  <si>
    <r>
      <rPr>
        <sz val="9"/>
        <rFont val="Arial"/>
        <family val="2"/>
      </rPr>
      <t>10</t>
    </r>
    <r>
      <rPr>
        <sz val="9"/>
        <rFont val="宋体"/>
        <family val="3"/>
        <charset val="134"/>
      </rPr>
      <t>幢</t>
    </r>
    <r>
      <rPr>
        <sz val="9"/>
        <rFont val="Arial"/>
        <family val="2"/>
      </rPr>
      <t>-1-1093</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</si>
  <si>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1094</t>
    </r>
    <phoneticPr fontId="137" type="noConversion"/>
  </si>
  <si>
    <r>
      <rPr>
        <sz val="9"/>
        <rFont val="Arial"/>
        <family val="2"/>
      </rPr>
      <t>10</t>
    </r>
    <r>
      <rPr>
        <sz val="9"/>
        <rFont val="宋体"/>
        <family val="3"/>
        <charset val="134"/>
      </rPr>
      <t>幢</t>
    </r>
    <r>
      <rPr>
        <sz val="9"/>
        <rFont val="Arial"/>
        <family val="2"/>
      </rPr>
      <t>-1-1095</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</si>
  <si>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1096</t>
    </r>
    <phoneticPr fontId="137" type="noConversion"/>
  </si>
  <si>
    <r>
      <rPr>
        <sz val="9"/>
        <rFont val="Arial"/>
        <family val="2"/>
      </rPr>
      <t>10</t>
    </r>
    <r>
      <rPr>
        <sz val="9"/>
        <rFont val="宋体"/>
        <family val="3"/>
        <charset val="134"/>
      </rPr>
      <t>幢</t>
    </r>
    <r>
      <rPr>
        <sz val="9"/>
        <rFont val="Arial"/>
        <family val="2"/>
      </rPr>
      <t>-1-1097</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</si>
  <si>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1098</t>
    </r>
    <phoneticPr fontId="137" type="noConversion"/>
  </si>
  <si>
    <r>
      <rPr>
        <sz val="9"/>
        <rFont val="Arial"/>
        <family val="2"/>
      </rPr>
      <t>10</t>
    </r>
    <r>
      <rPr>
        <sz val="9"/>
        <rFont val="宋体"/>
        <family val="3"/>
        <charset val="134"/>
      </rPr>
      <t>幢</t>
    </r>
    <r>
      <rPr>
        <sz val="9"/>
        <rFont val="Arial"/>
        <family val="2"/>
      </rPr>
      <t>-1-1099</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</si>
  <si>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1100</t>
    </r>
    <phoneticPr fontId="137" type="noConversion"/>
  </si>
  <si>
    <r>
      <rPr>
        <sz val="9"/>
        <rFont val="Arial"/>
        <family val="2"/>
      </rPr>
      <t>10</t>
    </r>
    <r>
      <rPr>
        <sz val="9"/>
        <rFont val="宋体"/>
        <family val="3"/>
        <charset val="134"/>
      </rPr>
      <t>幢</t>
    </r>
    <r>
      <rPr>
        <sz val="9"/>
        <rFont val="Arial"/>
        <family val="2"/>
      </rPr>
      <t>-1-1101</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</si>
  <si>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1102</t>
    </r>
    <phoneticPr fontId="137" type="noConversion"/>
  </si>
  <si>
    <r>
      <rPr>
        <sz val="9"/>
        <rFont val="Arial"/>
        <family val="2"/>
      </rPr>
      <t>10</t>
    </r>
    <r>
      <rPr>
        <sz val="9"/>
        <rFont val="宋体"/>
        <family val="3"/>
        <charset val="134"/>
      </rPr>
      <t>幢</t>
    </r>
    <r>
      <rPr>
        <sz val="9"/>
        <rFont val="Arial"/>
        <family val="2"/>
      </rPr>
      <t>-1-1103</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</si>
  <si>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1104</t>
    </r>
    <phoneticPr fontId="137" type="noConversion"/>
  </si>
  <si>
    <r>
      <rPr>
        <sz val="9"/>
        <rFont val="Arial"/>
        <family val="2"/>
      </rPr>
      <t>10</t>
    </r>
    <r>
      <rPr>
        <sz val="9"/>
        <rFont val="宋体"/>
        <family val="3"/>
        <charset val="134"/>
      </rPr>
      <t>幢</t>
    </r>
    <r>
      <rPr>
        <sz val="9"/>
        <rFont val="Arial"/>
        <family val="2"/>
      </rPr>
      <t>-1-1105</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</si>
  <si>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1106</t>
    </r>
    <phoneticPr fontId="137" type="noConversion"/>
  </si>
  <si>
    <r>
      <rPr>
        <sz val="9"/>
        <rFont val="Arial"/>
        <family val="2"/>
      </rPr>
      <t>10</t>
    </r>
    <r>
      <rPr>
        <sz val="9"/>
        <rFont val="宋体"/>
        <family val="3"/>
        <charset val="134"/>
      </rPr>
      <t>幢</t>
    </r>
    <r>
      <rPr>
        <sz val="9"/>
        <rFont val="Arial"/>
        <family val="2"/>
      </rPr>
      <t>-1-1107</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</si>
  <si>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1108</t>
    </r>
    <phoneticPr fontId="137" type="noConversion"/>
  </si>
  <si>
    <r>
      <rPr>
        <sz val="9"/>
        <rFont val="Arial"/>
        <family val="2"/>
      </rPr>
      <t>10</t>
    </r>
    <r>
      <rPr>
        <sz val="9"/>
        <rFont val="宋体"/>
        <family val="3"/>
        <charset val="134"/>
      </rPr>
      <t>幢</t>
    </r>
    <r>
      <rPr>
        <sz val="9"/>
        <rFont val="Arial"/>
        <family val="2"/>
      </rPr>
      <t>-1-1109</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</si>
  <si>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1111</t>
    </r>
    <phoneticPr fontId="137" type="noConversion"/>
  </si>
  <si>
    <r>
      <rPr>
        <sz val="9"/>
        <rFont val="Arial"/>
        <family val="2"/>
      </rPr>
      <t>10</t>
    </r>
    <r>
      <rPr>
        <sz val="9"/>
        <rFont val="宋体"/>
        <family val="3"/>
        <charset val="134"/>
      </rPr>
      <t>幢</t>
    </r>
    <r>
      <rPr>
        <sz val="9"/>
        <rFont val="Arial"/>
        <family val="2"/>
      </rPr>
      <t>-1-1112</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</si>
  <si>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1113</t>
    </r>
    <phoneticPr fontId="137" type="noConversion"/>
  </si>
  <si>
    <r>
      <rPr>
        <sz val="9"/>
        <rFont val="Arial"/>
        <family val="2"/>
      </rPr>
      <t>10</t>
    </r>
    <r>
      <rPr>
        <sz val="9"/>
        <rFont val="宋体"/>
        <family val="3"/>
        <charset val="134"/>
      </rPr>
      <t>幢</t>
    </r>
    <r>
      <rPr>
        <sz val="9"/>
        <rFont val="Arial"/>
        <family val="2"/>
      </rPr>
      <t>-1-1114</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</si>
  <si>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1115</t>
    </r>
    <phoneticPr fontId="137" type="noConversion"/>
  </si>
  <si>
    <r>
      <rPr>
        <sz val="9"/>
        <rFont val="Arial"/>
        <family val="2"/>
      </rPr>
      <t>10</t>
    </r>
    <r>
      <rPr>
        <sz val="9"/>
        <rFont val="宋体"/>
        <family val="3"/>
        <charset val="134"/>
      </rPr>
      <t>幢</t>
    </r>
    <r>
      <rPr>
        <sz val="9"/>
        <rFont val="Arial"/>
        <family val="2"/>
      </rPr>
      <t>-1-1116</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</si>
  <si>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1117</t>
    </r>
    <phoneticPr fontId="137" type="noConversion"/>
  </si>
  <si>
    <r>
      <rPr>
        <sz val="9"/>
        <rFont val="Arial"/>
        <family val="2"/>
      </rPr>
      <t>10</t>
    </r>
    <r>
      <rPr>
        <sz val="9"/>
        <rFont val="宋体"/>
        <family val="3"/>
        <charset val="134"/>
      </rPr>
      <t>幢</t>
    </r>
    <r>
      <rPr>
        <sz val="9"/>
        <rFont val="Arial"/>
        <family val="2"/>
      </rPr>
      <t>-1-1118</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</si>
  <si>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1119</t>
    </r>
    <phoneticPr fontId="137" type="noConversion"/>
  </si>
  <si>
    <r>
      <rPr>
        <sz val="9"/>
        <rFont val="Arial"/>
        <family val="2"/>
      </rPr>
      <t>10</t>
    </r>
    <r>
      <rPr>
        <sz val="9"/>
        <rFont val="宋体"/>
        <family val="3"/>
        <charset val="134"/>
      </rPr>
      <t>幢</t>
    </r>
    <r>
      <rPr>
        <sz val="9"/>
        <rFont val="Arial"/>
        <family val="2"/>
      </rPr>
      <t>-1-1120</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</si>
  <si>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1121</t>
    </r>
    <phoneticPr fontId="137" type="noConversion"/>
  </si>
  <si>
    <r>
      <rPr>
        <sz val="9"/>
        <rFont val="Arial"/>
        <family val="2"/>
      </rPr>
      <t>10</t>
    </r>
    <r>
      <rPr>
        <sz val="9"/>
        <rFont val="宋体"/>
        <family val="3"/>
        <charset val="134"/>
      </rPr>
      <t>幢</t>
    </r>
    <r>
      <rPr>
        <sz val="9"/>
        <rFont val="Arial"/>
        <family val="2"/>
      </rPr>
      <t>-1-1122</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</si>
  <si>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1123</t>
    </r>
    <phoneticPr fontId="137" type="noConversion"/>
  </si>
  <si>
    <r>
      <rPr>
        <sz val="9"/>
        <rFont val="Arial"/>
        <family val="2"/>
      </rPr>
      <t>10</t>
    </r>
    <r>
      <rPr>
        <sz val="9"/>
        <rFont val="宋体"/>
        <family val="3"/>
        <charset val="134"/>
      </rPr>
      <t>幢</t>
    </r>
    <r>
      <rPr>
        <sz val="9"/>
        <rFont val="Arial"/>
        <family val="2"/>
      </rPr>
      <t>-1-1124</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</si>
  <si>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1125</t>
    </r>
    <phoneticPr fontId="137" type="noConversion"/>
  </si>
  <si>
    <r>
      <rPr>
        <sz val="9"/>
        <rFont val="Arial"/>
        <family val="2"/>
      </rPr>
      <t>10</t>
    </r>
    <r>
      <rPr>
        <sz val="9"/>
        <rFont val="宋体"/>
        <family val="3"/>
        <charset val="134"/>
      </rPr>
      <t>幢</t>
    </r>
    <r>
      <rPr>
        <sz val="9"/>
        <rFont val="Arial"/>
        <family val="2"/>
      </rPr>
      <t>-1-1126</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</si>
  <si>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1127</t>
    </r>
    <phoneticPr fontId="137" type="noConversion"/>
  </si>
  <si>
    <r>
      <rPr>
        <sz val="9"/>
        <rFont val="Arial"/>
        <family val="2"/>
      </rPr>
      <t>10</t>
    </r>
    <r>
      <rPr>
        <sz val="9"/>
        <rFont val="宋体"/>
        <family val="3"/>
        <charset val="134"/>
      </rPr>
      <t>幢</t>
    </r>
    <r>
      <rPr>
        <sz val="9"/>
        <rFont val="Arial"/>
        <family val="2"/>
      </rPr>
      <t>-11128</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</si>
  <si>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1129</t>
    </r>
    <phoneticPr fontId="137" type="noConversion"/>
  </si>
  <si>
    <r>
      <rPr>
        <sz val="9"/>
        <rFont val="Arial"/>
        <family val="2"/>
      </rPr>
      <t>10</t>
    </r>
    <r>
      <rPr>
        <sz val="9"/>
        <rFont val="宋体"/>
        <family val="3"/>
        <charset val="134"/>
      </rPr>
      <t>幢</t>
    </r>
    <r>
      <rPr>
        <sz val="9"/>
        <rFont val="Arial"/>
        <family val="2"/>
      </rPr>
      <t>-1-1130</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</si>
  <si>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1131</t>
    </r>
    <phoneticPr fontId="137" type="noConversion"/>
  </si>
  <si>
    <r>
      <rPr>
        <sz val="9"/>
        <rFont val="Arial"/>
        <family val="2"/>
      </rPr>
      <t>10</t>
    </r>
    <r>
      <rPr>
        <sz val="9"/>
        <rFont val="宋体"/>
        <family val="3"/>
        <charset val="134"/>
      </rPr>
      <t>幢</t>
    </r>
    <r>
      <rPr>
        <sz val="9"/>
        <rFont val="Arial"/>
        <family val="2"/>
      </rPr>
      <t>-1-1132</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</si>
  <si>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1133</t>
    </r>
    <phoneticPr fontId="137" type="noConversion"/>
  </si>
  <si>
    <r>
      <rPr>
        <sz val="9"/>
        <rFont val="Arial"/>
        <family val="2"/>
      </rPr>
      <t>10</t>
    </r>
    <r>
      <rPr>
        <sz val="9"/>
        <rFont val="宋体"/>
        <family val="3"/>
        <charset val="134"/>
      </rPr>
      <t>幢</t>
    </r>
    <r>
      <rPr>
        <sz val="9"/>
        <rFont val="Arial"/>
        <family val="2"/>
      </rPr>
      <t>-1-1134</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</si>
  <si>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1135</t>
    </r>
    <phoneticPr fontId="137" type="noConversion"/>
  </si>
  <si>
    <r>
      <rPr>
        <sz val="9"/>
        <rFont val="Arial"/>
        <family val="2"/>
      </rPr>
      <t>10</t>
    </r>
    <r>
      <rPr>
        <sz val="9"/>
        <rFont val="宋体"/>
        <family val="3"/>
        <charset val="134"/>
      </rPr>
      <t>幢</t>
    </r>
    <r>
      <rPr>
        <sz val="9"/>
        <rFont val="Arial"/>
        <family val="2"/>
      </rPr>
      <t>-1-1136</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</si>
  <si>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1137</t>
    </r>
    <phoneticPr fontId="137" type="noConversion"/>
  </si>
  <si>
    <r>
      <rPr>
        <sz val="9"/>
        <rFont val="Arial"/>
        <family val="2"/>
      </rPr>
      <t>10</t>
    </r>
    <r>
      <rPr>
        <sz val="9"/>
        <rFont val="宋体"/>
        <family val="3"/>
        <charset val="134"/>
      </rPr>
      <t>幢</t>
    </r>
    <r>
      <rPr>
        <sz val="9"/>
        <rFont val="Arial"/>
        <family val="2"/>
      </rPr>
      <t>-1-1138</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</si>
  <si>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1139</t>
    </r>
    <phoneticPr fontId="137" type="noConversion"/>
  </si>
  <si>
    <r>
      <rPr>
        <sz val="9"/>
        <rFont val="Arial"/>
        <family val="2"/>
      </rPr>
      <t>10</t>
    </r>
    <r>
      <rPr>
        <sz val="9"/>
        <rFont val="宋体"/>
        <family val="3"/>
        <charset val="134"/>
      </rPr>
      <t>幢</t>
    </r>
    <r>
      <rPr>
        <sz val="9"/>
        <rFont val="Arial"/>
        <family val="2"/>
      </rPr>
      <t>-1-1140</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</si>
  <si>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1141</t>
    </r>
    <phoneticPr fontId="137" type="noConversion"/>
  </si>
  <si>
    <r>
      <rPr>
        <sz val="9"/>
        <rFont val="Arial"/>
        <family val="2"/>
      </rPr>
      <t>10</t>
    </r>
    <r>
      <rPr>
        <sz val="9"/>
        <rFont val="宋体"/>
        <family val="3"/>
        <charset val="134"/>
      </rPr>
      <t>幢</t>
    </r>
    <r>
      <rPr>
        <sz val="9"/>
        <rFont val="Arial"/>
        <family val="2"/>
      </rPr>
      <t>-1-1142</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</si>
  <si>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1143</t>
    </r>
    <phoneticPr fontId="137" type="noConversion"/>
  </si>
  <si>
    <r>
      <rPr>
        <sz val="9"/>
        <rFont val="Arial"/>
        <family val="2"/>
      </rPr>
      <t>10</t>
    </r>
    <r>
      <rPr>
        <sz val="9"/>
        <rFont val="宋体"/>
        <family val="3"/>
        <charset val="134"/>
      </rPr>
      <t>幢</t>
    </r>
    <r>
      <rPr>
        <sz val="9"/>
        <rFont val="Arial"/>
        <family val="2"/>
      </rPr>
      <t>-1-1144</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</si>
  <si>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1145</t>
    </r>
    <phoneticPr fontId="137" type="noConversion"/>
  </si>
  <si>
    <r>
      <rPr>
        <sz val="9"/>
        <rFont val="Arial"/>
        <family val="2"/>
      </rPr>
      <t>10</t>
    </r>
    <r>
      <rPr>
        <sz val="9"/>
        <rFont val="宋体"/>
        <family val="3"/>
        <charset val="134"/>
      </rPr>
      <t>幢</t>
    </r>
    <r>
      <rPr>
        <sz val="9"/>
        <rFont val="Arial"/>
        <family val="2"/>
      </rPr>
      <t>-1-1146</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</si>
  <si>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1147</t>
    </r>
    <phoneticPr fontId="137" type="noConversion"/>
  </si>
  <si>
    <r>
      <rPr>
        <sz val="9"/>
        <rFont val="Arial"/>
        <family val="2"/>
      </rPr>
      <t>10</t>
    </r>
    <r>
      <rPr>
        <sz val="9"/>
        <rFont val="宋体"/>
        <family val="3"/>
        <charset val="134"/>
      </rPr>
      <t>幢</t>
    </r>
    <r>
      <rPr>
        <sz val="9"/>
        <rFont val="Arial"/>
        <family val="2"/>
      </rPr>
      <t>-1-1149</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</si>
  <si>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1150</t>
    </r>
    <phoneticPr fontId="137" type="noConversion"/>
  </si>
  <si>
    <r>
      <rPr>
        <sz val="9"/>
        <rFont val="Arial"/>
        <family val="2"/>
      </rPr>
      <t>10</t>
    </r>
    <r>
      <rPr>
        <sz val="9"/>
        <rFont val="宋体"/>
        <family val="3"/>
        <charset val="134"/>
      </rPr>
      <t>幢</t>
    </r>
    <r>
      <rPr>
        <sz val="9"/>
        <rFont val="Arial"/>
        <family val="2"/>
      </rPr>
      <t>-1-1151</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</si>
  <si>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1152</t>
    </r>
    <phoneticPr fontId="137" type="noConversion"/>
  </si>
  <si>
    <r>
      <rPr>
        <sz val="9"/>
        <rFont val="Arial"/>
        <family val="2"/>
      </rPr>
      <t>10</t>
    </r>
    <r>
      <rPr>
        <sz val="9"/>
        <rFont val="宋体"/>
        <family val="3"/>
        <charset val="134"/>
      </rPr>
      <t>幢</t>
    </r>
    <r>
      <rPr>
        <sz val="9"/>
        <rFont val="Arial"/>
        <family val="2"/>
      </rPr>
      <t>-1-1153</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</si>
  <si>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1154</t>
    </r>
    <phoneticPr fontId="137" type="noConversion"/>
  </si>
  <si>
    <r>
      <rPr>
        <sz val="9"/>
        <rFont val="Arial"/>
        <family val="2"/>
      </rPr>
      <t>10</t>
    </r>
    <r>
      <rPr>
        <sz val="9"/>
        <rFont val="宋体"/>
        <family val="3"/>
        <charset val="134"/>
      </rPr>
      <t>幢</t>
    </r>
    <r>
      <rPr>
        <sz val="9"/>
        <rFont val="Arial"/>
        <family val="2"/>
      </rPr>
      <t>-1-1155</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</si>
  <si>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1156</t>
    </r>
    <phoneticPr fontId="137" type="noConversion"/>
  </si>
  <si>
    <r>
      <rPr>
        <sz val="9"/>
        <rFont val="Arial"/>
        <family val="2"/>
      </rPr>
      <t>10</t>
    </r>
    <r>
      <rPr>
        <sz val="9"/>
        <rFont val="宋体"/>
        <family val="3"/>
        <charset val="134"/>
      </rPr>
      <t>幢</t>
    </r>
    <r>
      <rPr>
        <sz val="9"/>
        <rFont val="Arial"/>
        <family val="2"/>
      </rPr>
      <t>-1-1157</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</si>
  <si>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1158</t>
    </r>
    <phoneticPr fontId="137" type="noConversion"/>
  </si>
  <si>
    <r>
      <rPr>
        <sz val="9"/>
        <rFont val="Arial"/>
        <family val="2"/>
      </rPr>
      <t>10</t>
    </r>
    <r>
      <rPr>
        <sz val="9"/>
        <rFont val="宋体"/>
        <family val="3"/>
        <charset val="134"/>
      </rPr>
      <t>幢</t>
    </r>
    <r>
      <rPr>
        <sz val="9"/>
        <rFont val="Arial"/>
        <family val="2"/>
      </rPr>
      <t>-1-1159</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</si>
  <si>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1160</t>
    </r>
    <phoneticPr fontId="137" type="noConversion"/>
  </si>
  <si>
    <r>
      <rPr>
        <sz val="9"/>
        <rFont val="Arial"/>
        <family val="2"/>
      </rPr>
      <t>10</t>
    </r>
    <r>
      <rPr>
        <sz val="9"/>
        <rFont val="宋体"/>
        <family val="3"/>
        <charset val="134"/>
      </rPr>
      <t>幢</t>
    </r>
    <r>
      <rPr>
        <sz val="9"/>
        <rFont val="Arial"/>
        <family val="2"/>
      </rPr>
      <t>-1-1161</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</si>
  <si>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1162</t>
    </r>
    <phoneticPr fontId="137" type="noConversion"/>
  </si>
  <si>
    <r>
      <rPr>
        <sz val="9"/>
        <rFont val="Arial"/>
        <family val="2"/>
      </rPr>
      <t>10</t>
    </r>
    <r>
      <rPr>
        <sz val="9"/>
        <rFont val="宋体"/>
        <family val="3"/>
        <charset val="134"/>
      </rPr>
      <t>幢</t>
    </r>
    <r>
      <rPr>
        <sz val="9"/>
        <rFont val="Arial"/>
        <family val="2"/>
      </rPr>
      <t>-1-1163</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</si>
  <si>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1164</t>
    </r>
    <phoneticPr fontId="137" type="noConversion"/>
  </si>
  <si>
    <r>
      <rPr>
        <sz val="9"/>
        <rFont val="Arial"/>
        <family val="2"/>
      </rPr>
      <t>10</t>
    </r>
    <r>
      <rPr>
        <sz val="9"/>
        <rFont val="宋体"/>
        <family val="3"/>
        <charset val="134"/>
      </rPr>
      <t>幢</t>
    </r>
    <r>
      <rPr>
        <sz val="9"/>
        <rFont val="Arial"/>
        <family val="2"/>
      </rPr>
      <t>-1-1165</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</si>
  <si>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1166</t>
    </r>
    <phoneticPr fontId="137" type="noConversion"/>
  </si>
  <si>
    <r>
      <rPr>
        <sz val="9"/>
        <rFont val="Arial"/>
        <family val="2"/>
      </rPr>
      <t>10</t>
    </r>
    <r>
      <rPr>
        <sz val="9"/>
        <rFont val="宋体"/>
        <family val="3"/>
        <charset val="134"/>
      </rPr>
      <t>幢</t>
    </r>
    <r>
      <rPr>
        <sz val="9"/>
        <rFont val="Arial"/>
        <family val="2"/>
      </rPr>
      <t>-1-1167</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</si>
  <si>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1168</t>
    </r>
    <phoneticPr fontId="137" type="noConversion"/>
  </si>
  <si>
    <r>
      <rPr>
        <sz val="9"/>
        <rFont val="Arial"/>
        <family val="2"/>
      </rPr>
      <t>10</t>
    </r>
    <r>
      <rPr>
        <sz val="9"/>
        <rFont val="宋体"/>
        <family val="3"/>
        <charset val="134"/>
      </rPr>
      <t>幢</t>
    </r>
    <r>
      <rPr>
        <sz val="9"/>
        <rFont val="Arial"/>
        <family val="2"/>
      </rPr>
      <t>-1-1169</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</si>
  <si>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1170</t>
    </r>
    <phoneticPr fontId="137" type="noConversion"/>
  </si>
  <si>
    <r>
      <rPr>
        <sz val="9"/>
        <rFont val="Arial"/>
        <family val="2"/>
      </rPr>
      <t>10</t>
    </r>
    <r>
      <rPr>
        <sz val="9"/>
        <rFont val="宋体"/>
        <family val="3"/>
        <charset val="134"/>
      </rPr>
      <t>幢</t>
    </r>
    <r>
      <rPr>
        <sz val="9"/>
        <rFont val="Arial"/>
        <family val="2"/>
      </rPr>
      <t>-1-1171</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</si>
  <si>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1172</t>
    </r>
    <phoneticPr fontId="137" type="noConversion"/>
  </si>
  <si>
    <r>
      <rPr>
        <sz val="9"/>
        <rFont val="Arial"/>
        <family val="2"/>
      </rPr>
      <t>10</t>
    </r>
    <r>
      <rPr>
        <sz val="9"/>
        <rFont val="宋体"/>
        <family val="3"/>
        <charset val="134"/>
      </rPr>
      <t>幢</t>
    </r>
    <r>
      <rPr>
        <sz val="9"/>
        <rFont val="Arial"/>
        <family val="2"/>
      </rPr>
      <t>-1-1173</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</si>
  <si>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1174</t>
    </r>
    <phoneticPr fontId="137" type="noConversion"/>
  </si>
  <si>
    <r>
      <rPr>
        <sz val="9"/>
        <rFont val="Arial"/>
        <family val="2"/>
      </rPr>
      <t>10</t>
    </r>
    <r>
      <rPr>
        <sz val="9"/>
        <rFont val="宋体"/>
        <family val="3"/>
        <charset val="134"/>
      </rPr>
      <t>幢</t>
    </r>
    <r>
      <rPr>
        <sz val="9"/>
        <rFont val="Arial"/>
        <family val="2"/>
      </rPr>
      <t>-1-1175</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</si>
  <si>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1176</t>
    </r>
    <phoneticPr fontId="137" type="noConversion"/>
  </si>
  <si>
    <r>
      <rPr>
        <sz val="9"/>
        <rFont val="Arial"/>
        <family val="2"/>
      </rPr>
      <t>10</t>
    </r>
    <r>
      <rPr>
        <sz val="9"/>
        <rFont val="宋体"/>
        <family val="3"/>
        <charset val="134"/>
      </rPr>
      <t>幢</t>
    </r>
    <r>
      <rPr>
        <sz val="9"/>
        <rFont val="Arial"/>
        <family val="2"/>
      </rPr>
      <t>1-1177</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</si>
  <si>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1178</t>
    </r>
    <phoneticPr fontId="137" type="noConversion"/>
  </si>
  <si>
    <r>
      <rPr>
        <sz val="9"/>
        <rFont val="Arial"/>
        <family val="2"/>
      </rPr>
      <t>10</t>
    </r>
    <r>
      <rPr>
        <sz val="9"/>
        <rFont val="宋体"/>
        <family val="3"/>
        <charset val="134"/>
      </rPr>
      <t>幢</t>
    </r>
    <r>
      <rPr>
        <sz val="9"/>
        <rFont val="Arial"/>
        <family val="2"/>
      </rPr>
      <t>-1-1179</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</si>
  <si>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1180</t>
    </r>
    <phoneticPr fontId="137" type="noConversion"/>
  </si>
  <si>
    <r>
      <rPr>
        <sz val="9"/>
        <rFont val="Arial"/>
        <family val="2"/>
      </rPr>
      <t>10</t>
    </r>
    <r>
      <rPr>
        <sz val="9"/>
        <rFont val="宋体"/>
        <family val="3"/>
        <charset val="134"/>
      </rPr>
      <t>幢</t>
    </r>
    <r>
      <rPr>
        <sz val="9"/>
        <rFont val="Arial"/>
        <family val="2"/>
      </rPr>
      <t>-1-1181</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</si>
  <si>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1182</t>
    </r>
    <phoneticPr fontId="137" type="noConversion"/>
  </si>
  <si>
    <r>
      <rPr>
        <sz val="9"/>
        <rFont val="Arial"/>
        <family val="2"/>
      </rPr>
      <t>10</t>
    </r>
    <r>
      <rPr>
        <sz val="9"/>
        <rFont val="宋体"/>
        <family val="3"/>
        <charset val="134"/>
      </rPr>
      <t>幢</t>
    </r>
    <r>
      <rPr>
        <sz val="9"/>
        <rFont val="Arial"/>
        <family val="2"/>
      </rPr>
      <t>-1-1184</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</si>
  <si>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1185</t>
    </r>
    <phoneticPr fontId="137" type="noConversion"/>
  </si>
  <si>
    <r>
      <rPr>
        <sz val="9"/>
        <rFont val="Arial"/>
        <family val="2"/>
      </rPr>
      <t>10</t>
    </r>
    <r>
      <rPr>
        <sz val="9"/>
        <rFont val="宋体"/>
        <family val="3"/>
        <charset val="134"/>
      </rPr>
      <t>幢</t>
    </r>
    <r>
      <rPr>
        <sz val="9"/>
        <rFont val="Arial"/>
        <family val="2"/>
      </rPr>
      <t>-1-1186</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</si>
  <si>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1187</t>
    </r>
    <phoneticPr fontId="137" type="noConversion"/>
  </si>
  <si>
    <r>
      <rPr>
        <sz val="9"/>
        <rFont val="Arial"/>
        <family val="2"/>
      </rPr>
      <t>10</t>
    </r>
    <r>
      <rPr>
        <sz val="9"/>
        <rFont val="宋体"/>
        <family val="3"/>
        <charset val="134"/>
      </rPr>
      <t>幢</t>
    </r>
    <r>
      <rPr>
        <sz val="9"/>
        <rFont val="Arial"/>
        <family val="2"/>
      </rPr>
      <t>-1-1188</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</si>
  <si>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1189</t>
    </r>
    <phoneticPr fontId="137" type="noConversion"/>
  </si>
  <si>
    <r>
      <rPr>
        <sz val="9"/>
        <rFont val="Arial"/>
        <family val="2"/>
      </rPr>
      <t>10</t>
    </r>
    <r>
      <rPr>
        <sz val="9"/>
        <rFont val="宋体"/>
        <family val="3"/>
        <charset val="134"/>
      </rPr>
      <t>幢</t>
    </r>
    <r>
      <rPr>
        <sz val="9"/>
        <rFont val="Arial"/>
        <family val="2"/>
      </rPr>
      <t>-1-1190</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</si>
  <si>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1191</t>
    </r>
    <phoneticPr fontId="137" type="noConversion"/>
  </si>
  <si>
    <r>
      <rPr>
        <sz val="9"/>
        <rFont val="Arial"/>
        <family val="2"/>
      </rPr>
      <t>10</t>
    </r>
    <r>
      <rPr>
        <sz val="9"/>
        <rFont val="宋体"/>
        <family val="3"/>
        <charset val="134"/>
      </rPr>
      <t>幢</t>
    </r>
    <r>
      <rPr>
        <sz val="9"/>
        <rFont val="Arial"/>
        <family val="2"/>
      </rPr>
      <t>-1-1192</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</si>
  <si>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1193</t>
    </r>
    <phoneticPr fontId="137" type="noConversion"/>
  </si>
  <si>
    <r>
      <rPr>
        <sz val="9"/>
        <rFont val="Arial"/>
        <family val="2"/>
      </rPr>
      <t>10</t>
    </r>
    <r>
      <rPr>
        <sz val="9"/>
        <rFont val="宋体"/>
        <family val="3"/>
        <charset val="134"/>
      </rPr>
      <t>幢</t>
    </r>
    <r>
      <rPr>
        <sz val="9"/>
        <rFont val="Arial"/>
        <family val="2"/>
      </rPr>
      <t>-1-1194</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</si>
  <si>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1195</t>
    </r>
    <phoneticPr fontId="137" type="noConversion"/>
  </si>
  <si>
    <r>
      <rPr>
        <sz val="9"/>
        <rFont val="Arial"/>
        <family val="2"/>
      </rPr>
      <t>10</t>
    </r>
    <r>
      <rPr>
        <sz val="9"/>
        <rFont val="宋体"/>
        <family val="3"/>
        <charset val="134"/>
      </rPr>
      <t>幢</t>
    </r>
    <r>
      <rPr>
        <sz val="9"/>
        <rFont val="Arial"/>
        <family val="2"/>
      </rPr>
      <t>-1-1196</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</si>
  <si>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1197</t>
    </r>
    <phoneticPr fontId="137" type="noConversion"/>
  </si>
  <si>
    <r>
      <rPr>
        <sz val="9"/>
        <rFont val="Arial"/>
        <family val="2"/>
      </rPr>
      <t>10</t>
    </r>
    <r>
      <rPr>
        <sz val="9"/>
        <rFont val="宋体"/>
        <family val="3"/>
        <charset val="134"/>
      </rPr>
      <t>幢</t>
    </r>
    <r>
      <rPr>
        <sz val="9"/>
        <rFont val="Arial"/>
        <family val="2"/>
      </rPr>
      <t>-1-1198</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</si>
  <si>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1199</t>
    </r>
    <phoneticPr fontId="137" type="noConversion"/>
  </si>
  <si>
    <r>
      <rPr>
        <sz val="9"/>
        <rFont val="Arial"/>
        <family val="2"/>
      </rPr>
      <t>10</t>
    </r>
    <r>
      <rPr>
        <sz val="9"/>
        <rFont val="宋体"/>
        <family val="3"/>
        <charset val="134"/>
      </rPr>
      <t>幢</t>
    </r>
    <r>
      <rPr>
        <sz val="9"/>
        <rFont val="Arial"/>
        <family val="2"/>
      </rPr>
      <t>-1-1200</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</si>
  <si>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1201</t>
    </r>
    <phoneticPr fontId="137" type="noConversion"/>
  </si>
  <si>
    <r>
      <rPr>
        <sz val="9"/>
        <rFont val="Arial"/>
        <family val="2"/>
      </rPr>
      <t>10</t>
    </r>
    <r>
      <rPr>
        <sz val="9"/>
        <rFont val="宋体"/>
        <family val="3"/>
        <charset val="134"/>
      </rPr>
      <t>幢</t>
    </r>
    <r>
      <rPr>
        <sz val="9"/>
        <rFont val="Arial"/>
        <family val="2"/>
      </rPr>
      <t>-1-1202</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</si>
  <si>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1203</t>
    </r>
    <phoneticPr fontId="137" type="noConversion"/>
  </si>
  <si>
    <r>
      <rPr>
        <sz val="9"/>
        <rFont val="Arial"/>
        <family val="2"/>
      </rPr>
      <t>10</t>
    </r>
    <r>
      <rPr>
        <sz val="9"/>
        <rFont val="宋体"/>
        <family val="3"/>
        <charset val="134"/>
      </rPr>
      <t>幢</t>
    </r>
    <r>
      <rPr>
        <sz val="9"/>
        <rFont val="Arial"/>
        <family val="2"/>
      </rPr>
      <t>-1-1204</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</si>
  <si>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1205</t>
    </r>
    <phoneticPr fontId="137" type="noConversion"/>
  </si>
  <si>
    <r>
      <rPr>
        <sz val="9"/>
        <rFont val="Arial"/>
        <family val="2"/>
      </rPr>
      <t>10</t>
    </r>
    <r>
      <rPr>
        <sz val="9"/>
        <rFont val="宋体"/>
        <family val="3"/>
        <charset val="134"/>
      </rPr>
      <t>幢</t>
    </r>
    <r>
      <rPr>
        <sz val="9"/>
        <rFont val="Arial"/>
        <family val="2"/>
      </rPr>
      <t>-1-1206</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</si>
  <si>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1207</t>
    </r>
    <phoneticPr fontId="137" type="noConversion"/>
  </si>
  <si>
    <r>
      <rPr>
        <sz val="9"/>
        <rFont val="Arial"/>
        <family val="2"/>
      </rPr>
      <t>10</t>
    </r>
    <r>
      <rPr>
        <sz val="9"/>
        <rFont val="宋体"/>
        <family val="3"/>
        <charset val="134"/>
      </rPr>
      <t>幢</t>
    </r>
    <r>
      <rPr>
        <sz val="9"/>
        <rFont val="Arial"/>
        <family val="2"/>
      </rPr>
      <t>-1-1208</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</si>
  <si>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1212</t>
    </r>
    <phoneticPr fontId="137" type="noConversion"/>
  </si>
  <si>
    <r>
      <rPr>
        <sz val="9"/>
        <rFont val="Arial"/>
        <family val="2"/>
      </rPr>
      <t>10</t>
    </r>
    <r>
      <rPr>
        <sz val="9"/>
        <rFont val="宋体"/>
        <family val="3"/>
        <charset val="134"/>
      </rPr>
      <t>幢</t>
    </r>
    <r>
      <rPr>
        <sz val="9"/>
        <rFont val="Arial"/>
        <family val="2"/>
      </rPr>
      <t>-1-1213</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</si>
  <si>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1214</t>
    </r>
    <phoneticPr fontId="137" type="noConversion"/>
  </si>
  <si>
    <r>
      <rPr>
        <sz val="9"/>
        <rFont val="Arial"/>
        <family val="2"/>
      </rPr>
      <t>10</t>
    </r>
    <r>
      <rPr>
        <sz val="9"/>
        <rFont val="宋体"/>
        <family val="3"/>
        <charset val="134"/>
      </rPr>
      <t>幢</t>
    </r>
    <r>
      <rPr>
        <sz val="9"/>
        <rFont val="Arial"/>
        <family val="2"/>
      </rPr>
      <t>-1-1215</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</si>
  <si>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1216</t>
    </r>
    <phoneticPr fontId="137" type="noConversion"/>
  </si>
  <si>
    <r>
      <rPr>
        <sz val="9"/>
        <rFont val="Arial"/>
        <family val="2"/>
      </rPr>
      <t>10</t>
    </r>
    <r>
      <rPr>
        <sz val="9"/>
        <rFont val="宋体"/>
        <family val="3"/>
        <charset val="134"/>
      </rPr>
      <t>幢</t>
    </r>
    <r>
      <rPr>
        <sz val="9"/>
        <rFont val="Arial"/>
        <family val="2"/>
      </rPr>
      <t>-1-1217</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</si>
  <si>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1218</t>
    </r>
    <phoneticPr fontId="137" type="noConversion"/>
  </si>
  <si>
    <r>
      <rPr>
        <sz val="9"/>
        <rFont val="Arial"/>
        <family val="2"/>
      </rPr>
      <t>10</t>
    </r>
    <r>
      <rPr>
        <sz val="9"/>
        <rFont val="宋体"/>
        <family val="3"/>
        <charset val="134"/>
      </rPr>
      <t>幢</t>
    </r>
    <r>
      <rPr>
        <sz val="9"/>
        <rFont val="Arial"/>
        <family val="2"/>
      </rPr>
      <t>-1-1220</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</si>
  <si>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1221</t>
    </r>
    <phoneticPr fontId="137" type="noConversion"/>
  </si>
  <si>
    <r>
      <rPr>
        <sz val="9"/>
        <rFont val="Arial"/>
        <family val="2"/>
      </rPr>
      <t>10</t>
    </r>
    <r>
      <rPr>
        <sz val="9"/>
        <rFont val="宋体"/>
        <family val="3"/>
        <charset val="134"/>
      </rPr>
      <t>幢</t>
    </r>
    <r>
      <rPr>
        <sz val="9"/>
        <rFont val="Arial"/>
        <family val="2"/>
      </rPr>
      <t>-1-1222</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</si>
  <si>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1223</t>
    </r>
    <phoneticPr fontId="137" type="noConversion"/>
  </si>
  <si>
    <r>
      <rPr>
        <sz val="9"/>
        <rFont val="Arial"/>
        <family val="2"/>
      </rPr>
      <t>10</t>
    </r>
    <r>
      <rPr>
        <sz val="9"/>
        <rFont val="宋体"/>
        <family val="3"/>
        <charset val="134"/>
      </rPr>
      <t>幢</t>
    </r>
    <r>
      <rPr>
        <sz val="9"/>
        <rFont val="Arial"/>
        <family val="2"/>
      </rPr>
      <t>-1-1224</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</si>
  <si>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1225</t>
    </r>
    <phoneticPr fontId="137" type="noConversion"/>
  </si>
  <si>
    <r>
      <rPr>
        <sz val="9"/>
        <rFont val="Arial"/>
        <family val="2"/>
      </rPr>
      <t>10</t>
    </r>
    <r>
      <rPr>
        <sz val="9"/>
        <rFont val="宋体"/>
        <family val="3"/>
        <charset val="134"/>
      </rPr>
      <t>幢</t>
    </r>
    <r>
      <rPr>
        <sz val="9"/>
        <rFont val="Arial"/>
        <family val="2"/>
      </rPr>
      <t>-1-1226</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</si>
  <si>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1227</t>
    </r>
    <phoneticPr fontId="137" type="noConversion"/>
  </si>
  <si>
    <r>
      <rPr>
        <sz val="9"/>
        <rFont val="Arial"/>
        <family val="2"/>
      </rPr>
      <t>10</t>
    </r>
    <r>
      <rPr>
        <sz val="9"/>
        <rFont val="宋体"/>
        <family val="3"/>
        <charset val="134"/>
      </rPr>
      <t>幢</t>
    </r>
    <r>
      <rPr>
        <sz val="9"/>
        <rFont val="Arial"/>
        <family val="2"/>
      </rPr>
      <t>-1-1228</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</si>
  <si>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1229</t>
    </r>
    <phoneticPr fontId="137" type="noConversion"/>
  </si>
  <si>
    <r>
      <rPr>
        <sz val="9"/>
        <rFont val="Arial"/>
        <family val="2"/>
      </rPr>
      <t>10</t>
    </r>
    <r>
      <rPr>
        <sz val="9"/>
        <rFont val="宋体"/>
        <family val="3"/>
        <charset val="134"/>
      </rPr>
      <t>幢</t>
    </r>
    <r>
      <rPr>
        <sz val="9"/>
        <rFont val="Arial"/>
        <family val="2"/>
      </rPr>
      <t>-1-1230</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</si>
  <si>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1231</t>
    </r>
    <phoneticPr fontId="137" type="noConversion"/>
  </si>
  <si>
    <r>
      <rPr>
        <sz val="9"/>
        <rFont val="Arial"/>
        <family val="2"/>
      </rPr>
      <t>10</t>
    </r>
    <r>
      <rPr>
        <sz val="9"/>
        <rFont val="宋体"/>
        <family val="3"/>
        <charset val="134"/>
      </rPr>
      <t>幢</t>
    </r>
    <r>
      <rPr>
        <sz val="9"/>
        <rFont val="Arial"/>
        <family val="2"/>
      </rPr>
      <t>-1-1232</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</si>
  <si>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1233</t>
    </r>
    <phoneticPr fontId="137" type="noConversion"/>
  </si>
  <si>
    <r>
      <rPr>
        <sz val="9"/>
        <rFont val="Arial"/>
        <family val="2"/>
      </rPr>
      <t>10</t>
    </r>
    <r>
      <rPr>
        <sz val="9"/>
        <rFont val="宋体"/>
        <family val="3"/>
        <charset val="134"/>
      </rPr>
      <t>幢</t>
    </r>
    <r>
      <rPr>
        <sz val="9"/>
        <rFont val="Arial"/>
        <family val="2"/>
      </rPr>
      <t>-1-1234</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</si>
  <si>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1235</t>
    </r>
    <phoneticPr fontId="137" type="noConversion"/>
  </si>
  <si>
    <r>
      <rPr>
        <sz val="9"/>
        <rFont val="Arial"/>
        <family val="2"/>
      </rPr>
      <t>10</t>
    </r>
    <r>
      <rPr>
        <sz val="9"/>
        <rFont val="宋体"/>
        <family val="3"/>
        <charset val="134"/>
      </rPr>
      <t>幢</t>
    </r>
    <r>
      <rPr>
        <sz val="9"/>
        <rFont val="Arial"/>
        <family val="2"/>
      </rPr>
      <t>-1-1236</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</si>
  <si>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1237</t>
    </r>
    <phoneticPr fontId="137" type="noConversion"/>
  </si>
  <si>
    <r>
      <rPr>
        <sz val="9"/>
        <rFont val="Arial"/>
        <family val="2"/>
      </rPr>
      <t>10</t>
    </r>
    <r>
      <rPr>
        <sz val="9"/>
        <rFont val="宋体"/>
        <family val="3"/>
        <charset val="134"/>
      </rPr>
      <t>幢</t>
    </r>
    <r>
      <rPr>
        <sz val="9"/>
        <rFont val="Arial"/>
        <family val="2"/>
      </rPr>
      <t>-1-1238</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</si>
  <si>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1239</t>
    </r>
    <phoneticPr fontId="137" type="noConversion"/>
  </si>
  <si>
    <r>
      <rPr>
        <sz val="9"/>
        <rFont val="Arial"/>
        <family val="2"/>
      </rPr>
      <t>10</t>
    </r>
    <r>
      <rPr>
        <sz val="9"/>
        <rFont val="宋体"/>
        <family val="3"/>
        <charset val="134"/>
      </rPr>
      <t>幢</t>
    </r>
    <r>
      <rPr>
        <sz val="9"/>
        <rFont val="Arial"/>
        <family val="2"/>
      </rPr>
      <t>-1-1240</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</si>
  <si>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1241</t>
    </r>
    <phoneticPr fontId="137" type="noConversion"/>
  </si>
  <si>
    <r>
      <rPr>
        <sz val="9"/>
        <rFont val="Arial"/>
        <family val="2"/>
      </rPr>
      <t>10</t>
    </r>
    <r>
      <rPr>
        <sz val="9"/>
        <rFont val="宋体"/>
        <family val="3"/>
        <charset val="134"/>
      </rPr>
      <t>幢</t>
    </r>
    <r>
      <rPr>
        <sz val="9"/>
        <rFont val="Arial"/>
        <family val="2"/>
      </rPr>
      <t>-1-1242</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</si>
  <si>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1243</t>
    </r>
    <phoneticPr fontId="137" type="noConversion"/>
  </si>
  <si>
    <r>
      <rPr>
        <sz val="9"/>
        <rFont val="Arial"/>
        <family val="2"/>
      </rPr>
      <t>10</t>
    </r>
    <r>
      <rPr>
        <sz val="9"/>
        <rFont val="宋体"/>
        <family val="3"/>
        <charset val="134"/>
      </rPr>
      <t>幢</t>
    </r>
    <r>
      <rPr>
        <sz val="9"/>
        <rFont val="Arial"/>
        <family val="2"/>
      </rPr>
      <t>-1-1244</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</si>
  <si>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1245</t>
    </r>
    <phoneticPr fontId="137" type="noConversion"/>
  </si>
  <si>
    <r>
      <rPr>
        <sz val="9"/>
        <rFont val="Arial"/>
        <family val="2"/>
      </rPr>
      <t>10</t>
    </r>
    <r>
      <rPr>
        <sz val="9"/>
        <rFont val="宋体"/>
        <family val="3"/>
        <charset val="134"/>
      </rPr>
      <t>幢</t>
    </r>
    <r>
      <rPr>
        <sz val="9"/>
        <rFont val="Arial"/>
        <family val="2"/>
      </rPr>
      <t>-1-1246</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</si>
  <si>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1247</t>
    </r>
    <phoneticPr fontId="137" type="noConversion"/>
  </si>
  <si>
    <r>
      <rPr>
        <sz val="9"/>
        <rFont val="Arial"/>
        <family val="2"/>
      </rPr>
      <t>10</t>
    </r>
    <r>
      <rPr>
        <sz val="9"/>
        <rFont val="宋体"/>
        <family val="3"/>
        <charset val="134"/>
      </rPr>
      <t>幢</t>
    </r>
    <r>
      <rPr>
        <sz val="9"/>
        <rFont val="Arial"/>
        <family val="2"/>
      </rPr>
      <t>-1-1248</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</si>
  <si>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1249</t>
    </r>
    <phoneticPr fontId="137" type="noConversion"/>
  </si>
  <si>
    <r>
      <rPr>
        <sz val="9"/>
        <rFont val="Arial"/>
        <family val="2"/>
      </rPr>
      <t>10</t>
    </r>
    <r>
      <rPr>
        <sz val="9"/>
        <rFont val="宋体"/>
        <family val="3"/>
        <charset val="134"/>
      </rPr>
      <t>幢</t>
    </r>
    <r>
      <rPr>
        <sz val="9"/>
        <rFont val="Arial"/>
        <family val="2"/>
      </rPr>
      <t>-1-1251</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</si>
  <si>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1252</t>
    </r>
    <phoneticPr fontId="137" type="noConversion"/>
  </si>
  <si>
    <r>
      <rPr>
        <sz val="9"/>
        <rFont val="Arial"/>
        <family val="2"/>
      </rPr>
      <t>10</t>
    </r>
    <r>
      <rPr>
        <sz val="9"/>
        <rFont val="宋体"/>
        <family val="3"/>
        <charset val="134"/>
      </rPr>
      <t>幢</t>
    </r>
    <r>
      <rPr>
        <sz val="9"/>
        <rFont val="Arial"/>
        <family val="2"/>
      </rPr>
      <t>-1-1259</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</si>
  <si>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1262</t>
    </r>
    <phoneticPr fontId="137" type="noConversion"/>
  </si>
  <si>
    <r>
      <rPr>
        <sz val="9"/>
        <rFont val="Arial"/>
        <family val="2"/>
      </rPr>
      <t>10</t>
    </r>
    <r>
      <rPr>
        <sz val="9"/>
        <rFont val="宋体"/>
        <family val="3"/>
        <charset val="134"/>
      </rPr>
      <t>幢</t>
    </r>
    <r>
      <rPr>
        <sz val="9"/>
        <rFont val="Arial"/>
        <family val="2"/>
      </rPr>
      <t>-1-1264</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</si>
  <si>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1265</t>
    </r>
    <phoneticPr fontId="137" type="noConversion"/>
  </si>
  <si>
    <r>
      <rPr>
        <sz val="9"/>
        <rFont val="Arial"/>
        <family val="2"/>
      </rPr>
      <t>10</t>
    </r>
    <r>
      <rPr>
        <sz val="9"/>
        <rFont val="宋体"/>
        <family val="3"/>
        <charset val="134"/>
      </rPr>
      <t>幢</t>
    </r>
    <r>
      <rPr>
        <sz val="9"/>
        <rFont val="Arial"/>
        <family val="2"/>
      </rPr>
      <t>-1-1267</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</si>
  <si>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1269</t>
    </r>
    <phoneticPr fontId="137" type="noConversion"/>
  </si>
  <si>
    <r>
      <rPr>
        <sz val="9"/>
        <rFont val="Arial"/>
        <family val="2"/>
      </rPr>
      <t>10</t>
    </r>
    <r>
      <rPr>
        <sz val="9"/>
        <rFont val="宋体"/>
        <family val="3"/>
        <charset val="134"/>
      </rPr>
      <t>幢</t>
    </r>
    <r>
      <rPr>
        <sz val="9"/>
        <rFont val="Arial"/>
        <family val="2"/>
      </rPr>
      <t>-1-1270</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</si>
  <si>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1272</t>
    </r>
    <phoneticPr fontId="137" type="noConversion"/>
  </si>
  <si>
    <r>
      <rPr>
        <sz val="9"/>
        <rFont val="Arial"/>
        <family val="2"/>
      </rPr>
      <t>10</t>
    </r>
    <r>
      <rPr>
        <sz val="9"/>
        <rFont val="宋体"/>
        <family val="3"/>
        <charset val="134"/>
      </rPr>
      <t>幢</t>
    </r>
    <r>
      <rPr>
        <sz val="9"/>
        <rFont val="Arial"/>
        <family val="2"/>
      </rPr>
      <t>-1-1273</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</si>
  <si>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1274</t>
    </r>
    <phoneticPr fontId="137" type="noConversion"/>
  </si>
  <si>
    <r>
      <rPr>
        <sz val="9"/>
        <rFont val="Arial"/>
        <family val="2"/>
      </rPr>
      <t>10</t>
    </r>
    <r>
      <rPr>
        <sz val="9"/>
        <rFont val="宋体"/>
        <family val="3"/>
        <charset val="134"/>
      </rPr>
      <t>幢</t>
    </r>
    <r>
      <rPr>
        <sz val="9"/>
        <rFont val="Arial"/>
        <family val="2"/>
      </rPr>
      <t>-1-1275</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</si>
  <si>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1276</t>
    </r>
    <phoneticPr fontId="137" type="noConversion"/>
  </si>
  <si>
    <r>
      <rPr>
        <sz val="9"/>
        <rFont val="Arial"/>
        <family val="2"/>
      </rPr>
      <t>10</t>
    </r>
    <r>
      <rPr>
        <sz val="9"/>
        <rFont val="宋体"/>
        <family val="3"/>
        <charset val="134"/>
      </rPr>
      <t>幢</t>
    </r>
    <r>
      <rPr>
        <sz val="9"/>
        <rFont val="Arial"/>
        <family val="2"/>
      </rPr>
      <t>-1-1278</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</si>
  <si>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1279</t>
    </r>
    <phoneticPr fontId="137" type="noConversion"/>
  </si>
  <si>
    <r>
      <rPr>
        <sz val="9"/>
        <rFont val="Arial"/>
        <family val="2"/>
      </rPr>
      <t>10</t>
    </r>
    <r>
      <rPr>
        <sz val="9"/>
        <rFont val="宋体"/>
        <family val="3"/>
        <charset val="134"/>
      </rPr>
      <t>幢</t>
    </r>
    <r>
      <rPr>
        <sz val="9"/>
        <rFont val="Arial"/>
        <family val="2"/>
      </rPr>
      <t>-1-1281</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</si>
  <si>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1282</t>
    </r>
    <phoneticPr fontId="137" type="noConversion"/>
  </si>
  <si>
    <r>
      <rPr>
        <sz val="9"/>
        <rFont val="Arial"/>
        <family val="2"/>
      </rPr>
      <t>10</t>
    </r>
    <r>
      <rPr>
        <sz val="9"/>
        <rFont val="宋体"/>
        <family val="3"/>
        <charset val="134"/>
      </rPr>
      <t>幢</t>
    </r>
    <r>
      <rPr>
        <sz val="9"/>
        <rFont val="Arial"/>
        <family val="2"/>
      </rPr>
      <t>-1-1284</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</si>
  <si>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1290</t>
    </r>
    <phoneticPr fontId="137" type="noConversion"/>
  </si>
  <si>
    <r>
      <rPr>
        <sz val="9"/>
        <rFont val="Arial"/>
        <family val="2"/>
      </rPr>
      <t>10</t>
    </r>
    <r>
      <rPr>
        <sz val="9"/>
        <rFont val="宋体"/>
        <family val="3"/>
        <charset val="134"/>
      </rPr>
      <t>幢</t>
    </r>
    <r>
      <rPr>
        <sz val="9"/>
        <rFont val="Arial"/>
        <family val="2"/>
      </rPr>
      <t>-1-1293</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</si>
  <si>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1294</t>
    </r>
    <phoneticPr fontId="137" type="noConversion"/>
  </si>
  <si>
    <r>
      <rPr>
        <sz val="9"/>
        <rFont val="Arial"/>
        <family val="2"/>
      </rPr>
      <t>10</t>
    </r>
    <r>
      <rPr>
        <sz val="9"/>
        <rFont val="宋体"/>
        <family val="3"/>
        <charset val="134"/>
      </rPr>
      <t>幢</t>
    </r>
    <r>
      <rPr>
        <sz val="9"/>
        <rFont val="Arial"/>
        <family val="2"/>
      </rPr>
      <t>-1-1295</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</si>
  <si>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1305</t>
    </r>
    <phoneticPr fontId="137" type="noConversion"/>
  </si>
  <si>
    <r>
      <rPr>
        <sz val="9"/>
        <rFont val="Arial"/>
        <family val="2"/>
      </rPr>
      <t>10</t>
    </r>
    <r>
      <rPr>
        <sz val="9"/>
        <rFont val="宋体"/>
        <family val="3"/>
        <charset val="134"/>
      </rPr>
      <t>幢</t>
    </r>
    <r>
      <rPr>
        <sz val="9"/>
        <rFont val="Arial"/>
        <family val="2"/>
      </rPr>
      <t>-1-1306</t>
    </r>
    <phoneticPr fontId="137" type="noConversion"/>
  </si>
  <si>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1308</t>
    </r>
    <phoneticPr fontId="137" type="noConversion"/>
  </si>
  <si>
    <r>
      <rPr>
        <sz val="9"/>
        <rFont val="宋体"/>
        <family val="3"/>
        <charset val="134"/>
      </rPr>
      <t>洋房车位</t>
    </r>
    <phoneticPr fontId="137" type="noConversion"/>
  </si>
  <si>
    <r>
      <rPr>
        <sz val="9"/>
        <rFont val="Arial"/>
        <family val="2"/>
      </rPr>
      <t>30</t>
    </r>
    <r>
      <rPr>
        <sz val="9"/>
        <rFont val="宋体"/>
        <family val="3"/>
        <charset val="134"/>
      </rPr>
      <t>幢</t>
    </r>
    <r>
      <rPr>
        <sz val="9"/>
        <rFont val="Arial"/>
        <family val="2"/>
      </rPr>
      <t>-2-2001</t>
    </r>
    <phoneticPr fontId="137" type="noConversion"/>
  </si>
  <si>
    <r>
      <rPr>
        <sz val="9"/>
        <rFont val="宋体"/>
        <family val="3"/>
        <charset val="134"/>
      </rPr>
      <t>房山区揽秀南街</t>
    </r>
    <r>
      <rPr>
        <sz val="9"/>
        <rFont val="Arial"/>
        <family val="2"/>
      </rPr>
      <t>15</t>
    </r>
    <r>
      <rPr>
        <sz val="9"/>
        <rFont val="宋体"/>
        <family val="3"/>
        <charset val="134"/>
      </rPr>
      <t>号院</t>
    </r>
    <phoneticPr fontId="137" type="noConversion"/>
  </si>
  <si>
    <r>
      <rPr>
        <sz val="9"/>
        <rFont val="Arial"/>
        <family val="2"/>
      </rPr>
      <t>30</t>
    </r>
    <r>
      <rPr>
        <sz val="9"/>
        <rFont val="宋体"/>
        <family val="3"/>
        <charset val="134"/>
      </rPr>
      <t>幢</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</si>
  <si>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2002</t>
    </r>
    <phoneticPr fontId="137" type="noConversion"/>
  </si>
  <si>
    <r>
      <rPr>
        <sz val="9"/>
        <rFont val="Arial"/>
        <family val="2"/>
      </rPr>
      <t>30</t>
    </r>
    <r>
      <rPr>
        <sz val="9"/>
        <rFont val="宋体"/>
        <family val="3"/>
        <charset val="134"/>
      </rPr>
      <t>幢</t>
    </r>
    <r>
      <rPr>
        <sz val="9"/>
        <rFont val="Arial"/>
        <family val="2"/>
      </rPr>
      <t>-2-2003</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</si>
  <si>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2004</t>
    </r>
    <phoneticPr fontId="137" type="noConversion"/>
  </si>
  <si>
    <r>
      <rPr>
        <sz val="9"/>
        <rFont val="Arial"/>
        <family val="2"/>
      </rPr>
      <t>30</t>
    </r>
    <r>
      <rPr>
        <sz val="9"/>
        <rFont val="宋体"/>
        <family val="3"/>
        <charset val="134"/>
      </rPr>
      <t>幢</t>
    </r>
    <r>
      <rPr>
        <sz val="9"/>
        <rFont val="Arial"/>
        <family val="2"/>
      </rPr>
      <t>-2-2005</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</si>
  <si>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2006</t>
    </r>
    <phoneticPr fontId="137" type="noConversion"/>
  </si>
  <si>
    <r>
      <t>-2</t>
    </r>
    <r>
      <rPr>
        <sz val="9"/>
        <rFont val="宋体"/>
        <family val="3"/>
        <charset val="134"/>
      </rPr>
      <t>层</t>
    </r>
    <phoneticPr fontId="137" type="noConversion"/>
  </si>
  <si>
    <r>
      <rPr>
        <sz val="9"/>
        <rFont val="Arial"/>
        <family val="2"/>
      </rPr>
      <t>30</t>
    </r>
    <r>
      <rPr>
        <sz val="9"/>
        <rFont val="宋体"/>
        <family val="3"/>
        <charset val="134"/>
      </rPr>
      <t>幢</t>
    </r>
    <r>
      <rPr>
        <sz val="9"/>
        <rFont val="Arial"/>
        <family val="2"/>
      </rPr>
      <t>-2-2007</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</si>
  <si>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2008</t>
    </r>
    <phoneticPr fontId="137" type="noConversion"/>
  </si>
  <si>
    <r>
      <rPr>
        <sz val="9"/>
        <rFont val="Arial"/>
        <family val="2"/>
      </rPr>
      <t>30</t>
    </r>
    <r>
      <rPr>
        <sz val="9"/>
        <rFont val="宋体"/>
        <family val="3"/>
        <charset val="134"/>
      </rPr>
      <t>幢</t>
    </r>
    <r>
      <rPr>
        <sz val="9"/>
        <rFont val="Arial"/>
        <family val="2"/>
      </rPr>
      <t>-2-2009</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</si>
  <si>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2010</t>
    </r>
    <phoneticPr fontId="137" type="noConversion"/>
  </si>
  <si>
    <r>
      <rPr>
        <sz val="9"/>
        <rFont val="Arial"/>
        <family val="2"/>
      </rPr>
      <t>30</t>
    </r>
    <r>
      <rPr>
        <sz val="9"/>
        <rFont val="宋体"/>
        <family val="3"/>
        <charset val="134"/>
      </rPr>
      <t>幢</t>
    </r>
    <r>
      <rPr>
        <sz val="9"/>
        <rFont val="Arial"/>
        <family val="2"/>
      </rPr>
      <t>-2-2011</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</si>
  <si>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2012</t>
    </r>
    <phoneticPr fontId="137" type="noConversion"/>
  </si>
  <si>
    <r>
      <rPr>
        <sz val="9"/>
        <rFont val="Arial"/>
        <family val="2"/>
      </rPr>
      <t>30</t>
    </r>
    <r>
      <rPr>
        <sz val="9"/>
        <rFont val="宋体"/>
        <family val="3"/>
        <charset val="134"/>
      </rPr>
      <t>幢</t>
    </r>
    <r>
      <rPr>
        <sz val="9"/>
        <rFont val="Arial"/>
        <family val="2"/>
      </rPr>
      <t>-2-2014</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</si>
  <si>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2015</t>
    </r>
    <phoneticPr fontId="137" type="noConversion"/>
  </si>
  <si>
    <r>
      <rPr>
        <sz val="9"/>
        <rFont val="Arial"/>
        <family val="2"/>
      </rPr>
      <t>30</t>
    </r>
    <r>
      <rPr>
        <sz val="9"/>
        <rFont val="宋体"/>
        <family val="3"/>
        <charset val="134"/>
      </rPr>
      <t>幢</t>
    </r>
    <r>
      <rPr>
        <sz val="9"/>
        <rFont val="Arial"/>
        <family val="2"/>
      </rPr>
      <t>-2-2017</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</si>
  <si>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2018</t>
    </r>
    <phoneticPr fontId="137" type="noConversion"/>
  </si>
  <si>
    <r>
      <rPr>
        <sz val="9"/>
        <rFont val="Arial"/>
        <family val="2"/>
      </rPr>
      <t>30</t>
    </r>
    <r>
      <rPr>
        <sz val="9"/>
        <rFont val="宋体"/>
        <family val="3"/>
        <charset val="134"/>
      </rPr>
      <t>幢</t>
    </r>
    <r>
      <rPr>
        <sz val="9"/>
        <rFont val="Arial"/>
        <family val="2"/>
      </rPr>
      <t>-2-2019</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</si>
  <si>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2020</t>
    </r>
    <phoneticPr fontId="137" type="noConversion"/>
  </si>
  <si>
    <r>
      <rPr>
        <sz val="9"/>
        <rFont val="Arial"/>
        <family val="2"/>
      </rPr>
      <t>30</t>
    </r>
    <r>
      <rPr>
        <sz val="9"/>
        <rFont val="宋体"/>
        <family val="3"/>
        <charset val="134"/>
      </rPr>
      <t>幢</t>
    </r>
    <r>
      <rPr>
        <sz val="9"/>
        <rFont val="Arial"/>
        <family val="2"/>
      </rPr>
      <t>-2-2021</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</si>
  <si>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2023</t>
    </r>
    <phoneticPr fontId="137" type="noConversion"/>
  </si>
  <si>
    <r>
      <rPr>
        <sz val="9"/>
        <rFont val="Arial"/>
        <family val="2"/>
      </rPr>
      <t>30</t>
    </r>
    <r>
      <rPr>
        <sz val="9"/>
        <rFont val="宋体"/>
        <family val="3"/>
        <charset val="134"/>
      </rPr>
      <t>幢</t>
    </r>
    <r>
      <rPr>
        <sz val="9"/>
        <rFont val="Arial"/>
        <family val="2"/>
      </rPr>
      <t>-2-2024</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</si>
  <si>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2025</t>
    </r>
    <phoneticPr fontId="137" type="noConversion"/>
  </si>
  <si>
    <r>
      <rPr>
        <sz val="9"/>
        <rFont val="Arial"/>
        <family val="2"/>
      </rPr>
      <t>30</t>
    </r>
    <r>
      <rPr>
        <sz val="9"/>
        <rFont val="宋体"/>
        <family val="3"/>
        <charset val="134"/>
      </rPr>
      <t>幢</t>
    </r>
    <r>
      <rPr>
        <sz val="9"/>
        <rFont val="Arial"/>
        <family val="2"/>
      </rPr>
      <t>-2-2026</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</si>
  <si>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2028</t>
    </r>
    <phoneticPr fontId="137" type="noConversion"/>
  </si>
  <si>
    <r>
      <rPr>
        <sz val="9"/>
        <rFont val="Arial"/>
        <family val="2"/>
      </rPr>
      <t>30</t>
    </r>
    <r>
      <rPr>
        <sz val="9"/>
        <rFont val="宋体"/>
        <family val="3"/>
        <charset val="134"/>
      </rPr>
      <t>幢</t>
    </r>
    <r>
      <rPr>
        <sz val="9"/>
        <rFont val="Arial"/>
        <family val="2"/>
      </rPr>
      <t>-2-2029</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</si>
  <si>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2030</t>
    </r>
    <phoneticPr fontId="137" type="noConversion"/>
  </si>
  <si>
    <r>
      <rPr>
        <sz val="9"/>
        <rFont val="Arial"/>
        <family val="2"/>
      </rPr>
      <t>30</t>
    </r>
    <r>
      <rPr>
        <sz val="9"/>
        <rFont val="宋体"/>
        <family val="3"/>
        <charset val="134"/>
      </rPr>
      <t>幢</t>
    </r>
    <r>
      <rPr>
        <sz val="9"/>
        <rFont val="Arial"/>
        <family val="2"/>
      </rPr>
      <t>-2-2031</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</si>
  <si>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2032</t>
    </r>
    <phoneticPr fontId="137" type="noConversion"/>
  </si>
  <si>
    <r>
      <rPr>
        <sz val="9"/>
        <rFont val="Arial"/>
        <family val="2"/>
      </rPr>
      <t>30</t>
    </r>
    <r>
      <rPr>
        <sz val="9"/>
        <rFont val="宋体"/>
        <family val="3"/>
        <charset val="134"/>
      </rPr>
      <t>幢</t>
    </r>
    <r>
      <rPr>
        <sz val="9"/>
        <rFont val="Arial"/>
        <family val="2"/>
      </rPr>
      <t>-2-2033</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</si>
  <si>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2034</t>
    </r>
    <phoneticPr fontId="137" type="noConversion"/>
  </si>
  <si>
    <r>
      <rPr>
        <sz val="9"/>
        <rFont val="Arial"/>
        <family val="2"/>
      </rPr>
      <t>30</t>
    </r>
    <r>
      <rPr>
        <sz val="9"/>
        <rFont val="宋体"/>
        <family val="3"/>
        <charset val="134"/>
      </rPr>
      <t>幢</t>
    </r>
    <r>
      <rPr>
        <sz val="9"/>
        <rFont val="Arial"/>
        <family val="2"/>
      </rPr>
      <t>-2-2035</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</si>
  <si>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2036</t>
    </r>
    <phoneticPr fontId="137" type="noConversion"/>
  </si>
  <si>
    <r>
      <rPr>
        <sz val="9"/>
        <rFont val="Arial"/>
        <family val="2"/>
      </rPr>
      <t>30</t>
    </r>
    <r>
      <rPr>
        <sz val="9"/>
        <rFont val="宋体"/>
        <family val="3"/>
        <charset val="134"/>
      </rPr>
      <t>幢</t>
    </r>
    <r>
      <rPr>
        <sz val="9"/>
        <rFont val="Arial"/>
        <family val="2"/>
      </rPr>
      <t>-2-2037</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</si>
  <si>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2038</t>
    </r>
    <phoneticPr fontId="137" type="noConversion"/>
  </si>
  <si>
    <r>
      <rPr>
        <sz val="9"/>
        <rFont val="Arial"/>
        <family val="2"/>
      </rPr>
      <t>30</t>
    </r>
    <r>
      <rPr>
        <sz val="9"/>
        <rFont val="宋体"/>
        <family val="3"/>
        <charset val="134"/>
      </rPr>
      <t>幢</t>
    </r>
    <r>
      <rPr>
        <sz val="9"/>
        <rFont val="Arial"/>
        <family val="2"/>
      </rPr>
      <t>-2-2039</t>
    </r>
    <phoneticPr fontId="137" type="noConversion"/>
  </si>
  <si>
    <r>
      <rPr>
        <sz val="9"/>
        <rFont val="宋体"/>
        <family val="3"/>
        <charset val="134"/>
      </rPr>
      <t>叠拼车位</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</si>
  <si>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2040</t>
    </r>
    <phoneticPr fontId="137" type="noConversion"/>
  </si>
  <si>
    <r>
      <rPr>
        <sz val="9"/>
        <rFont val="Arial"/>
        <family val="2"/>
      </rPr>
      <t>30</t>
    </r>
    <r>
      <rPr>
        <sz val="9"/>
        <rFont val="宋体"/>
        <family val="3"/>
        <charset val="134"/>
      </rPr>
      <t>幢</t>
    </r>
    <r>
      <rPr>
        <sz val="9"/>
        <rFont val="Arial"/>
        <family val="2"/>
      </rPr>
      <t>-2-2041</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</si>
  <si>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2042</t>
    </r>
    <phoneticPr fontId="137" type="noConversion"/>
  </si>
  <si>
    <r>
      <rPr>
        <sz val="9"/>
        <rFont val="Arial"/>
        <family val="2"/>
      </rPr>
      <t>30</t>
    </r>
    <r>
      <rPr>
        <sz val="9"/>
        <rFont val="宋体"/>
        <family val="3"/>
        <charset val="134"/>
      </rPr>
      <t>幢</t>
    </r>
    <r>
      <rPr>
        <sz val="9"/>
        <rFont val="Arial"/>
        <family val="2"/>
      </rPr>
      <t>-2-2043</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</si>
  <si>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2044</t>
    </r>
    <phoneticPr fontId="137" type="noConversion"/>
  </si>
  <si>
    <r>
      <rPr>
        <sz val="9"/>
        <rFont val="Arial"/>
        <family val="2"/>
      </rPr>
      <t>30</t>
    </r>
    <r>
      <rPr>
        <sz val="9"/>
        <rFont val="宋体"/>
        <family val="3"/>
        <charset val="134"/>
      </rPr>
      <t>幢</t>
    </r>
    <r>
      <rPr>
        <sz val="9"/>
        <rFont val="Arial"/>
        <family val="2"/>
      </rPr>
      <t>-2-2045</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</si>
  <si>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2046</t>
    </r>
    <phoneticPr fontId="137" type="noConversion"/>
  </si>
  <si>
    <r>
      <rPr>
        <sz val="9"/>
        <rFont val="Arial"/>
        <family val="2"/>
      </rPr>
      <t>30</t>
    </r>
    <r>
      <rPr>
        <sz val="9"/>
        <rFont val="宋体"/>
        <family val="3"/>
        <charset val="134"/>
      </rPr>
      <t>幢</t>
    </r>
    <r>
      <rPr>
        <sz val="9"/>
        <rFont val="Arial"/>
        <family val="2"/>
      </rPr>
      <t>-2-2047</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</si>
  <si>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2048</t>
    </r>
    <phoneticPr fontId="137" type="noConversion"/>
  </si>
  <si>
    <r>
      <rPr>
        <sz val="9"/>
        <rFont val="Arial"/>
        <family val="2"/>
      </rPr>
      <t>30</t>
    </r>
    <r>
      <rPr>
        <sz val="9"/>
        <rFont val="宋体"/>
        <family val="3"/>
        <charset val="134"/>
      </rPr>
      <t>幢</t>
    </r>
    <r>
      <rPr>
        <sz val="9"/>
        <rFont val="Arial"/>
        <family val="2"/>
      </rPr>
      <t>-2-2049</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</si>
  <si>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2050</t>
    </r>
    <phoneticPr fontId="137" type="noConversion"/>
  </si>
  <si>
    <r>
      <rPr>
        <sz val="9"/>
        <rFont val="Arial"/>
        <family val="2"/>
      </rPr>
      <t>30</t>
    </r>
    <r>
      <rPr>
        <sz val="9"/>
        <rFont val="宋体"/>
        <family val="3"/>
        <charset val="134"/>
      </rPr>
      <t>幢</t>
    </r>
    <r>
      <rPr>
        <sz val="9"/>
        <rFont val="Arial"/>
        <family val="2"/>
      </rPr>
      <t>-2-2051</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</si>
  <si>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2052</t>
    </r>
    <phoneticPr fontId="137" type="noConversion"/>
  </si>
  <si>
    <r>
      <rPr>
        <sz val="9"/>
        <rFont val="Arial"/>
        <family val="2"/>
      </rPr>
      <t>30</t>
    </r>
    <r>
      <rPr>
        <sz val="9"/>
        <rFont val="宋体"/>
        <family val="3"/>
        <charset val="134"/>
      </rPr>
      <t>撞</t>
    </r>
    <r>
      <rPr>
        <sz val="9"/>
        <rFont val="Arial"/>
        <family val="2"/>
      </rPr>
      <t>-2-2053</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</si>
  <si>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2054</t>
    </r>
    <phoneticPr fontId="137" type="noConversion"/>
  </si>
  <si>
    <r>
      <rPr>
        <sz val="9"/>
        <rFont val="Arial"/>
        <family val="2"/>
      </rPr>
      <t>30</t>
    </r>
    <r>
      <rPr>
        <sz val="9"/>
        <rFont val="宋体"/>
        <family val="3"/>
        <charset val="134"/>
      </rPr>
      <t>幢</t>
    </r>
    <r>
      <rPr>
        <sz val="9"/>
        <rFont val="Arial"/>
        <family val="2"/>
      </rPr>
      <t>-2-2055</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</si>
  <si>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2056</t>
    </r>
    <phoneticPr fontId="137" type="noConversion"/>
  </si>
  <si>
    <r>
      <rPr>
        <sz val="9"/>
        <rFont val="Arial"/>
        <family val="2"/>
      </rPr>
      <t>30</t>
    </r>
    <r>
      <rPr>
        <sz val="9"/>
        <rFont val="宋体"/>
        <family val="3"/>
        <charset val="134"/>
      </rPr>
      <t>幢</t>
    </r>
    <r>
      <rPr>
        <sz val="9"/>
        <rFont val="Arial"/>
        <family val="2"/>
      </rPr>
      <t>-2-2057</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</si>
  <si>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2068</t>
    </r>
    <phoneticPr fontId="137" type="noConversion"/>
  </si>
  <si>
    <r>
      <rPr>
        <sz val="9"/>
        <rFont val="Arial"/>
        <family val="2"/>
      </rPr>
      <t>30</t>
    </r>
    <r>
      <rPr>
        <sz val="9"/>
        <rFont val="宋体"/>
        <family val="3"/>
        <charset val="134"/>
      </rPr>
      <t>幢</t>
    </r>
    <r>
      <rPr>
        <sz val="9"/>
        <rFont val="Arial"/>
        <family val="2"/>
      </rPr>
      <t>-2-2069</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</si>
  <si>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2070</t>
    </r>
    <phoneticPr fontId="137" type="noConversion"/>
  </si>
  <si>
    <r>
      <rPr>
        <sz val="9"/>
        <rFont val="Arial"/>
        <family val="2"/>
      </rPr>
      <t>30</t>
    </r>
    <r>
      <rPr>
        <sz val="9"/>
        <rFont val="宋体"/>
        <family val="3"/>
        <charset val="134"/>
      </rPr>
      <t>幢</t>
    </r>
    <r>
      <rPr>
        <sz val="9"/>
        <rFont val="Arial"/>
        <family val="2"/>
      </rPr>
      <t>-2-2071</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</si>
  <si>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2072</t>
    </r>
    <phoneticPr fontId="137" type="noConversion"/>
  </si>
  <si>
    <r>
      <rPr>
        <sz val="9"/>
        <rFont val="Arial"/>
        <family val="2"/>
      </rPr>
      <t>30</t>
    </r>
    <r>
      <rPr>
        <sz val="9"/>
        <rFont val="宋体"/>
        <family val="3"/>
        <charset val="134"/>
      </rPr>
      <t>幢</t>
    </r>
    <r>
      <rPr>
        <sz val="9"/>
        <rFont val="Arial"/>
        <family val="2"/>
      </rPr>
      <t>-2-2073</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</si>
  <si>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2074</t>
    </r>
    <phoneticPr fontId="137" type="noConversion"/>
  </si>
  <si>
    <r>
      <rPr>
        <sz val="9"/>
        <rFont val="Arial"/>
        <family val="2"/>
      </rPr>
      <t>30</t>
    </r>
    <r>
      <rPr>
        <sz val="9"/>
        <rFont val="宋体"/>
        <family val="3"/>
        <charset val="134"/>
      </rPr>
      <t>幢</t>
    </r>
    <r>
      <rPr>
        <sz val="9"/>
        <rFont val="Arial"/>
        <family val="2"/>
      </rPr>
      <t>-2-2075</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</si>
  <si>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2076</t>
    </r>
    <phoneticPr fontId="137" type="noConversion"/>
  </si>
  <si>
    <r>
      <rPr>
        <sz val="9"/>
        <rFont val="Arial"/>
        <family val="2"/>
      </rPr>
      <t>30</t>
    </r>
    <r>
      <rPr>
        <sz val="9"/>
        <rFont val="宋体"/>
        <family val="3"/>
        <charset val="134"/>
      </rPr>
      <t>幢</t>
    </r>
    <r>
      <rPr>
        <sz val="9"/>
        <rFont val="Arial"/>
        <family val="2"/>
      </rPr>
      <t>-2-2077</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</si>
  <si>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2078</t>
    </r>
    <phoneticPr fontId="137" type="noConversion"/>
  </si>
  <si>
    <r>
      <rPr>
        <sz val="9"/>
        <rFont val="Arial"/>
        <family val="2"/>
      </rPr>
      <t>30</t>
    </r>
    <r>
      <rPr>
        <sz val="9"/>
        <rFont val="宋体"/>
        <family val="3"/>
        <charset val="134"/>
      </rPr>
      <t>幢</t>
    </r>
    <r>
      <rPr>
        <sz val="9"/>
        <rFont val="Arial"/>
        <family val="2"/>
      </rPr>
      <t>-2-2079</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</si>
  <si>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2080</t>
    </r>
    <phoneticPr fontId="137" type="noConversion"/>
  </si>
  <si>
    <r>
      <rPr>
        <sz val="9"/>
        <rFont val="Arial"/>
        <family val="2"/>
      </rPr>
      <t>30</t>
    </r>
    <r>
      <rPr>
        <sz val="9"/>
        <rFont val="宋体"/>
        <family val="3"/>
        <charset val="134"/>
      </rPr>
      <t>幢</t>
    </r>
    <r>
      <rPr>
        <sz val="9"/>
        <rFont val="Arial"/>
        <family val="2"/>
      </rPr>
      <t>-2-2081</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</si>
  <si>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2082</t>
    </r>
    <phoneticPr fontId="137" type="noConversion"/>
  </si>
  <si>
    <r>
      <rPr>
        <sz val="9"/>
        <rFont val="Arial"/>
        <family val="2"/>
      </rPr>
      <t>30</t>
    </r>
    <r>
      <rPr>
        <sz val="9"/>
        <rFont val="宋体"/>
        <family val="3"/>
        <charset val="134"/>
      </rPr>
      <t>幢</t>
    </r>
    <r>
      <rPr>
        <sz val="9"/>
        <rFont val="Arial"/>
        <family val="2"/>
      </rPr>
      <t>-2-2083</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</si>
  <si>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2084</t>
    </r>
    <phoneticPr fontId="137" type="noConversion"/>
  </si>
  <si>
    <r>
      <rPr>
        <sz val="9"/>
        <rFont val="Arial"/>
        <family val="2"/>
      </rPr>
      <t>30</t>
    </r>
    <r>
      <rPr>
        <sz val="9"/>
        <rFont val="宋体"/>
        <family val="3"/>
        <charset val="134"/>
      </rPr>
      <t>幢</t>
    </r>
    <r>
      <rPr>
        <sz val="9"/>
        <rFont val="Arial"/>
        <family val="2"/>
      </rPr>
      <t>-2-2085</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</si>
  <si>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2086</t>
    </r>
    <phoneticPr fontId="137" type="noConversion"/>
  </si>
  <si>
    <r>
      <rPr>
        <sz val="9"/>
        <rFont val="Arial"/>
        <family val="2"/>
      </rPr>
      <t>30</t>
    </r>
    <r>
      <rPr>
        <sz val="9"/>
        <rFont val="宋体"/>
        <family val="3"/>
        <charset val="134"/>
      </rPr>
      <t>幢</t>
    </r>
    <r>
      <rPr>
        <sz val="9"/>
        <rFont val="Arial"/>
        <family val="2"/>
      </rPr>
      <t>-2-2087</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</si>
  <si>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2088</t>
    </r>
    <phoneticPr fontId="137" type="noConversion"/>
  </si>
  <si>
    <r>
      <rPr>
        <sz val="9"/>
        <rFont val="Arial"/>
        <family val="2"/>
      </rPr>
      <t>30</t>
    </r>
    <r>
      <rPr>
        <sz val="9"/>
        <rFont val="宋体"/>
        <family val="3"/>
        <charset val="134"/>
      </rPr>
      <t>幢</t>
    </r>
    <r>
      <rPr>
        <sz val="9"/>
        <rFont val="Arial"/>
        <family val="2"/>
      </rPr>
      <t>-2-2089</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</si>
  <si>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2090</t>
    </r>
    <phoneticPr fontId="137" type="noConversion"/>
  </si>
  <si>
    <r>
      <rPr>
        <sz val="9"/>
        <rFont val="Arial"/>
        <family val="2"/>
      </rPr>
      <t>30</t>
    </r>
    <r>
      <rPr>
        <sz val="9"/>
        <rFont val="宋体"/>
        <family val="3"/>
        <charset val="134"/>
      </rPr>
      <t>幢</t>
    </r>
    <r>
      <rPr>
        <sz val="9"/>
        <rFont val="Arial"/>
        <family val="2"/>
      </rPr>
      <t>-2-2091</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</si>
  <si>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2092</t>
    </r>
    <phoneticPr fontId="137" type="noConversion"/>
  </si>
  <si>
    <r>
      <rPr>
        <sz val="9"/>
        <rFont val="Arial"/>
        <family val="2"/>
      </rPr>
      <t>30</t>
    </r>
    <r>
      <rPr>
        <sz val="9"/>
        <rFont val="宋体"/>
        <family val="3"/>
        <charset val="134"/>
      </rPr>
      <t>幢</t>
    </r>
    <r>
      <rPr>
        <sz val="9"/>
        <rFont val="Arial"/>
        <family val="2"/>
      </rPr>
      <t>-2-2093</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</si>
  <si>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2097</t>
    </r>
    <phoneticPr fontId="137" type="noConversion"/>
  </si>
  <si>
    <r>
      <rPr>
        <sz val="9"/>
        <rFont val="Arial"/>
        <family val="2"/>
      </rPr>
      <t>30</t>
    </r>
    <r>
      <rPr>
        <sz val="9"/>
        <rFont val="宋体"/>
        <family val="3"/>
        <charset val="134"/>
      </rPr>
      <t>幢</t>
    </r>
    <r>
      <rPr>
        <sz val="9"/>
        <rFont val="Arial"/>
        <family val="2"/>
      </rPr>
      <t>-2-2098</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</si>
  <si>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2099</t>
    </r>
    <phoneticPr fontId="137" type="noConversion"/>
  </si>
  <si>
    <r>
      <rPr>
        <sz val="9"/>
        <rFont val="Arial"/>
        <family val="2"/>
      </rPr>
      <t>30</t>
    </r>
    <r>
      <rPr>
        <sz val="9"/>
        <rFont val="宋体"/>
        <family val="3"/>
        <charset val="134"/>
      </rPr>
      <t>幢</t>
    </r>
    <r>
      <rPr>
        <sz val="9"/>
        <rFont val="Arial"/>
        <family val="2"/>
      </rPr>
      <t>-2-2100</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</si>
  <si>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2101</t>
    </r>
    <phoneticPr fontId="137" type="noConversion"/>
  </si>
  <si>
    <r>
      <rPr>
        <sz val="9"/>
        <rFont val="Arial"/>
        <family val="2"/>
      </rPr>
      <t>30</t>
    </r>
    <r>
      <rPr>
        <sz val="9"/>
        <rFont val="宋体"/>
        <family val="3"/>
        <charset val="134"/>
      </rPr>
      <t>幢</t>
    </r>
    <r>
      <rPr>
        <sz val="9"/>
        <rFont val="Arial"/>
        <family val="2"/>
      </rPr>
      <t>-2-2102</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</si>
  <si>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2103</t>
    </r>
    <phoneticPr fontId="137" type="noConversion"/>
  </si>
  <si>
    <r>
      <rPr>
        <sz val="9"/>
        <rFont val="Arial"/>
        <family val="2"/>
      </rPr>
      <t>30</t>
    </r>
    <r>
      <rPr>
        <sz val="9"/>
        <rFont val="宋体"/>
        <family val="3"/>
        <charset val="134"/>
      </rPr>
      <t>幢</t>
    </r>
    <r>
      <rPr>
        <sz val="9"/>
        <rFont val="Arial"/>
        <family val="2"/>
      </rPr>
      <t>-2-2104</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</si>
  <si>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2105</t>
    </r>
    <phoneticPr fontId="137" type="noConversion"/>
  </si>
  <si>
    <r>
      <rPr>
        <sz val="9"/>
        <rFont val="Arial"/>
        <family val="2"/>
      </rPr>
      <t>30</t>
    </r>
    <r>
      <rPr>
        <sz val="9"/>
        <rFont val="宋体"/>
        <family val="3"/>
        <charset val="134"/>
      </rPr>
      <t>幢</t>
    </r>
    <r>
      <rPr>
        <sz val="9"/>
        <rFont val="Arial"/>
        <family val="2"/>
      </rPr>
      <t>-2-2106</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</si>
  <si>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2107</t>
    </r>
    <phoneticPr fontId="137" type="noConversion"/>
  </si>
  <si>
    <r>
      <rPr>
        <sz val="9"/>
        <rFont val="Arial"/>
        <family val="2"/>
      </rPr>
      <t>30</t>
    </r>
    <r>
      <rPr>
        <sz val="9"/>
        <rFont val="宋体"/>
        <family val="3"/>
        <charset val="134"/>
      </rPr>
      <t>幢</t>
    </r>
    <r>
      <rPr>
        <sz val="9"/>
        <rFont val="Arial"/>
        <family val="2"/>
      </rPr>
      <t>-2-2108</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</si>
  <si>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2109</t>
    </r>
    <phoneticPr fontId="137" type="noConversion"/>
  </si>
  <si>
    <r>
      <rPr>
        <sz val="9"/>
        <rFont val="Arial"/>
        <family val="2"/>
      </rPr>
      <t>30</t>
    </r>
    <r>
      <rPr>
        <sz val="9"/>
        <rFont val="宋体"/>
        <family val="3"/>
        <charset val="134"/>
      </rPr>
      <t>幢</t>
    </r>
    <r>
      <rPr>
        <sz val="9"/>
        <rFont val="Arial"/>
        <family val="2"/>
      </rPr>
      <t>-2-2110</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</si>
  <si>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2111</t>
    </r>
    <phoneticPr fontId="137" type="noConversion"/>
  </si>
  <si>
    <r>
      <rPr>
        <sz val="9"/>
        <rFont val="Arial"/>
        <family val="2"/>
      </rPr>
      <t>30</t>
    </r>
    <r>
      <rPr>
        <sz val="9"/>
        <rFont val="宋体"/>
        <family val="3"/>
        <charset val="134"/>
      </rPr>
      <t>幢</t>
    </r>
    <r>
      <rPr>
        <sz val="9"/>
        <rFont val="Arial"/>
        <family val="2"/>
      </rPr>
      <t>-2-2112</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</si>
  <si>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2113</t>
    </r>
    <phoneticPr fontId="137" type="noConversion"/>
  </si>
  <si>
    <r>
      <rPr>
        <sz val="9"/>
        <rFont val="Arial"/>
        <family val="2"/>
      </rPr>
      <t>30</t>
    </r>
    <r>
      <rPr>
        <sz val="9"/>
        <rFont val="宋体"/>
        <family val="3"/>
        <charset val="134"/>
      </rPr>
      <t>幢</t>
    </r>
    <r>
      <rPr>
        <sz val="9"/>
        <rFont val="Arial"/>
        <family val="2"/>
      </rPr>
      <t>-2-2114</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</si>
  <si>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2115</t>
    </r>
    <phoneticPr fontId="137" type="noConversion"/>
  </si>
  <si>
    <r>
      <rPr>
        <sz val="9"/>
        <rFont val="Arial"/>
        <family val="2"/>
      </rPr>
      <t>30</t>
    </r>
    <r>
      <rPr>
        <sz val="9"/>
        <rFont val="宋体"/>
        <family val="3"/>
        <charset val="134"/>
      </rPr>
      <t>幢</t>
    </r>
    <r>
      <rPr>
        <sz val="9"/>
        <rFont val="Arial"/>
        <family val="2"/>
      </rPr>
      <t>-2-2116</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</si>
  <si>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2117</t>
    </r>
    <phoneticPr fontId="137" type="noConversion"/>
  </si>
  <si>
    <r>
      <rPr>
        <sz val="9"/>
        <rFont val="Arial"/>
        <family val="2"/>
      </rPr>
      <t>30</t>
    </r>
    <r>
      <rPr>
        <sz val="9"/>
        <rFont val="宋体"/>
        <family val="3"/>
        <charset val="134"/>
      </rPr>
      <t>幢</t>
    </r>
    <r>
      <rPr>
        <sz val="9"/>
        <rFont val="Arial"/>
        <family val="2"/>
      </rPr>
      <t>-2-2118</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</si>
  <si>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2119</t>
    </r>
    <phoneticPr fontId="137" type="noConversion"/>
  </si>
  <si>
    <r>
      <rPr>
        <sz val="9"/>
        <rFont val="Arial"/>
        <family val="2"/>
      </rPr>
      <t>30</t>
    </r>
    <r>
      <rPr>
        <sz val="9"/>
        <rFont val="宋体"/>
        <family val="3"/>
        <charset val="134"/>
      </rPr>
      <t>幢</t>
    </r>
    <r>
      <rPr>
        <sz val="9"/>
        <rFont val="Arial"/>
        <family val="2"/>
      </rPr>
      <t>-2-2120</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</si>
  <si>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2121</t>
    </r>
    <phoneticPr fontId="137" type="noConversion"/>
  </si>
  <si>
    <r>
      <rPr>
        <sz val="9"/>
        <rFont val="Arial"/>
        <family val="2"/>
      </rPr>
      <t>30</t>
    </r>
    <r>
      <rPr>
        <sz val="9"/>
        <rFont val="宋体"/>
        <family val="3"/>
        <charset val="134"/>
      </rPr>
      <t>幢</t>
    </r>
    <r>
      <rPr>
        <sz val="9"/>
        <rFont val="Arial"/>
        <family val="2"/>
      </rPr>
      <t>-2-2122</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</si>
  <si>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2125</t>
    </r>
    <phoneticPr fontId="137" type="noConversion"/>
  </si>
  <si>
    <r>
      <rPr>
        <sz val="9"/>
        <rFont val="Arial"/>
        <family val="2"/>
      </rPr>
      <t>30</t>
    </r>
    <r>
      <rPr>
        <sz val="9"/>
        <rFont val="宋体"/>
        <family val="3"/>
        <charset val="134"/>
      </rPr>
      <t>幢</t>
    </r>
    <r>
      <rPr>
        <sz val="9"/>
        <rFont val="Arial"/>
        <family val="2"/>
      </rPr>
      <t>-2-2126</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</si>
  <si>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2127</t>
    </r>
    <phoneticPr fontId="137" type="noConversion"/>
  </si>
  <si>
    <r>
      <rPr>
        <sz val="9"/>
        <rFont val="Arial"/>
        <family val="2"/>
      </rPr>
      <t>30</t>
    </r>
    <r>
      <rPr>
        <sz val="9"/>
        <rFont val="宋体"/>
        <family val="3"/>
        <charset val="134"/>
      </rPr>
      <t>幢</t>
    </r>
    <r>
      <rPr>
        <sz val="9"/>
        <rFont val="Arial"/>
        <family val="2"/>
      </rPr>
      <t>-2-2128</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</si>
  <si>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2131</t>
    </r>
    <phoneticPr fontId="137" type="noConversion"/>
  </si>
  <si>
    <r>
      <rPr>
        <sz val="9"/>
        <rFont val="Arial"/>
        <family val="2"/>
      </rPr>
      <t>30</t>
    </r>
    <r>
      <rPr>
        <sz val="9"/>
        <rFont val="宋体"/>
        <family val="3"/>
        <charset val="134"/>
      </rPr>
      <t>幢</t>
    </r>
    <r>
      <rPr>
        <sz val="9"/>
        <rFont val="Arial"/>
        <family val="2"/>
      </rPr>
      <t>-2-2132</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</si>
  <si>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2133</t>
    </r>
    <phoneticPr fontId="137" type="noConversion"/>
  </si>
  <si>
    <r>
      <rPr>
        <sz val="9"/>
        <rFont val="Arial"/>
        <family val="2"/>
      </rPr>
      <t>30</t>
    </r>
    <r>
      <rPr>
        <sz val="9"/>
        <rFont val="宋体"/>
        <family val="3"/>
        <charset val="134"/>
      </rPr>
      <t>幢</t>
    </r>
    <r>
      <rPr>
        <sz val="9"/>
        <rFont val="Arial"/>
        <family val="2"/>
      </rPr>
      <t>-2-2134</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</si>
  <si>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2136</t>
    </r>
    <phoneticPr fontId="137" type="noConversion"/>
  </si>
  <si>
    <r>
      <rPr>
        <sz val="9"/>
        <rFont val="Arial"/>
        <family val="2"/>
      </rPr>
      <t>30</t>
    </r>
    <r>
      <rPr>
        <sz val="9"/>
        <rFont val="宋体"/>
        <family val="3"/>
        <charset val="134"/>
      </rPr>
      <t>幢</t>
    </r>
    <r>
      <rPr>
        <sz val="9"/>
        <rFont val="Arial"/>
        <family val="2"/>
      </rPr>
      <t>-2-2137</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</si>
  <si>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2138</t>
    </r>
    <phoneticPr fontId="137" type="noConversion"/>
  </si>
  <si>
    <r>
      <rPr>
        <sz val="9"/>
        <rFont val="Arial"/>
        <family val="2"/>
      </rPr>
      <t>30</t>
    </r>
    <r>
      <rPr>
        <sz val="9"/>
        <rFont val="宋体"/>
        <family val="3"/>
        <charset val="134"/>
      </rPr>
      <t>幢</t>
    </r>
    <r>
      <rPr>
        <sz val="9"/>
        <rFont val="Arial"/>
        <family val="2"/>
      </rPr>
      <t>-2-2139</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</si>
  <si>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2140</t>
    </r>
    <phoneticPr fontId="137" type="noConversion"/>
  </si>
  <si>
    <r>
      <rPr>
        <sz val="9"/>
        <rFont val="Arial"/>
        <family val="2"/>
      </rPr>
      <t>30</t>
    </r>
    <r>
      <rPr>
        <sz val="9"/>
        <rFont val="宋体"/>
        <family val="3"/>
        <charset val="134"/>
      </rPr>
      <t>幢</t>
    </r>
    <r>
      <rPr>
        <sz val="9"/>
        <rFont val="Arial"/>
        <family val="2"/>
      </rPr>
      <t>-2-2141</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</si>
  <si>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2142</t>
    </r>
    <phoneticPr fontId="137" type="noConversion"/>
  </si>
  <si>
    <r>
      <rPr>
        <sz val="9"/>
        <rFont val="Arial"/>
        <family val="2"/>
      </rPr>
      <t>30</t>
    </r>
    <r>
      <rPr>
        <sz val="9"/>
        <rFont val="宋体"/>
        <family val="3"/>
        <charset val="134"/>
      </rPr>
      <t>幢</t>
    </r>
    <r>
      <rPr>
        <sz val="9"/>
        <rFont val="Arial"/>
        <family val="2"/>
      </rPr>
      <t>-2-2143</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</si>
  <si>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2144</t>
    </r>
    <phoneticPr fontId="137" type="noConversion"/>
  </si>
  <si>
    <r>
      <rPr>
        <sz val="9"/>
        <rFont val="Arial"/>
        <family val="2"/>
      </rPr>
      <t>30</t>
    </r>
    <r>
      <rPr>
        <sz val="9"/>
        <rFont val="宋体"/>
        <family val="3"/>
        <charset val="134"/>
      </rPr>
      <t>幢</t>
    </r>
    <r>
      <rPr>
        <sz val="9"/>
        <rFont val="Arial"/>
        <family val="2"/>
      </rPr>
      <t>-2-2145</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</si>
  <si>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2146</t>
    </r>
    <phoneticPr fontId="137" type="noConversion"/>
  </si>
  <si>
    <r>
      <rPr>
        <sz val="9"/>
        <rFont val="Arial"/>
        <family val="2"/>
      </rPr>
      <t>30</t>
    </r>
    <r>
      <rPr>
        <sz val="9"/>
        <rFont val="宋体"/>
        <family val="3"/>
        <charset val="134"/>
      </rPr>
      <t>幢</t>
    </r>
    <r>
      <rPr>
        <sz val="9"/>
        <rFont val="Arial"/>
        <family val="2"/>
      </rPr>
      <t>-2-2147</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</si>
  <si>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2148</t>
    </r>
    <phoneticPr fontId="137" type="noConversion"/>
  </si>
  <si>
    <r>
      <rPr>
        <sz val="9"/>
        <rFont val="Arial"/>
        <family val="2"/>
      </rPr>
      <t>30</t>
    </r>
    <r>
      <rPr>
        <sz val="9"/>
        <rFont val="宋体"/>
        <family val="3"/>
        <charset val="134"/>
      </rPr>
      <t>幢</t>
    </r>
    <r>
      <rPr>
        <sz val="9"/>
        <rFont val="Arial"/>
        <family val="2"/>
      </rPr>
      <t>-2-2149</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</si>
  <si>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2150</t>
    </r>
    <phoneticPr fontId="137" type="noConversion"/>
  </si>
  <si>
    <r>
      <rPr>
        <sz val="9"/>
        <rFont val="Arial"/>
        <family val="2"/>
      </rPr>
      <t>30</t>
    </r>
    <r>
      <rPr>
        <sz val="9"/>
        <rFont val="宋体"/>
        <family val="3"/>
        <charset val="134"/>
      </rPr>
      <t>幢</t>
    </r>
    <r>
      <rPr>
        <sz val="9"/>
        <rFont val="Arial"/>
        <family val="2"/>
      </rPr>
      <t>-2-2152</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</si>
  <si>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2153</t>
    </r>
    <phoneticPr fontId="137" type="noConversion"/>
  </si>
  <si>
    <r>
      <rPr>
        <sz val="9"/>
        <rFont val="Arial"/>
        <family val="2"/>
      </rPr>
      <t>30</t>
    </r>
    <r>
      <rPr>
        <sz val="9"/>
        <rFont val="宋体"/>
        <family val="3"/>
        <charset val="134"/>
      </rPr>
      <t>幢</t>
    </r>
    <r>
      <rPr>
        <sz val="9"/>
        <rFont val="Arial"/>
        <family val="2"/>
      </rPr>
      <t>-2-2154</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</si>
  <si>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2155</t>
    </r>
    <phoneticPr fontId="137" type="noConversion"/>
  </si>
  <si>
    <r>
      <rPr>
        <sz val="9"/>
        <rFont val="Arial"/>
        <family val="2"/>
      </rPr>
      <t>30</t>
    </r>
    <r>
      <rPr>
        <sz val="9"/>
        <rFont val="宋体"/>
        <family val="3"/>
        <charset val="134"/>
      </rPr>
      <t>幢</t>
    </r>
    <r>
      <rPr>
        <sz val="9"/>
        <rFont val="Arial"/>
        <family val="2"/>
      </rPr>
      <t>-2-2156</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</si>
  <si>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2157</t>
    </r>
    <phoneticPr fontId="137" type="noConversion"/>
  </si>
  <si>
    <r>
      <rPr>
        <sz val="9"/>
        <rFont val="Arial"/>
        <family val="2"/>
      </rPr>
      <t>30</t>
    </r>
    <r>
      <rPr>
        <sz val="9"/>
        <rFont val="宋体"/>
        <family val="3"/>
        <charset val="134"/>
      </rPr>
      <t>幢</t>
    </r>
    <r>
      <rPr>
        <sz val="9"/>
        <rFont val="Arial"/>
        <family val="2"/>
      </rPr>
      <t>-2-2159</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</si>
  <si>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2160</t>
    </r>
    <phoneticPr fontId="137" type="noConversion"/>
  </si>
  <si>
    <r>
      <rPr>
        <sz val="9"/>
        <rFont val="Arial"/>
        <family val="2"/>
      </rPr>
      <t>30</t>
    </r>
    <r>
      <rPr>
        <sz val="9"/>
        <rFont val="宋体"/>
        <family val="3"/>
        <charset val="134"/>
      </rPr>
      <t>幢</t>
    </r>
    <r>
      <rPr>
        <sz val="9"/>
        <rFont val="Arial"/>
        <family val="2"/>
      </rPr>
      <t>-2-2161</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</si>
  <si>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2162</t>
    </r>
    <phoneticPr fontId="137" type="noConversion"/>
  </si>
  <si>
    <r>
      <rPr>
        <sz val="9"/>
        <rFont val="Arial"/>
        <family val="2"/>
      </rPr>
      <t>30</t>
    </r>
    <r>
      <rPr>
        <sz val="9"/>
        <rFont val="宋体"/>
        <family val="3"/>
        <charset val="134"/>
      </rPr>
      <t>幢</t>
    </r>
    <r>
      <rPr>
        <sz val="9"/>
        <rFont val="Arial"/>
        <family val="2"/>
      </rPr>
      <t>-2-2163</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</si>
  <si>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2164</t>
    </r>
    <phoneticPr fontId="137" type="noConversion"/>
  </si>
  <si>
    <r>
      <rPr>
        <sz val="9"/>
        <rFont val="Arial"/>
        <family val="2"/>
      </rPr>
      <t>30</t>
    </r>
    <r>
      <rPr>
        <sz val="9"/>
        <rFont val="宋体"/>
        <family val="3"/>
        <charset val="134"/>
      </rPr>
      <t>幢</t>
    </r>
    <r>
      <rPr>
        <sz val="9"/>
        <rFont val="Arial"/>
        <family val="2"/>
      </rPr>
      <t>-2-2165</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</si>
  <si>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2166</t>
    </r>
    <phoneticPr fontId="137" type="noConversion"/>
  </si>
  <si>
    <r>
      <rPr>
        <sz val="9"/>
        <rFont val="Arial"/>
        <family val="2"/>
      </rPr>
      <t>30</t>
    </r>
    <r>
      <rPr>
        <sz val="9"/>
        <rFont val="宋体"/>
        <family val="3"/>
        <charset val="134"/>
      </rPr>
      <t>幢</t>
    </r>
    <r>
      <rPr>
        <sz val="9"/>
        <rFont val="Arial"/>
        <family val="2"/>
      </rPr>
      <t>-2-2167</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</si>
  <si>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2168</t>
    </r>
    <phoneticPr fontId="137" type="noConversion"/>
  </si>
  <si>
    <r>
      <rPr>
        <sz val="9"/>
        <rFont val="Arial"/>
        <family val="2"/>
      </rPr>
      <t>30</t>
    </r>
    <r>
      <rPr>
        <sz val="9"/>
        <rFont val="宋体"/>
        <family val="3"/>
        <charset val="134"/>
      </rPr>
      <t>幢</t>
    </r>
    <r>
      <rPr>
        <sz val="9"/>
        <rFont val="Arial"/>
        <family val="2"/>
      </rPr>
      <t>-2-2169</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</si>
  <si>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2170</t>
    </r>
    <phoneticPr fontId="137" type="noConversion"/>
  </si>
  <si>
    <r>
      <rPr>
        <sz val="9"/>
        <rFont val="Arial"/>
        <family val="2"/>
      </rPr>
      <t>30</t>
    </r>
    <r>
      <rPr>
        <sz val="9"/>
        <rFont val="宋体"/>
        <family val="3"/>
        <charset val="134"/>
      </rPr>
      <t>幢</t>
    </r>
    <r>
      <rPr>
        <sz val="9"/>
        <rFont val="Arial"/>
        <family val="2"/>
      </rPr>
      <t>-2-2171</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</si>
  <si>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2172</t>
    </r>
    <phoneticPr fontId="137" type="noConversion"/>
  </si>
  <si>
    <r>
      <rPr>
        <sz val="9"/>
        <rFont val="Arial"/>
        <family val="2"/>
      </rPr>
      <t>30</t>
    </r>
    <r>
      <rPr>
        <sz val="9"/>
        <rFont val="宋体"/>
        <family val="3"/>
        <charset val="134"/>
      </rPr>
      <t>幢</t>
    </r>
    <r>
      <rPr>
        <sz val="9"/>
        <rFont val="Arial"/>
        <family val="2"/>
      </rPr>
      <t>-2-2173</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</si>
  <si>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2174</t>
    </r>
    <phoneticPr fontId="137" type="noConversion"/>
  </si>
  <si>
    <r>
      <rPr>
        <sz val="9"/>
        <rFont val="Arial"/>
        <family val="2"/>
      </rPr>
      <t>30</t>
    </r>
    <r>
      <rPr>
        <sz val="9"/>
        <rFont val="宋体"/>
        <family val="3"/>
        <charset val="134"/>
      </rPr>
      <t>幢</t>
    </r>
    <r>
      <rPr>
        <sz val="9"/>
        <rFont val="Arial"/>
        <family val="2"/>
      </rPr>
      <t>-2-2175</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</si>
  <si>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2176</t>
    </r>
    <phoneticPr fontId="137" type="noConversion"/>
  </si>
  <si>
    <r>
      <rPr>
        <sz val="9"/>
        <rFont val="Arial"/>
        <family val="2"/>
      </rPr>
      <t>30</t>
    </r>
    <r>
      <rPr>
        <sz val="9"/>
        <rFont val="宋体"/>
        <family val="3"/>
        <charset val="134"/>
      </rPr>
      <t>幢</t>
    </r>
    <r>
      <rPr>
        <sz val="9"/>
        <rFont val="Arial"/>
        <family val="2"/>
      </rPr>
      <t>-2-2177</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</si>
  <si>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2178</t>
    </r>
    <phoneticPr fontId="137" type="noConversion"/>
  </si>
  <si>
    <r>
      <rPr>
        <sz val="9"/>
        <rFont val="Arial"/>
        <family val="2"/>
      </rPr>
      <t>30</t>
    </r>
    <r>
      <rPr>
        <sz val="9"/>
        <rFont val="宋体"/>
        <family val="3"/>
        <charset val="134"/>
      </rPr>
      <t>幢</t>
    </r>
    <r>
      <rPr>
        <sz val="9"/>
        <rFont val="Arial"/>
        <family val="2"/>
      </rPr>
      <t>-2-2179</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</si>
  <si>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2180</t>
    </r>
    <phoneticPr fontId="137" type="noConversion"/>
  </si>
  <si>
    <r>
      <rPr>
        <sz val="9"/>
        <rFont val="Arial"/>
        <family val="2"/>
      </rPr>
      <t>30</t>
    </r>
    <r>
      <rPr>
        <sz val="9"/>
        <rFont val="宋体"/>
        <family val="3"/>
        <charset val="134"/>
      </rPr>
      <t>幢</t>
    </r>
    <r>
      <rPr>
        <sz val="9"/>
        <rFont val="Arial"/>
        <family val="2"/>
      </rPr>
      <t>-2-2181</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</si>
  <si>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2183</t>
    </r>
    <phoneticPr fontId="137" type="noConversion"/>
  </si>
  <si>
    <r>
      <rPr>
        <sz val="9"/>
        <rFont val="Arial"/>
        <family val="2"/>
      </rPr>
      <t>30</t>
    </r>
    <r>
      <rPr>
        <sz val="9"/>
        <rFont val="宋体"/>
        <family val="3"/>
        <charset val="134"/>
      </rPr>
      <t>幢</t>
    </r>
    <r>
      <rPr>
        <sz val="9"/>
        <rFont val="Arial"/>
        <family val="2"/>
      </rPr>
      <t>-2-2184</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</si>
  <si>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2185</t>
    </r>
    <phoneticPr fontId="137" type="noConversion"/>
  </si>
  <si>
    <r>
      <rPr>
        <sz val="9"/>
        <rFont val="Arial"/>
        <family val="2"/>
      </rPr>
      <t>30</t>
    </r>
    <r>
      <rPr>
        <sz val="9"/>
        <rFont val="宋体"/>
        <family val="3"/>
        <charset val="134"/>
      </rPr>
      <t>幢</t>
    </r>
    <r>
      <rPr>
        <sz val="9"/>
        <rFont val="Arial"/>
        <family val="2"/>
      </rPr>
      <t>-2-2186</t>
    </r>
    <phoneticPr fontId="137" type="noConversion"/>
  </si>
  <si>
    <r>
      <t>30</t>
    </r>
    <r>
      <rPr>
        <sz val="9"/>
        <rFont val="宋体"/>
        <family val="3"/>
        <charset val="134"/>
      </rPr>
      <t>幢</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</si>
  <si>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2187</t>
    </r>
    <phoneticPr fontId="137" type="noConversion"/>
  </si>
  <si>
    <r>
      <rPr>
        <sz val="9"/>
        <rFont val="Arial"/>
        <family val="2"/>
      </rPr>
      <t>30</t>
    </r>
    <r>
      <rPr>
        <sz val="9"/>
        <rFont val="宋体"/>
        <family val="3"/>
        <charset val="134"/>
      </rPr>
      <t>幢</t>
    </r>
    <r>
      <rPr>
        <sz val="9"/>
        <rFont val="Arial"/>
        <family val="2"/>
      </rPr>
      <t>-2-2188</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</si>
  <si>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2189</t>
    </r>
    <phoneticPr fontId="137" type="noConversion"/>
  </si>
  <si>
    <r>
      <rPr>
        <sz val="9"/>
        <rFont val="Arial"/>
        <family val="2"/>
      </rPr>
      <t>30</t>
    </r>
    <r>
      <rPr>
        <sz val="9"/>
        <rFont val="宋体"/>
        <family val="3"/>
        <charset val="134"/>
      </rPr>
      <t>幢</t>
    </r>
    <r>
      <rPr>
        <sz val="9"/>
        <rFont val="Arial"/>
        <family val="2"/>
      </rPr>
      <t>-2-2190</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</si>
  <si>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2191</t>
    </r>
    <phoneticPr fontId="137" type="noConversion"/>
  </si>
  <si>
    <r>
      <rPr>
        <sz val="9"/>
        <rFont val="Arial"/>
        <family val="2"/>
      </rPr>
      <t>30</t>
    </r>
    <r>
      <rPr>
        <sz val="9"/>
        <rFont val="宋体"/>
        <family val="3"/>
        <charset val="134"/>
      </rPr>
      <t>幢</t>
    </r>
    <r>
      <rPr>
        <sz val="9"/>
        <rFont val="Arial"/>
        <family val="2"/>
      </rPr>
      <t>-2-2192</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</si>
  <si>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2193</t>
    </r>
    <phoneticPr fontId="137" type="noConversion"/>
  </si>
  <si>
    <r>
      <rPr>
        <sz val="9"/>
        <rFont val="Arial"/>
        <family val="2"/>
      </rPr>
      <t>30</t>
    </r>
    <r>
      <rPr>
        <sz val="9"/>
        <rFont val="宋体"/>
        <family val="3"/>
        <charset val="134"/>
      </rPr>
      <t>幢</t>
    </r>
    <r>
      <rPr>
        <sz val="9"/>
        <rFont val="Arial"/>
        <family val="2"/>
      </rPr>
      <t>-2-2194</t>
    </r>
    <phoneticPr fontId="137" type="noConversion"/>
  </si>
  <si>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2195</t>
    </r>
    <phoneticPr fontId="137" type="noConversion"/>
  </si>
  <si>
    <r>
      <rPr>
        <sz val="9"/>
        <rFont val="Arial"/>
        <family val="2"/>
      </rPr>
      <t>30</t>
    </r>
    <r>
      <rPr>
        <sz val="9"/>
        <rFont val="宋体"/>
        <family val="3"/>
        <charset val="134"/>
      </rPr>
      <t>幢</t>
    </r>
    <r>
      <rPr>
        <sz val="9"/>
        <rFont val="Arial"/>
        <family val="2"/>
      </rPr>
      <t>-2-2196</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</si>
  <si>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1001</t>
    </r>
    <phoneticPr fontId="137" type="noConversion"/>
  </si>
  <si>
    <r>
      <rPr>
        <sz val="9"/>
        <rFont val="Arial"/>
        <family val="2"/>
      </rPr>
      <t>30</t>
    </r>
    <r>
      <rPr>
        <sz val="9"/>
        <rFont val="宋体"/>
        <family val="3"/>
        <charset val="134"/>
      </rPr>
      <t>幢</t>
    </r>
    <r>
      <rPr>
        <sz val="9"/>
        <rFont val="Arial"/>
        <family val="2"/>
      </rPr>
      <t>-1-1003</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</si>
  <si>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1011</t>
    </r>
    <phoneticPr fontId="137" type="noConversion"/>
  </si>
  <si>
    <r>
      <rPr>
        <sz val="9"/>
        <rFont val="Arial"/>
        <family val="2"/>
      </rPr>
      <t>30</t>
    </r>
    <r>
      <rPr>
        <sz val="9"/>
        <rFont val="宋体"/>
        <family val="3"/>
        <charset val="134"/>
      </rPr>
      <t>幢</t>
    </r>
    <r>
      <rPr>
        <sz val="9"/>
        <rFont val="Arial"/>
        <family val="2"/>
      </rPr>
      <t>-1-1018</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</si>
  <si>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1019</t>
    </r>
    <phoneticPr fontId="137" type="noConversion"/>
  </si>
  <si>
    <r>
      <rPr>
        <sz val="9"/>
        <rFont val="Arial"/>
        <family val="2"/>
      </rPr>
      <t>30</t>
    </r>
    <r>
      <rPr>
        <sz val="9"/>
        <rFont val="宋体"/>
        <family val="3"/>
        <charset val="134"/>
      </rPr>
      <t>幢</t>
    </r>
    <r>
      <rPr>
        <sz val="9"/>
        <rFont val="Arial"/>
        <family val="2"/>
      </rPr>
      <t>-1-1020</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</si>
  <si>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1021</t>
    </r>
    <phoneticPr fontId="137" type="noConversion"/>
  </si>
  <si>
    <r>
      <rPr>
        <sz val="9"/>
        <rFont val="Arial"/>
        <family val="2"/>
      </rPr>
      <t>30</t>
    </r>
    <r>
      <rPr>
        <sz val="9"/>
        <rFont val="宋体"/>
        <family val="3"/>
        <charset val="134"/>
      </rPr>
      <t>幢</t>
    </r>
    <r>
      <rPr>
        <sz val="9"/>
        <rFont val="Arial"/>
        <family val="2"/>
      </rPr>
      <t>-1-1025</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</si>
  <si>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1029</t>
    </r>
    <phoneticPr fontId="137" type="noConversion"/>
  </si>
  <si>
    <r>
      <rPr>
        <sz val="9"/>
        <rFont val="Arial"/>
        <family val="2"/>
      </rPr>
      <t>30</t>
    </r>
    <r>
      <rPr>
        <sz val="9"/>
        <rFont val="宋体"/>
        <family val="3"/>
        <charset val="134"/>
      </rPr>
      <t>幢</t>
    </r>
    <r>
      <rPr>
        <sz val="9"/>
        <rFont val="Arial"/>
        <family val="2"/>
      </rPr>
      <t>-1-1032</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</si>
  <si>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1033</t>
    </r>
    <phoneticPr fontId="137" type="noConversion"/>
  </si>
  <si>
    <r>
      <rPr>
        <sz val="9"/>
        <rFont val="Arial"/>
        <family val="2"/>
      </rPr>
      <t>30</t>
    </r>
    <r>
      <rPr>
        <sz val="9"/>
        <rFont val="宋体"/>
        <family val="3"/>
        <charset val="134"/>
      </rPr>
      <t>幢</t>
    </r>
    <r>
      <rPr>
        <sz val="9"/>
        <rFont val="Arial"/>
        <family val="2"/>
      </rPr>
      <t>-1-1036</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</si>
  <si>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1038</t>
    </r>
    <phoneticPr fontId="137" type="noConversion"/>
  </si>
  <si>
    <r>
      <rPr>
        <sz val="9"/>
        <rFont val="Arial"/>
        <family val="2"/>
      </rPr>
      <t>30</t>
    </r>
    <r>
      <rPr>
        <sz val="9"/>
        <rFont val="宋体"/>
        <family val="3"/>
        <charset val="134"/>
      </rPr>
      <t>幢</t>
    </r>
    <r>
      <rPr>
        <sz val="9"/>
        <rFont val="Arial"/>
        <family val="2"/>
      </rPr>
      <t>-1-1039</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</si>
  <si>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1040</t>
    </r>
    <phoneticPr fontId="137" type="noConversion"/>
  </si>
  <si>
    <r>
      <rPr>
        <sz val="9"/>
        <rFont val="Arial"/>
        <family val="2"/>
      </rPr>
      <t>30</t>
    </r>
    <r>
      <rPr>
        <sz val="9"/>
        <rFont val="宋体"/>
        <family val="3"/>
        <charset val="134"/>
      </rPr>
      <t>幢</t>
    </r>
    <r>
      <rPr>
        <sz val="9"/>
        <rFont val="Arial"/>
        <family val="2"/>
      </rPr>
      <t>-1-1041</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</si>
  <si>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1042</t>
    </r>
    <phoneticPr fontId="137" type="noConversion"/>
  </si>
  <si>
    <r>
      <rPr>
        <sz val="9"/>
        <rFont val="Arial"/>
        <family val="2"/>
      </rPr>
      <t>30</t>
    </r>
    <r>
      <rPr>
        <sz val="9"/>
        <rFont val="宋体"/>
        <family val="3"/>
        <charset val="134"/>
      </rPr>
      <t>幢</t>
    </r>
    <r>
      <rPr>
        <sz val="9"/>
        <rFont val="Arial"/>
        <family val="2"/>
      </rPr>
      <t>-1-1043</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</si>
  <si>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1044</t>
    </r>
    <phoneticPr fontId="137" type="noConversion"/>
  </si>
  <si>
    <r>
      <rPr>
        <sz val="9"/>
        <rFont val="Arial"/>
        <family val="2"/>
      </rPr>
      <t>30</t>
    </r>
    <r>
      <rPr>
        <sz val="9"/>
        <rFont val="宋体"/>
        <family val="3"/>
        <charset val="134"/>
      </rPr>
      <t>幢</t>
    </r>
    <r>
      <rPr>
        <sz val="9"/>
        <rFont val="Arial"/>
        <family val="2"/>
      </rPr>
      <t>-1-1045</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</si>
  <si>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1046</t>
    </r>
    <phoneticPr fontId="137" type="noConversion"/>
  </si>
  <si>
    <r>
      <rPr>
        <sz val="9"/>
        <rFont val="Arial"/>
        <family val="2"/>
      </rPr>
      <t>30</t>
    </r>
    <r>
      <rPr>
        <sz val="9"/>
        <rFont val="宋体"/>
        <family val="3"/>
        <charset val="134"/>
      </rPr>
      <t>幢</t>
    </r>
    <r>
      <rPr>
        <sz val="9"/>
        <rFont val="Arial"/>
        <family val="2"/>
      </rPr>
      <t>-1-1047</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</si>
  <si>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1048</t>
    </r>
    <phoneticPr fontId="137" type="noConversion"/>
  </si>
  <si>
    <r>
      <rPr>
        <sz val="9"/>
        <rFont val="Arial"/>
        <family val="2"/>
      </rPr>
      <t>30</t>
    </r>
    <r>
      <rPr>
        <sz val="9"/>
        <rFont val="宋体"/>
        <family val="3"/>
        <charset val="134"/>
      </rPr>
      <t>幢</t>
    </r>
    <r>
      <rPr>
        <sz val="9"/>
        <rFont val="Arial"/>
        <family val="2"/>
      </rPr>
      <t>-1-1049</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</si>
  <si>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1050</t>
    </r>
    <phoneticPr fontId="137" type="noConversion"/>
  </si>
  <si>
    <r>
      <rPr>
        <sz val="9"/>
        <rFont val="Arial"/>
        <family val="2"/>
      </rPr>
      <t>30</t>
    </r>
    <r>
      <rPr>
        <sz val="9"/>
        <rFont val="宋体"/>
        <family val="3"/>
        <charset val="134"/>
      </rPr>
      <t>幢</t>
    </r>
    <r>
      <rPr>
        <sz val="9"/>
        <rFont val="Arial"/>
        <family val="2"/>
      </rPr>
      <t>-1-1051</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</si>
  <si>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1056</t>
    </r>
    <phoneticPr fontId="137" type="noConversion"/>
  </si>
  <si>
    <r>
      <rPr>
        <sz val="9"/>
        <rFont val="Arial"/>
        <family val="2"/>
      </rPr>
      <t>30</t>
    </r>
    <r>
      <rPr>
        <sz val="9"/>
        <rFont val="宋体"/>
        <family val="3"/>
        <charset val="134"/>
      </rPr>
      <t>幢</t>
    </r>
    <r>
      <rPr>
        <sz val="9"/>
        <rFont val="Arial"/>
        <family val="2"/>
      </rPr>
      <t>-1-1057</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</si>
  <si>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1058</t>
    </r>
    <phoneticPr fontId="137" type="noConversion"/>
  </si>
  <si>
    <r>
      <rPr>
        <sz val="9"/>
        <rFont val="Arial"/>
        <family val="2"/>
      </rPr>
      <t>30</t>
    </r>
    <r>
      <rPr>
        <sz val="9"/>
        <rFont val="宋体"/>
        <family val="3"/>
        <charset val="134"/>
      </rPr>
      <t>幢</t>
    </r>
    <r>
      <rPr>
        <sz val="9"/>
        <rFont val="Arial"/>
        <family val="2"/>
      </rPr>
      <t>-1-1059</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</si>
  <si>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1060</t>
    </r>
    <phoneticPr fontId="137" type="noConversion"/>
  </si>
  <si>
    <r>
      <rPr>
        <sz val="9"/>
        <rFont val="Arial"/>
        <family val="2"/>
      </rPr>
      <t>30</t>
    </r>
    <r>
      <rPr>
        <sz val="9"/>
        <rFont val="宋体"/>
        <family val="3"/>
        <charset val="134"/>
      </rPr>
      <t>幢</t>
    </r>
    <r>
      <rPr>
        <sz val="9"/>
        <rFont val="Arial"/>
        <family val="2"/>
      </rPr>
      <t>-1-1061</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</si>
  <si>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1062</t>
    </r>
    <phoneticPr fontId="137" type="noConversion"/>
  </si>
  <si>
    <r>
      <rPr>
        <sz val="9"/>
        <rFont val="Arial"/>
        <family val="2"/>
      </rPr>
      <t>30</t>
    </r>
    <r>
      <rPr>
        <sz val="9"/>
        <rFont val="宋体"/>
        <family val="3"/>
        <charset val="134"/>
      </rPr>
      <t>幢</t>
    </r>
    <r>
      <rPr>
        <sz val="9"/>
        <rFont val="Arial"/>
        <family val="2"/>
      </rPr>
      <t>-1-1063</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</si>
  <si>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1064</t>
    </r>
    <phoneticPr fontId="137" type="noConversion"/>
  </si>
  <si>
    <r>
      <rPr>
        <sz val="9"/>
        <rFont val="Arial"/>
        <family val="2"/>
      </rPr>
      <t>30</t>
    </r>
    <r>
      <rPr>
        <sz val="9"/>
        <rFont val="宋体"/>
        <family val="3"/>
        <charset val="134"/>
      </rPr>
      <t>幢</t>
    </r>
    <r>
      <rPr>
        <sz val="9"/>
        <rFont val="Arial"/>
        <family val="2"/>
      </rPr>
      <t>-1-1065</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</si>
  <si>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1068</t>
    </r>
    <phoneticPr fontId="137" type="noConversion"/>
  </si>
  <si>
    <r>
      <rPr>
        <sz val="9"/>
        <rFont val="Arial"/>
        <family val="2"/>
      </rPr>
      <t>30</t>
    </r>
    <r>
      <rPr>
        <sz val="9"/>
        <rFont val="宋体"/>
        <family val="3"/>
        <charset val="134"/>
      </rPr>
      <t>幢</t>
    </r>
    <r>
      <rPr>
        <sz val="9"/>
        <rFont val="Arial"/>
        <family val="2"/>
      </rPr>
      <t>-1-1069</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</si>
  <si>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1070</t>
    </r>
    <phoneticPr fontId="137" type="noConversion"/>
  </si>
  <si>
    <r>
      <rPr>
        <sz val="9"/>
        <rFont val="Arial"/>
        <family val="2"/>
      </rPr>
      <t>30</t>
    </r>
    <r>
      <rPr>
        <sz val="9"/>
        <rFont val="宋体"/>
        <family val="3"/>
        <charset val="134"/>
      </rPr>
      <t>幢</t>
    </r>
    <r>
      <rPr>
        <sz val="9"/>
        <rFont val="Arial"/>
        <family val="2"/>
      </rPr>
      <t>-1-1071</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</si>
  <si>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1072</t>
    </r>
    <phoneticPr fontId="137" type="noConversion"/>
  </si>
  <si>
    <r>
      <rPr>
        <sz val="9"/>
        <rFont val="Arial"/>
        <family val="2"/>
      </rPr>
      <t>30</t>
    </r>
    <r>
      <rPr>
        <sz val="9"/>
        <rFont val="宋体"/>
        <family val="3"/>
        <charset val="134"/>
      </rPr>
      <t>幢</t>
    </r>
    <r>
      <rPr>
        <sz val="9"/>
        <rFont val="Arial"/>
        <family val="2"/>
      </rPr>
      <t>-1-1073</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</si>
  <si>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1078</t>
    </r>
    <phoneticPr fontId="137" type="noConversion"/>
  </si>
  <si>
    <r>
      <rPr>
        <sz val="9"/>
        <rFont val="Arial"/>
        <family val="2"/>
      </rPr>
      <t>30</t>
    </r>
    <r>
      <rPr>
        <sz val="9"/>
        <rFont val="宋体"/>
        <family val="3"/>
        <charset val="134"/>
      </rPr>
      <t>幢</t>
    </r>
    <r>
      <rPr>
        <sz val="9"/>
        <rFont val="Arial"/>
        <family val="2"/>
      </rPr>
      <t>-1-1079</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</si>
  <si>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1080</t>
    </r>
    <phoneticPr fontId="137" type="noConversion"/>
  </si>
  <si>
    <r>
      <rPr>
        <sz val="9"/>
        <rFont val="Arial"/>
        <family val="2"/>
      </rPr>
      <t>30</t>
    </r>
    <r>
      <rPr>
        <sz val="9"/>
        <rFont val="宋体"/>
        <family val="3"/>
        <charset val="134"/>
      </rPr>
      <t>幢</t>
    </r>
    <r>
      <rPr>
        <sz val="9"/>
        <rFont val="Arial"/>
        <family val="2"/>
      </rPr>
      <t>-1-1081</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</si>
  <si>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1082</t>
    </r>
    <phoneticPr fontId="137" type="noConversion"/>
  </si>
  <si>
    <r>
      <rPr>
        <sz val="9"/>
        <rFont val="Arial"/>
        <family val="2"/>
      </rPr>
      <t>30</t>
    </r>
    <r>
      <rPr>
        <sz val="9"/>
        <rFont val="宋体"/>
        <family val="3"/>
        <charset val="134"/>
      </rPr>
      <t>幢</t>
    </r>
    <r>
      <rPr>
        <sz val="9"/>
        <rFont val="Arial"/>
        <family val="2"/>
      </rPr>
      <t>-1-1083</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</si>
  <si>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1084</t>
    </r>
    <phoneticPr fontId="137" type="noConversion"/>
  </si>
  <si>
    <r>
      <rPr>
        <sz val="9"/>
        <rFont val="Arial"/>
        <family val="2"/>
      </rPr>
      <t>30</t>
    </r>
    <r>
      <rPr>
        <sz val="9"/>
        <rFont val="宋体"/>
        <family val="3"/>
        <charset val="134"/>
      </rPr>
      <t>幢</t>
    </r>
    <r>
      <rPr>
        <sz val="9"/>
        <rFont val="Arial"/>
        <family val="2"/>
      </rPr>
      <t>-1-1085</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</si>
  <si>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1086</t>
    </r>
    <phoneticPr fontId="137" type="noConversion"/>
  </si>
  <si>
    <r>
      <rPr>
        <sz val="9"/>
        <rFont val="Arial"/>
        <family val="2"/>
      </rPr>
      <t>30</t>
    </r>
    <r>
      <rPr>
        <sz val="9"/>
        <rFont val="宋体"/>
        <family val="3"/>
        <charset val="134"/>
      </rPr>
      <t>幢</t>
    </r>
    <r>
      <rPr>
        <sz val="9"/>
        <rFont val="Arial"/>
        <family val="2"/>
      </rPr>
      <t>-1-1087</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</si>
  <si>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1090</t>
    </r>
    <phoneticPr fontId="137" type="noConversion"/>
  </si>
  <si>
    <r>
      <rPr>
        <sz val="9"/>
        <rFont val="Arial"/>
        <family val="2"/>
      </rPr>
      <t>30</t>
    </r>
    <r>
      <rPr>
        <sz val="9"/>
        <rFont val="宋体"/>
        <family val="3"/>
        <charset val="134"/>
      </rPr>
      <t>幢</t>
    </r>
    <r>
      <rPr>
        <sz val="9"/>
        <rFont val="Arial"/>
        <family val="2"/>
      </rPr>
      <t>-1-1098</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</si>
  <si>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1101</t>
    </r>
    <phoneticPr fontId="137" type="noConversion"/>
  </si>
  <si>
    <r>
      <rPr>
        <sz val="9"/>
        <rFont val="Arial"/>
        <family val="2"/>
      </rPr>
      <t>30</t>
    </r>
    <r>
      <rPr>
        <sz val="9"/>
        <rFont val="宋体"/>
        <family val="3"/>
        <charset val="134"/>
      </rPr>
      <t>幢</t>
    </r>
    <r>
      <rPr>
        <sz val="9"/>
        <rFont val="Arial"/>
        <family val="2"/>
      </rPr>
      <t>-1-1102</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</si>
  <si>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1105</t>
    </r>
    <phoneticPr fontId="137" type="noConversion"/>
  </si>
  <si>
    <r>
      <rPr>
        <sz val="9"/>
        <rFont val="Arial"/>
        <family val="2"/>
      </rPr>
      <t>30</t>
    </r>
    <r>
      <rPr>
        <sz val="9"/>
        <rFont val="宋体"/>
        <family val="3"/>
        <charset val="134"/>
      </rPr>
      <t>幢</t>
    </r>
    <r>
      <rPr>
        <sz val="9"/>
        <rFont val="Arial"/>
        <family val="2"/>
      </rPr>
      <t>-1-1107</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</si>
  <si>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1109</t>
    </r>
    <phoneticPr fontId="137" type="noConversion"/>
  </si>
  <si>
    <r>
      <rPr>
        <sz val="9"/>
        <rFont val="Arial"/>
        <family val="2"/>
      </rPr>
      <t>30</t>
    </r>
    <r>
      <rPr>
        <sz val="9"/>
        <rFont val="宋体"/>
        <family val="3"/>
        <charset val="134"/>
      </rPr>
      <t>幢</t>
    </r>
    <r>
      <rPr>
        <sz val="9"/>
        <rFont val="Arial"/>
        <family val="2"/>
      </rPr>
      <t>-1-1110</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</si>
  <si>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1113</t>
    </r>
    <phoneticPr fontId="137" type="noConversion"/>
  </si>
  <si>
    <r>
      <rPr>
        <sz val="9"/>
        <rFont val="Arial"/>
        <family val="2"/>
      </rPr>
      <t>30</t>
    </r>
    <r>
      <rPr>
        <sz val="9"/>
        <rFont val="宋体"/>
        <family val="3"/>
        <charset val="134"/>
      </rPr>
      <t>幢</t>
    </r>
    <r>
      <rPr>
        <sz val="9"/>
        <rFont val="Arial"/>
        <family val="2"/>
      </rPr>
      <t>-1-1117</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</si>
  <si>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1118</t>
    </r>
    <phoneticPr fontId="137" type="noConversion"/>
  </si>
  <si>
    <r>
      <rPr>
        <sz val="9"/>
        <rFont val="Arial"/>
        <family val="2"/>
      </rPr>
      <t>30</t>
    </r>
    <r>
      <rPr>
        <sz val="9"/>
        <rFont val="宋体"/>
        <family val="3"/>
        <charset val="134"/>
      </rPr>
      <t>幢</t>
    </r>
    <r>
      <rPr>
        <sz val="9"/>
        <rFont val="Arial"/>
        <family val="2"/>
      </rPr>
      <t>-1-1120</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</si>
  <si>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1121</t>
    </r>
    <phoneticPr fontId="137" type="noConversion"/>
  </si>
  <si>
    <r>
      <rPr>
        <sz val="9"/>
        <rFont val="Arial"/>
        <family val="2"/>
      </rPr>
      <t>30</t>
    </r>
    <r>
      <rPr>
        <sz val="9"/>
        <rFont val="宋体"/>
        <family val="3"/>
        <charset val="134"/>
      </rPr>
      <t>幢</t>
    </r>
    <r>
      <rPr>
        <sz val="9"/>
        <rFont val="Arial"/>
        <family val="2"/>
      </rPr>
      <t>-1-1124</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</si>
  <si>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1126</t>
    </r>
    <phoneticPr fontId="137" type="noConversion"/>
  </si>
  <si>
    <r>
      <rPr>
        <sz val="9"/>
        <rFont val="Arial"/>
        <family val="2"/>
      </rPr>
      <t>30</t>
    </r>
    <r>
      <rPr>
        <sz val="9"/>
        <rFont val="宋体"/>
        <family val="3"/>
        <charset val="134"/>
      </rPr>
      <t>幢</t>
    </r>
    <r>
      <rPr>
        <sz val="9"/>
        <rFont val="Arial"/>
        <family val="2"/>
      </rPr>
      <t>-1-1129</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</si>
  <si>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1131</t>
    </r>
    <phoneticPr fontId="137" type="noConversion"/>
  </si>
  <si>
    <r>
      <rPr>
        <sz val="9"/>
        <rFont val="Arial"/>
        <family val="2"/>
      </rPr>
      <t>30</t>
    </r>
    <r>
      <rPr>
        <sz val="9"/>
        <rFont val="宋体"/>
        <family val="3"/>
        <charset val="134"/>
      </rPr>
      <t>幢</t>
    </r>
    <r>
      <rPr>
        <sz val="9"/>
        <rFont val="Arial"/>
        <family val="2"/>
      </rPr>
      <t>-1-1132</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</si>
  <si>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1133</t>
    </r>
    <phoneticPr fontId="137" type="noConversion"/>
  </si>
  <si>
    <r>
      <rPr>
        <sz val="9"/>
        <rFont val="Arial"/>
        <family val="2"/>
      </rPr>
      <t>30</t>
    </r>
    <r>
      <rPr>
        <sz val="9"/>
        <rFont val="宋体"/>
        <family val="3"/>
        <charset val="134"/>
      </rPr>
      <t>幢</t>
    </r>
    <r>
      <rPr>
        <sz val="9"/>
        <rFont val="Arial"/>
        <family val="2"/>
      </rPr>
      <t>-1-1134</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</si>
  <si>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1136</t>
    </r>
    <phoneticPr fontId="137" type="noConversion"/>
  </si>
  <si>
    <r>
      <rPr>
        <sz val="9"/>
        <rFont val="Arial"/>
        <family val="2"/>
      </rPr>
      <t>30</t>
    </r>
    <r>
      <rPr>
        <sz val="9"/>
        <rFont val="宋体"/>
        <family val="3"/>
        <charset val="134"/>
      </rPr>
      <t>幢</t>
    </r>
    <r>
      <rPr>
        <sz val="9"/>
        <rFont val="Arial"/>
        <family val="2"/>
      </rPr>
      <t>-1-1138</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</si>
  <si>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1139</t>
    </r>
    <phoneticPr fontId="137" type="noConversion"/>
  </si>
  <si>
    <r>
      <rPr>
        <sz val="9"/>
        <rFont val="Arial"/>
        <family val="2"/>
      </rPr>
      <t>30</t>
    </r>
    <r>
      <rPr>
        <sz val="9"/>
        <rFont val="宋体"/>
        <family val="3"/>
        <charset val="134"/>
      </rPr>
      <t>幢</t>
    </r>
    <r>
      <rPr>
        <sz val="9"/>
        <rFont val="Arial"/>
        <family val="2"/>
      </rPr>
      <t>-1-1140</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</si>
  <si>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1141</t>
    </r>
    <phoneticPr fontId="137" type="noConversion"/>
  </si>
  <si>
    <r>
      <rPr>
        <sz val="9"/>
        <rFont val="Arial"/>
        <family val="2"/>
      </rPr>
      <t>30</t>
    </r>
    <r>
      <rPr>
        <sz val="9"/>
        <rFont val="宋体"/>
        <family val="3"/>
        <charset val="134"/>
      </rPr>
      <t>幢</t>
    </r>
    <r>
      <rPr>
        <sz val="9"/>
        <rFont val="Arial"/>
        <family val="2"/>
      </rPr>
      <t>-1-1145</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</si>
  <si>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1146</t>
    </r>
    <phoneticPr fontId="137" type="noConversion"/>
  </si>
  <si>
    <r>
      <rPr>
        <sz val="9"/>
        <rFont val="Arial"/>
        <family val="2"/>
      </rPr>
      <t>30</t>
    </r>
    <r>
      <rPr>
        <sz val="9"/>
        <rFont val="宋体"/>
        <family val="3"/>
        <charset val="134"/>
      </rPr>
      <t>幢</t>
    </r>
    <r>
      <rPr>
        <sz val="9"/>
        <rFont val="Arial"/>
        <family val="2"/>
      </rPr>
      <t>-1-1147</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</si>
  <si>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1149</t>
    </r>
    <phoneticPr fontId="137" type="noConversion"/>
  </si>
  <si>
    <r>
      <rPr>
        <sz val="9"/>
        <rFont val="Arial"/>
        <family val="2"/>
      </rPr>
      <t>30</t>
    </r>
    <r>
      <rPr>
        <sz val="9"/>
        <rFont val="宋体"/>
        <family val="3"/>
        <charset val="134"/>
      </rPr>
      <t>幢</t>
    </r>
    <r>
      <rPr>
        <sz val="9"/>
        <rFont val="Arial"/>
        <family val="2"/>
      </rPr>
      <t>-1-1152</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</si>
  <si>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1153</t>
    </r>
    <phoneticPr fontId="137" type="noConversion"/>
  </si>
  <si>
    <r>
      <rPr>
        <sz val="9"/>
        <rFont val="Arial"/>
        <family val="2"/>
      </rPr>
      <t>30</t>
    </r>
    <r>
      <rPr>
        <sz val="9"/>
        <rFont val="宋体"/>
        <family val="3"/>
        <charset val="134"/>
      </rPr>
      <t>幢</t>
    </r>
    <r>
      <rPr>
        <sz val="9"/>
        <rFont val="Arial"/>
        <family val="2"/>
      </rPr>
      <t>-1-1154</t>
    </r>
    <phoneticPr fontId="137" type="noConversion"/>
  </si>
  <si>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1155</t>
    </r>
    <phoneticPr fontId="137" type="noConversion"/>
  </si>
  <si>
    <r>
      <rPr>
        <sz val="9"/>
        <rFont val="Arial"/>
        <family val="2"/>
      </rPr>
      <t>30</t>
    </r>
    <r>
      <rPr>
        <sz val="9"/>
        <rFont val="宋体"/>
        <family val="3"/>
        <charset val="134"/>
      </rPr>
      <t>幢</t>
    </r>
    <r>
      <rPr>
        <sz val="9"/>
        <rFont val="Arial"/>
        <family val="2"/>
      </rPr>
      <t>-1-1156</t>
    </r>
    <phoneticPr fontId="137" type="noConversion"/>
  </si>
  <si>
    <r>
      <rPr>
        <sz val="9"/>
        <rFont val="Arial"/>
        <family val="2"/>
      </rPr>
      <t>31</t>
    </r>
    <r>
      <rPr>
        <sz val="9"/>
        <rFont val="宋体"/>
        <family val="3"/>
        <charset val="134"/>
      </rPr>
      <t>幢</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</si>
  <si>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2002</t>
    </r>
    <phoneticPr fontId="137" type="noConversion"/>
  </si>
  <si>
    <r>
      <rPr>
        <sz val="9"/>
        <rFont val="Arial"/>
        <family val="2"/>
      </rPr>
      <t>31</t>
    </r>
    <r>
      <rPr>
        <sz val="9"/>
        <rFont val="宋体"/>
        <family val="3"/>
        <charset val="134"/>
      </rPr>
      <t>幢</t>
    </r>
    <r>
      <rPr>
        <sz val="9"/>
        <rFont val="Arial"/>
        <family val="2"/>
      </rPr>
      <t>-2-2003</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</si>
  <si>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2004</t>
    </r>
    <phoneticPr fontId="137" type="noConversion"/>
  </si>
  <si>
    <r>
      <rPr>
        <sz val="9"/>
        <rFont val="Arial"/>
        <family val="2"/>
      </rPr>
      <t>31</t>
    </r>
    <r>
      <rPr>
        <sz val="9"/>
        <rFont val="宋体"/>
        <family val="3"/>
        <charset val="134"/>
      </rPr>
      <t>幢</t>
    </r>
    <r>
      <rPr>
        <sz val="9"/>
        <rFont val="Arial"/>
        <family val="2"/>
      </rPr>
      <t>-2-2005</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</si>
  <si>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2006</t>
    </r>
    <phoneticPr fontId="137" type="noConversion"/>
  </si>
  <si>
    <r>
      <rPr>
        <sz val="9"/>
        <rFont val="Arial"/>
        <family val="2"/>
      </rPr>
      <t>31</t>
    </r>
    <r>
      <rPr>
        <sz val="9"/>
        <rFont val="宋体"/>
        <family val="3"/>
        <charset val="134"/>
      </rPr>
      <t>幢</t>
    </r>
    <r>
      <rPr>
        <sz val="9"/>
        <rFont val="Arial"/>
        <family val="2"/>
      </rPr>
      <t>-2-2007</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</si>
  <si>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2008</t>
    </r>
    <phoneticPr fontId="137" type="noConversion"/>
  </si>
  <si>
    <r>
      <rPr>
        <sz val="9"/>
        <rFont val="Arial"/>
        <family val="2"/>
      </rPr>
      <t>31</t>
    </r>
    <r>
      <rPr>
        <sz val="9"/>
        <rFont val="宋体"/>
        <family val="3"/>
        <charset val="134"/>
      </rPr>
      <t>幢</t>
    </r>
    <r>
      <rPr>
        <sz val="9"/>
        <rFont val="Arial"/>
        <family val="2"/>
      </rPr>
      <t>-2-2009</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</si>
  <si>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2010</t>
    </r>
    <phoneticPr fontId="137" type="noConversion"/>
  </si>
  <si>
    <r>
      <rPr>
        <sz val="9"/>
        <rFont val="Arial"/>
        <family val="2"/>
      </rPr>
      <t>31</t>
    </r>
    <r>
      <rPr>
        <sz val="9"/>
        <rFont val="宋体"/>
        <family val="3"/>
        <charset val="134"/>
      </rPr>
      <t>幢</t>
    </r>
    <r>
      <rPr>
        <sz val="9"/>
        <rFont val="Arial"/>
        <family val="2"/>
      </rPr>
      <t>-2-2011</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</si>
  <si>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2012</t>
    </r>
    <phoneticPr fontId="137" type="noConversion"/>
  </si>
  <si>
    <r>
      <rPr>
        <sz val="9"/>
        <rFont val="Arial"/>
        <family val="2"/>
      </rPr>
      <t>31</t>
    </r>
    <r>
      <rPr>
        <sz val="9"/>
        <rFont val="宋体"/>
        <family val="3"/>
        <charset val="134"/>
      </rPr>
      <t>幢</t>
    </r>
    <r>
      <rPr>
        <sz val="9"/>
        <rFont val="Arial"/>
        <family val="2"/>
      </rPr>
      <t>-2-2013</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</si>
  <si>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2014</t>
    </r>
    <phoneticPr fontId="137" type="noConversion"/>
  </si>
  <si>
    <r>
      <rPr>
        <sz val="9"/>
        <rFont val="Arial"/>
        <family val="2"/>
      </rPr>
      <t>31</t>
    </r>
    <r>
      <rPr>
        <sz val="9"/>
        <rFont val="宋体"/>
        <family val="3"/>
        <charset val="134"/>
      </rPr>
      <t>幢</t>
    </r>
    <r>
      <rPr>
        <sz val="9"/>
        <rFont val="Arial"/>
        <family val="2"/>
      </rPr>
      <t>-2-2015</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</si>
  <si>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2016</t>
    </r>
    <phoneticPr fontId="137" type="noConversion"/>
  </si>
  <si>
    <r>
      <rPr>
        <sz val="9"/>
        <rFont val="Arial"/>
        <family val="2"/>
      </rPr>
      <t>31</t>
    </r>
    <r>
      <rPr>
        <sz val="9"/>
        <rFont val="宋体"/>
        <family val="3"/>
        <charset val="134"/>
      </rPr>
      <t>幢</t>
    </r>
    <r>
      <rPr>
        <sz val="9"/>
        <rFont val="Arial"/>
        <family val="2"/>
      </rPr>
      <t>-2-2017</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</si>
  <si>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2018</t>
    </r>
    <phoneticPr fontId="137" type="noConversion"/>
  </si>
  <si>
    <r>
      <rPr>
        <sz val="9"/>
        <rFont val="Arial"/>
        <family val="2"/>
      </rPr>
      <t>31</t>
    </r>
    <r>
      <rPr>
        <sz val="9"/>
        <rFont val="宋体"/>
        <family val="3"/>
        <charset val="134"/>
      </rPr>
      <t>幢</t>
    </r>
    <r>
      <rPr>
        <sz val="9"/>
        <rFont val="Arial"/>
        <family val="2"/>
      </rPr>
      <t>-2-2019</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</si>
  <si>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2020</t>
    </r>
    <phoneticPr fontId="137" type="noConversion"/>
  </si>
  <si>
    <r>
      <rPr>
        <sz val="9"/>
        <rFont val="Arial"/>
        <family val="2"/>
      </rPr>
      <t>31</t>
    </r>
    <r>
      <rPr>
        <sz val="9"/>
        <rFont val="宋体"/>
        <family val="3"/>
        <charset val="134"/>
      </rPr>
      <t>幢</t>
    </r>
    <r>
      <rPr>
        <sz val="9"/>
        <rFont val="Arial"/>
        <family val="2"/>
      </rPr>
      <t>-2-2021</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</si>
  <si>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2022</t>
    </r>
    <phoneticPr fontId="137" type="noConversion"/>
  </si>
  <si>
    <r>
      <rPr>
        <sz val="9"/>
        <rFont val="Arial"/>
        <family val="2"/>
      </rPr>
      <t>31</t>
    </r>
    <r>
      <rPr>
        <sz val="9"/>
        <rFont val="宋体"/>
        <family val="3"/>
        <charset val="134"/>
      </rPr>
      <t>幢</t>
    </r>
    <r>
      <rPr>
        <sz val="9"/>
        <rFont val="Arial"/>
        <family val="2"/>
      </rPr>
      <t>-2-2023</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</si>
  <si>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2024</t>
    </r>
    <phoneticPr fontId="137" type="noConversion"/>
  </si>
  <si>
    <r>
      <rPr>
        <sz val="9"/>
        <rFont val="Arial"/>
        <family val="2"/>
      </rPr>
      <t>31</t>
    </r>
    <r>
      <rPr>
        <sz val="9"/>
        <rFont val="宋体"/>
        <family val="3"/>
        <charset val="134"/>
      </rPr>
      <t>幢</t>
    </r>
    <r>
      <rPr>
        <sz val="9"/>
        <rFont val="Arial"/>
        <family val="2"/>
      </rPr>
      <t>-2-2025</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</si>
  <si>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2026</t>
    </r>
    <phoneticPr fontId="137" type="noConversion"/>
  </si>
  <si>
    <r>
      <rPr>
        <sz val="9"/>
        <rFont val="Arial"/>
        <family val="2"/>
      </rPr>
      <t>31</t>
    </r>
    <r>
      <rPr>
        <sz val="9"/>
        <rFont val="宋体"/>
        <family val="3"/>
        <charset val="134"/>
      </rPr>
      <t>幢</t>
    </r>
    <r>
      <rPr>
        <sz val="9"/>
        <rFont val="Arial"/>
        <family val="2"/>
      </rPr>
      <t>-2-2027</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</si>
  <si>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2028</t>
    </r>
    <phoneticPr fontId="137" type="noConversion"/>
  </si>
  <si>
    <r>
      <rPr>
        <sz val="9"/>
        <rFont val="Arial"/>
        <family val="2"/>
      </rPr>
      <t>31</t>
    </r>
    <r>
      <rPr>
        <sz val="9"/>
        <rFont val="宋体"/>
        <family val="3"/>
        <charset val="134"/>
      </rPr>
      <t>幢</t>
    </r>
    <r>
      <rPr>
        <sz val="9"/>
        <rFont val="Arial"/>
        <family val="2"/>
      </rPr>
      <t>-2-2029</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</si>
  <si>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2030</t>
    </r>
    <phoneticPr fontId="137" type="noConversion"/>
  </si>
  <si>
    <r>
      <rPr>
        <sz val="9"/>
        <rFont val="Arial"/>
        <family val="2"/>
      </rPr>
      <t>31</t>
    </r>
    <r>
      <rPr>
        <sz val="9"/>
        <rFont val="宋体"/>
        <family val="3"/>
        <charset val="134"/>
      </rPr>
      <t>幢</t>
    </r>
    <r>
      <rPr>
        <sz val="9"/>
        <rFont val="Arial"/>
        <family val="2"/>
      </rPr>
      <t>-2-2031</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</si>
  <si>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2032</t>
    </r>
    <phoneticPr fontId="137" type="noConversion"/>
  </si>
  <si>
    <r>
      <rPr>
        <sz val="9"/>
        <rFont val="Arial"/>
        <family val="2"/>
      </rPr>
      <t>31</t>
    </r>
    <r>
      <rPr>
        <sz val="9"/>
        <rFont val="宋体"/>
        <family val="3"/>
        <charset val="134"/>
      </rPr>
      <t>幢</t>
    </r>
    <r>
      <rPr>
        <sz val="9"/>
        <rFont val="Arial"/>
        <family val="2"/>
      </rPr>
      <t>-2-2033</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</si>
  <si>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2034</t>
    </r>
    <phoneticPr fontId="137" type="noConversion"/>
  </si>
  <si>
    <r>
      <rPr>
        <sz val="9"/>
        <rFont val="Arial"/>
        <family val="2"/>
      </rPr>
      <t>31</t>
    </r>
    <r>
      <rPr>
        <sz val="9"/>
        <rFont val="宋体"/>
        <family val="3"/>
        <charset val="134"/>
      </rPr>
      <t>幢</t>
    </r>
    <r>
      <rPr>
        <sz val="9"/>
        <rFont val="Arial"/>
        <family val="2"/>
      </rPr>
      <t>-2-2035</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</si>
  <si>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2036</t>
    </r>
    <phoneticPr fontId="137" type="noConversion"/>
  </si>
  <si>
    <r>
      <rPr>
        <sz val="9"/>
        <rFont val="Arial"/>
        <family val="2"/>
      </rPr>
      <t>31</t>
    </r>
    <r>
      <rPr>
        <sz val="9"/>
        <rFont val="宋体"/>
        <family val="3"/>
        <charset val="134"/>
      </rPr>
      <t>幢</t>
    </r>
    <r>
      <rPr>
        <sz val="9"/>
        <rFont val="Arial"/>
        <family val="2"/>
      </rPr>
      <t>-2-2037</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</si>
  <si>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2038</t>
    </r>
    <phoneticPr fontId="137" type="noConversion"/>
  </si>
  <si>
    <r>
      <rPr>
        <sz val="9"/>
        <rFont val="Arial"/>
        <family val="2"/>
      </rPr>
      <t>31</t>
    </r>
    <r>
      <rPr>
        <sz val="9"/>
        <rFont val="宋体"/>
        <family val="3"/>
        <charset val="134"/>
      </rPr>
      <t>幢</t>
    </r>
    <r>
      <rPr>
        <sz val="9"/>
        <rFont val="Arial"/>
        <family val="2"/>
      </rPr>
      <t>-2-2039</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</si>
  <si>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2040</t>
    </r>
    <phoneticPr fontId="137" type="noConversion"/>
  </si>
  <si>
    <r>
      <rPr>
        <sz val="9"/>
        <rFont val="Arial"/>
        <family val="2"/>
      </rPr>
      <t>31</t>
    </r>
    <r>
      <rPr>
        <sz val="9"/>
        <rFont val="宋体"/>
        <family val="3"/>
        <charset val="134"/>
      </rPr>
      <t>幢</t>
    </r>
    <r>
      <rPr>
        <sz val="9"/>
        <rFont val="Arial"/>
        <family val="2"/>
      </rPr>
      <t>-2-2041</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</si>
  <si>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2042</t>
    </r>
    <phoneticPr fontId="137" type="noConversion"/>
  </si>
  <si>
    <r>
      <rPr>
        <sz val="9"/>
        <rFont val="Arial"/>
        <family val="2"/>
      </rPr>
      <t>31</t>
    </r>
    <r>
      <rPr>
        <sz val="9"/>
        <rFont val="宋体"/>
        <family val="3"/>
        <charset val="134"/>
      </rPr>
      <t>幢</t>
    </r>
    <r>
      <rPr>
        <sz val="9"/>
        <rFont val="Arial"/>
        <family val="2"/>
      </rPr>
      <t>-2-2043</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</si>
  <si>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2044</t>
    </r>
    <phoneticPr fontId="137" type="noConversion"/>
  </si>
  <si>
    <r>
      <rPr>
        <sz val="9"/>
        <rFont val="Arial"/>
        <family val="2"/>
      </rPr>
      <t>31</t>
    </r>
    <r>
      <rPr>
        <sz val="9"/>
        <rFont val="宋体"/>
        <family val="3"/>
        <charset val="134"/>
      </rPr>
      <t>幢</t>
    </r>
    <r>
      <rPr>
        <sz val="9"/>
        <rFont val="Arial"/>
        <family val="2"/>
      </rPr>
      <t>-2-2045</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</si>
  <si>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2046</t>
    </r>
    <phoneticPr fontId="137" type="noConversion"/>
  </si>
  <si>
    <r>
      <rPr>
        <sz val="9"/>
        <rFont val="Arial"/>
        <family val="2"/>
      </rPr>
      <t>31</t>
    </r>
    <r>
      <rPr>
        <sz val="9"/>
        <rFont val="宋体"/>
        <family val="3"/>
        <charset val="134"/>
      </rPr>
      <t>幢</t>
    </r>
    <r>
      <rPr>
        <sz val="9"/>
        <rFont val="Arial"/>
        <family val="2"/>
      </rPr>
      <t>-2-2047</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</si>
  <si>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2048</t>
    </r>
    <phoneticPr fontId="137" type="noConversion"/>
  </si>
  <si>
    <r>
      <rPr>
        <sz val="9"/>
        <rFont val="Arial"/>
        <family val="2"/>
      </rPr>
      <t>31</t>
    </r>
    <r>
      <rPr>
        <sz val="9"/>
        <rFont val="宋体"/>
        <family val="3"/>
        <charset val="134"/>
      </rPr>
      <t>幢</t>
    </r>
    <r>
      <rPr>
        <sz val="9"/>
        <rFont val="Arial"/>
        <family val="2"/>
      </rPr>
      <t>-2-2049</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</si>
  <si>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2050</t>
    </r>
    <phoneticPr fontId="137" type="noConversion"/>
  </si>
  <si>
    <r>
      <rPr>
        <sz val="9"/>
        <rFont val="Arial"/>
        <family val="2"/>
      </rPr>
      <t>31</t>
    </r>
    <r>
      <rPr>
        <sz val="9"/>
        <rFont val="宋体"/>
        <family val="3"/>
        <charset val="134"/>
      </rPr>
      <t>幢</t>
    </r>
    <r>
      <rPr>
        <sz val="9"/>
        <rFont val="Arial"/>
        <family val="2"/>
      </rPr>
      <t>-2-2051</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</si>
  <si>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2054</t>
    </r>
    <phoneticPr fontId="137" type="noConversion"/>
  </si>
  <si>
    <r>
      <rPr>
        <sz val="9"/>
        <rFont val="Arial"/>
        <family val="2"/>
      </rPr>
      <t>31</t>
    </r>
    <r>
      <rPr>
        <sz val="9"/>
        <rFont val="宋体"/>
        <family val="3"/>
        <charset val="134"/>
      </rPr>
      <t>幢</t>
    </r>
    <r>
      <rPr>
        <sz val="9"/>
        <rFont val="Arial"/>
        <family val="2"/>
      </rPr>
      <t>-2-2055</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</si>
  <si>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2056</t>
    </r>
    <phoneticPr fontId="137" type="noConversion"/>
  </si>
  <si>
    <r>
      <rPr>
        <sz val="9"/>
        <rFont val="Arial"/>
        <family val="2"/>
      </rPr>
      <t>31</t>
    </r>
    <r>
      <rPr>
        <sz val="9"/>
        <rFont val="宋体"/>
        <family val="3"/>
        <charset val="134"/>
      </rPr>
      <t>幢</t>
    </r>
    <r>
      <rPr>
        <sz val="9"/>
        <rFont val="Arial"/>
        <family val="2"/>
      </rPr>
      <t>-2-2057</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</si>
  <si>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2058</t>
    </r>
    <phoneticPr fontId="137" type="noConversion"/>
  </si>
  <si>
    <r>
      <rPr>
        <sz val="9"/>
        <rFont val="Arial"/>
        <family val="2"/>
      </rPr>
      <t>31</t>
    </r>
    <r>
      <rPr>
        <sz val="9"/>
        <rFont val="宋体"/>
        <family val="3"/>
        <charset val="134"/>
      </rPr>
      <t>幢</t>
    </r>
    <r>
      <rPr>
        <sz val="9"/>
        <rFont val="Arial"/>
        <family val="2"/>
      </rPr>
      <t>-2-2061</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</si>
  <si>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2064</t>
    </r>
    <phoneticPr fontId="137" type="noConversion"/>
  </si>
  <si>
    <r>
      <rPr>
        <sz val="9"/>
        <rFont val="Arial"/>
        <family val="2"/>
      </rPr>
      <t>31</t>
    </r>
    <r>
      <rPr>
        <sz val="9"/>
        <rFont val="宋体"/>
        <family val="3"/>
        <charset val="134"/>
      </rPr>
      <t>幢</t>
    </r>
    <r>
      <rPr>
        <sz val="9"/>
        <rFont val="Arial"/>
        <family val="2"/>
      </rPr>
      <t>-2-2067</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</si>
  <si>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2068</t>
    </r>
    <phoneticPr fontId="137" type="noConversion"/>
  </si>
  <si>
    <r>
      <rPr>
        <sz val="9"/>
        <rFont val="Arial"/>
        <family val="2"/>
      </rPr>
      <t>31</t>
    </r>
    <r>
      <rPr>
        <sz val="9"/>
        <rFont val="宋体"/>
        <family val="3"/>
        <charset val="134"/>
      </rPr>
      <t>幢</t>
    </r>
    <r>
      <rPr>
        <sz val="9"/>
        <rFont val="Arial"/>
        <family val="2"/>
      </rPr>
      <t>-2-2071</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</si>
  <si>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2072</t>
    </r>
    <phoneticPr fontId="137" type="noConversion"/>
  </si>
  <si>
    <r>
      <rPr>
        <sz val="9"/>
        <rFont val="Arial"/>
        <family val="2"/>
      </rPr>
      <t>31</t>
    </r>
    <r>
      <rPr>
        <sz val="9"/>
        <rFont val="宋体"/>
        <family val="3"/>
        <charset val="134"/>
      </rPr>
      <t>幢</t>
    </r>
    <r>
      <rPr>
        <sz val="9"/>
        <rFont val="Arial"/>
        <family val="2"/>
      </rPr>
      <t>-2-2073</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</si>
  <si>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2074</t>
    </r>
    <phoneticPr fontId="137" type="noConversion"/>
  </si>
  <si>
    <r>
      <rPr>
        <sz val="9"/>
        <rFont val="Arial"/>
        <family val="2"/>
      </rPr>
      <t>31</t>
    </r>
    <r>
      <rPr>
        <sz val="9"/>
        <rFont val="宋体"/>
        <family val="3"/>
        <charset val="134"/>
      </rPr>
      <t>幢</t>
    </r>
    <r>
      <rPr>
        <sz val="9"/>
        <rFont val="Arial"/>
        <family val="2"/>
      </rPr>
      <t>-2-2075</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</si>
  <si>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2076</t>
    </r>
    <phoneticPr fontId="137" type="noConversion"/>
  </si>
  <si>
    <r>
      <rPr>
        <sz val="9"/>
        <rFont val="Arial"/>
        <family val="2"/>
      </rPr>
      <t>31</t>
    </r>
    <r>
      <rPr>
        <sz val="9"/>
        <rFont val="宋体"/>
        <family val="3"/>
        <charset val="134"/>
      </rPr>
      <t>幢</t>
    </r>
    <r>
      <rPr>
        <sz val="9"/>
        <rFont val="Arial"/>
        <family val="2"/>
      </rPr>
      <t>-2-2077</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</si>
  <si>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2078</t>
    </r>
    <phoneticPr fontId="137" type="noConversion"/>
  </si>
  <si>
    <r>
      <rPr>
        <sz val="9"/>
        <rFont val="Arial"/>
        <family val="2"/>
      </rPr>
      <t>31</t>
    </r>
    <r>
      <rPr>
        <sz val="9"/>
        <rFont val="宋体"/>
        <family val="3"/>
        <charset val="134"/>
      </rPr>
      <t>幢</t>
    </r>
    <r>
      <rPr>
        <sz val="9"/>
        <rFont val="Arial"/>
        <family val="2"/>
      </rPr>
      <t>-2-2079</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</si>
  <si>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2080</t>
    </r>
    <phoneticPr fontId="137" type="noConversion"/>
  </si>
  <si>
    <r>
      <rPr>
        <sz val="9"/>
        <rFont val="Arial"/>
        <family val="2"/>
      </rPr>
      <t>31</t>
    </r>
    <r>
      <rPr>
        <sz val="9"/>
        <rFont val="宋体"/>
        <family val="3"/>
        <charset val="134"/>
      </rPr>
      <t>幢</t>
    </r>
    <r>
      <rPr>
        <sz val="9"/>
        <rFont val="Arial"/>
        <family val="2"/>
      </rPr>
      <t>-2-2081</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</si>
  <si>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2082</t>
    </r>
    <phoneticPr fontId="137" type="noConversion"/>
  </si>
  <si>
    <r>
      <rPr>
        <sz val="9"/>
        <rFont val="Arial"/>
        <family val="2"/>
      </rPr>
      <t>31</t>
    </r>
    <r>
      <rPr>
        <sz val="9"/>
        <rFont val="宋体"/>
        <family val="3"/>
        <charset val="134"/>
      </rPr>
      <t>幢</t>
    </r>
    <r>
      <rPr>
        <sz val="9"/>
        <rFont val="Arial"/>
        <family val="2"/>
      </rPr>
      <t>-2-2083</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</si>
  <si>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2084</t>
    </r>
    <phoneticPr fontId="137" type="noConversion"/>
  </si>
  <si>
    <r>
      <rPr>
        <sz val="9"/>
        <rFont val="Arial"/>
        <family val="2"/>
      </rPr>
      <t>31</t>
    </r>
    <r>
      <rPr>
        <sz val="9"/>
        <rFont val="宋体"/>
        <family val="3"/>
        <charset val="134"/>
      </rPr>
      <t>幢</t>
    </r>
    <r>
      <rPr>
        <sz val="9"/>
        <rFont val="Arial"/>
        <family val="2"/>
      </rPr>
      <t>-2-2085</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</si>
  <si>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2086</t>
    </r>
    <phoneticPr fontId="137" type="noConversion"/>
  </si>
  <si>
    <r>
      <rPr>
        <sz val="9"/>
        <rFont val="Arial"/>
        <family val="2"/>
      </rPr>
      <t>31</t>
    </r>
    <r>
      <rPr>
        <sz val="9"/>
        <rFont val="宋体"/>
        <family val="3"/>
        <charset val="134"/>
      </rPr>
      <t>幢</t>
    </r>
    <r>
      <rPr>
        <sz val="9"/>
        <rFont val="Arial"/>
        <family val="2"/>
      </rPr>
      <t>-2-2087</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</si>
  <si>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2088</t>
    </r>
    <phoneticPr fontId="137" type="noConversion"/>
  </si>
  <si>
    <r>
      <rPr>
        <sz val="9"/>
        <rFont val="Arial"/>
        <family val="2"/>
      </rPr>
      <t>31</t>
    </r>
    <r>
      <rPr>
        <sz val="9"/>
        <rFont val="宋体"/>
        <family val="3"/>
        <charset val="134"/>
      </rPr>
      <t>幢</t>
    </r>
    <r>
      <rPr>
        <sz val="9"/>
        <rFont val="Arial"/>
        <family val="2"/>
      </rPr>
      <t>-2-2089</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</si>
  <si>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2090</t>
    </r>
    <phoneticPr fontId="137" type="noConversion"/>
  </si>
  <si>
    <r>
      <rPr>
        <sz val="9"/>
        <rFont val="Arial"/>
        <family val="2"/>
      </rPr>
      <t>31</t>
    </r>
    <r>
      <rPr>
        <sz val="9"/>
        <rFont val="宋体"/>
        <family val="3"/>
        <charset val="134"/>
      </rPr>
      <t>幢</t>
    </r>
    <r>
      <rPr>
        <sz val="9"/>
        <rFont val="Arial"/>
        <family val="2"/>
      </rPr>
      <t>-2-2091</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</si>
  <si>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2092</t>
    </r>
    <phoneticPr fontId="137" type="noConversion"/>
  </si>
  <si>
    <r>
      <rPr>
        <sz val="9"/>
        <rFont val="Arial"/>
        <family val="2"/>
      </rPr>
      <t>31</t>
    </r>
    <r>
      <rPr>
        <sz val="9"/>
        <rFont val="宋体"/>
        <family val="3"/>
        <charset val="134"/>
      </rPr>
      <t>幢</t>
    </r>
    <r>
      <rPr>
        <sz val="9"/>
        <rFont val="Arial"/>
        <family val="2"/>
      </rPr>
      <t>-2-2093</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</si>
  <si>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2094</t>
    </r>
    <phoneticPr fontId="137" type="noConversion"/>
  </si>
  <si>
    <r>
      <rPr>
        <sz val="9"/>
        <rFont val="Arial"/>
        <family val="2"/>
      </rPr>
      <t>31</t>
    </r>
    <r>
      <rPr>
        <sz val="9"/>
        <rFont val="宋体"/>
        <family val="3"/>
        <charset val="134"/>
      </rPr>
      <t>幢</t>
    </r>
    <r>
      <rPr>
        <sz val="9"/>
        <rFont val="Arial"/>
        <family val="2"/>
      </rPr>
      <t>-2-2095</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</si>
  <si>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2096</t>
    </r>
    <phoneticPr fontId="137" type="noConversion"/>
  </si>
  <si>
    <r>
      <rPr>
        <sz val="9"/>
        <rFont val="Arial"/>
        <family val="2"/>
      </rPr>
      <t>31</t>
    </r>
    <r>
      <rPr>
        <sz val="9"/>
        <rFont val="宋体"/>
        <family val="3"/>
        <charset val="134"/>
      </rPr>
      <t>幢</t>
    </r>
    <r>
      <rPr>
        <sz val="9"/>
        <rFont val="Arial"/>
        <family val="2"/>
      </rPr>
      <t>-2-2097</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</si>
  <si>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2098</t>
    </r>
    <phoneticPr fontId="137" type="noConversion"/>
  </si>
  <si>
    <r>
      <rPr>
        <sz val="9"/>
        <rFont val="Arial"/>
        <family val="2"/>
      </rPr>
      <t>31</t>
    </r>
    <r>
      <rPr>
        <sz val="9"/>
        <rFont val="宋体"/>
        <family val="3"/>
        <charset val="134"/>
      </rPr>
      <t>幢</t>
    </r>
    <r>
      <rPr>
        <sz val="9"/>
        <rFont val="Arial"/>
        <family val="2"/>
      </rPr>
      <t>-2-2099</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</si>
  <si>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2100</t>
    </r>
    <phoneticPr fontId="137" type="noConversion"/>
  </si>
  <si>
    <r>
      <rPr>
        <sz val="9"/>
        <rFont val="Arial"/>
        <family val="2"/>
      </rPr>
      <t>31</t>
    </r>
    <r>
      <rPr>
        <sz val="9"/>
        <rFont val="宋体"/>
        <family val="3"/>
        <charset val="134"/>
      </rPr>
      <t>幢</t>
    </r>
    <r>
      <rPr>
        <sz val="9"/>
        <rFont val="Arial"/>
        <family val="2"/>
      </rPr>
      <t>-2-2101</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</si>
  <si>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2102</t>
    </r>
    <phoneticPr fontId="137" type="noConversion"/>
  </si>
  <si>
    <r>
      <rPr>
        <sz val="9"/>
        <rFont val="Arial"/>
        <family val="2"/>
      </rPr>
      <t>31</t>
    </r>
    <r>
      <rPr>
        <sz val="9"/>
        <rFont val="宋体"/>
        <family val="3"/>
        <charset val="134"/>
      </rPr>
      <t>幢</t>
    </r>
    <r>
      <rPr>
        <sz val="9"/>
        <rFont val="Arial"/>
        <family val="2"/>
      </rPr>
      <t>-2-2103</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</si>
  <si>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2104</t>
    </r>
    <phoneticPr fontId="137" type="noConversion"/>
  </si>
  <si>
    <r>
      <rPr>
        <sz val="9"/>
        <rFont val="Arial"/>
        <family val="2"/>
      </rPr>
      <t>31</t>
    </r>
    <r>
      <rPr>
        <sz val="9"/>
        <rFont val="宋体"/>
        <family val="3"/>
        <charset val="134"/>
      </rPr>
      <t>幢</t>
    </r>
    <r>
      <rPr>
        <sz val="9"/>
        <rFont val="Arial"/>
        <family val="2"/>
      </rPr>
      <t>-2-2105</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</si>
  <si>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2106</t>
    </r>
    <phoneticPr fontId="137" type="noConversion"/>
  </si>
  <si>
    <r>
      <rPr>
        <sz val="9"/>
        <rFont val="Arial"/>
        <family val="2"/>
      </rPr>
      <t>31</t>
    </r>
    <r>
      <rPr>
        <sz val="9"/>
        <rFont val="宋体"/>
        <family val="3"/>
        <charset val="134"/>
      </rPr>
      <t>幢</t>
    </r>
    <r>
      <rPr>
        <sz val="9"/>
        <rFont val="Arial"/>
        <family val="2"/>
      </rPr>
      <t>-2-2107</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</si>
  <si>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2108</t>
    </r>
    <phoneticPr fontId="137" type="noConversion"/>
  </si>
  <si>
    <r>
      <rPr>
        <sz val="9"/>
        <rFont val="Arial"/>
        <family val="2"/>
      </rPr>
      <t>31</t>
    </r>
    <r>
      <rPr>
        <sz val="9"/>
        <rFont val="宋体"/>
        <family val="3"/>
        <charset val="134"/>
      </rPr>
      <t>幢</t>
    </r>
    <r>
      <rPr>
        <sz val="9"/>
        <rFont val="Arial"/>
        <family val="2"/>
      </rPr>
      <t>-2-2109</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</si>
  <si>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2111</t>
    </r>
    <phoneticPr fontId="137" type="noConversion"/>
  </si>
  <si>
    <r>
      <rPr>
        <sz val="9"/>
        <rFont val="Arial"/>
        <family val="2"/>
      </rPr>
      <t>31</t>
    </r>
    <r>
      <rPr>
        <sz val="9"/>
        <rFont val="宋体"/>
        <family val="3"/>
        <charset val="134"/>
      </rPr>
      <t>幢</t>
    </r>
    <r>
      <rPr>
        <sz val="9"/>
        <rFont val="Arial"/>
        <family val="2"/>
      </rPr>
      <t>-2-2112</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</si>
  <si>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2113</t>
    </r>
    <phoneticPr fontId="137" type="noConversion"/>
  </si>
  <si>
    <r>
      <rPr>
        <sz val="9"/>
        <rFont val="Arial"/>
        <family val="2"/>
      </rPr>
      <t>31</t>
    </r>
    <r>
      <rPr>
        <sz val="9"/>
        <rFont val="宋体"/>
        <family val="3"/>
        <charset val="134"/>
      </rPr>
      <t>幢</t>
    </r>
    <r>
      <rPr>
        <sz val="9"/>
        <rFont val="Arial"/>
        <family val="2"/>
      </rPr>
      <t>-2-2114</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</si>
  <si>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2115</t>
    </r>
    <phoneticPr fontId="137" type="noConversion"/>
  </si>
  <si>
    <r>
      <rPr>
        <sz val="9"/>
        <rFont val="Arial"/>
        <family val="2"/>
      </rPr>
      <t>31</t>
    </r>
    <r>
      <rPr>
        <sz val="9"/>
        <rFont val="宋体"/>
        <family val="3"/>
        <charset val="134"/>
      </rPr>
      <t>幢</t>
    </r>
    <r>
      <rPr>
        <sz val="9"/>
        <rFont val="Arial"/>
        <family val="2"/>
      </rPr>
      <t>-2-2120</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</si>
  <si>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2121</t>
    </r>
    <phoneticPr fontId="137" type="noConversion"/>
  </si>
  <si>
    <r>
      <rPr>
        <sz val="9"/>
        <rFont val="Arial"/>
        <family val="2"/>
      </rPr>
      <t>31</t>
    </r>
    <r>
      <rPr>
        <sz val="9"/>
        <rFont val="宋体"/>
        <family val="3"/>
        <charset val="134"/>
      </rPr>
      <t>幢</t>
    </r>
    <r>
      <rPr>
        <sz val="9"/>
        <rFont val="Arial"/>
        <family val="2"/>
      </rPr>
      <t>-2-2122</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</si>
  <si>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2123</t>
    </r>
    <phoneticPr fontId="137" type="noConversion"/>
  </si>
  <si>
    <r>
      <rPr>
        <sz val="9"/>
        <rFont val="Arial"/>
        <family val="2"/>
      </rPr>
      <t>31</t>
    </r>
    <r>
      <rPr>
        <sz val="9"/>
        <rFont val="宋体"/>
        <family val="3"/>
        <charset val="134"/>
      </rPr>
      <t>幢</t>
    </r>
    <r>
      <rPr>
        <sz val="9"/>
        <rFont val="Arial"/>
        <family val="2"/>
      </rPr>
      <t>-2-2124</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</si>
  <si>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2125</t>
    </r>
    <phoneticPr fontId="137" type="noConversion"/>
  </si>
  <si>
    <r>
      <rPr>
        <sz val="9"/>
        <rFont val="Arial"/>
        <family val="2"/>
      </rPr>
      <t>31</t>
    </r>
    <r>
      <rPr>
        <sz val="9"/>
        <rFont val="宋体"/>
        <family val="3"/>
        <charset val="134"/>
      </rPr>
      <t>幢</t>
    </r>
    <r>
      <rPr>
        <sz val="9"/>
        <rFont val="Arial"/>
        <family val="2"/>
      </rPr>
      <t>-2-2128</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</si>
  <si>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2129</t>
    </r>
    <phoneticPr fontId="137" type="noConversion"/>
  </si>
  <si>
    <r>
      <rPr>
        <sz val="9"/>
        <rFont val="Arial"/>
        <family val="2"/>
      </rPr>
      <t>31</t>
    </r>
    <r>
      <rPr>
        <sz val="9"/>
        <rFont val="宋体"/>
        <family val="3"/>
        <charset val="134"/>
      </rPr>
      <t>幢</t>
    </r>
    <r>
      <rPr>
        <sz val="9"/>
        <rFont val="Arial"/>
        <family val="2"/>
      </rPr>
      <t>-2-2130</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</si>
  <si>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2131</t>
    </r>
    <phoneticPr fontId="137" type="noConversion"/>
  </si>
  <si>
    <r>
      <rPr>
        <sz val="9"/>
        <rFont val="Arial"/>
        <family val="2"/>
      </rPr>
      <t>31</t>
    </r>
    <r>
      <rPr>
        <sz val="9"/>
        <rFont val="宋体"/>
        <family val="3"/>
        <charset val="134"/>
      </rPr>
      <t>幢</t>
    </r>
    <r>
      <rPr>
        <sz val="9"/>
        <rFont val="Arial"/>
        <family val="2"/>
      </rPr>
      <t>-2-2134</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</si>
  <si>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2135</t>
    </r>
    <phoneticPr fontId="137" type="noConversion"/>
  </si>
  <si>
    <r>
      <rPr>
        <sz val="9"/>
        <rFont val="Arial"/>
        <family val="2"/>
      </rPr>
      <t>31</t>
    </r>
    <r>
      <rPr>
        <sz val="9"/>
        <rFont val="宋体"/>
        <family val="3"/>
        <charset val="134"/>
      </rPr>
      <t>幢</t>
    </r>
    <r>
      <rPr>
        <sz val="9"/>
        <rFont val="Arial"/>
        <family val="2"/>
      </rPr>
      <t>-2-2144</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</si>
  <si>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2145</t>
    </r>
    <phoneticPr fontId="137" type="noConversion"/>
  </si>
  <si>
    <r>
      <rPr>
        <sz val="9"/>
        <rFont val="Arial"/>
        <family val="2"/>
      </rPr>
      <t>31</t>
    </r>
    <r>
      <rPr>
        <sz val="9"/>
        <rFont val="宋体"/>
        <family val="3"/>
        <charset val="134"/>
      </rPr>
      <t>幢</t>
    </r>
    <r>
      <rPr>
        <sz val="9"/>
        <rFont val="Arial"/>
        <family val="2"/>
      </rPr>
      <t>-2-2146</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</si>
  <si>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2147</t>
    </r>
    <phoneticPr fontId="137" type="noConversion"/>
  </si>
  <si>
    <r>
      <rPr>
        <sz val="9"/>
        <rFont val="Arial"/>
        <family val="2"/>
      </rPr>
      <t>31</t>
    </r>
    <r>
      <rPr>
        <sz val="9"/>
        <rFont val="宋体"/>
        <family val="3"/>
        <charset val="134"/>
      </rPr>
      <t>幢</t>
    </r>
    <r>
      <rPr>
        <sz val="9"/>
        <rFont val="Arial"/>
        <family val="2"/>
      </rPr>
      <t>-2-2148</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</si>
  <si>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2149</t>
    </r>
    <phoneticPr fontId="137" type="noConversion"/>
  </si>
  <si>
    <r>
      <rPr>
        <sz val="9"/>
        <rFont val="Arial"/>
        <family val="2"/>
      </rPr>
      <t>31</t>
    </r>
    <r>
      <rPr>
        <sz val="9"/>
        <rFont val="宋体"/>
        <family val="3"/>
        <charset val="134"/>
      </rPr>
      <t>幢</t>
    </r>
    <r>
      <rPr>
        <sz val="9"/>
        <rFont val="Arial"/>
        <family val="2"/>
      </rPr>
      <t>-2-2150</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</si>
  <si>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2151</t>
    </r>
    <phoneticPr fontId="137" type="noConversion"/>
  </si>
  <si>
    <r>
      <rPr>
        <sz val="9"/>
        <rFont val="Arial"/>
        <family val="2"/>
      </rPr>
      <t>31</t>
    </r>
    <r>
      <rPr>
        <sz val="9"/>
        <rFont val="宋体"/>
        <family val="3"/>
        <charset val="134"/>
      </rPr>
      <t>幢</t>
    </r>
    <r>
      <rPr>
        <sz val="9"/>
        <rFont val="Arial"/>
        <family val="2"/>
      </rPr>
      <t>-2-2152</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</si>
  <si>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2153</t>
    </r>
    <phoneticPr fontId="137" type="noConversion"/>
  </si>
  <si>
    <r>
      <rPr>
        <sz val="9"/>
        <rFont val="Arial"/>
        <family val="2"/>
      </rPr>
      <t>31</t>
    </r>
    <r>
      <rPr>
        <sz val="9"/>
        <rFont val="宋体"/>
        <family val="3"/>
        <charset val="134"/>
      </rPr>
      <t>幢</t>
    </r>
    <r>
      <rPr>
        <sz val="9"/>
        <rFont val="Arial"/>
        <family val="2"/>
      </rPr>
      <t>-2-2154</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</si>
  <si>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2155</t>
    </r>
    <phoneticPr fontId="137" type="noConversion"/>
  </si>
  <si>
    <r>
      <rPr>
        <sz val="9"/>
        <rFont val="Arial"/>
        <family val="2"/>
      </rPr>
      <t>31</t>
    </r>
    <r>
      <rPr>
        <sz val="9"/>
        <rFont val="宋体"/>
        <family val="3"/>
        <charset val="134"/>
      </rPr>
      <t>幢</t>
    </r>
    <r>
      <rPr>
        <sz val="9"/>
        <rFont val="Arial"/>
        <family val="2"/>
      </rPr>
      <t>-2-2156</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</si>
  <si>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2157</t>
    </r>
    <phoneticPr fontId="137" type="noConversion"/>
  </si>
  <si>
    <r>
      <rPr>
        <sz val="9"/>
        <rFont val="Arial"/>
        <family val="2"/>
      </rPr>
      <t>31</t>
    </r>
    <r>
      <rPr>
        <sz val="9"/>
        <rFont val="宋体"/>
        <family val="3"/>
        <charset val="134"/>
      </rPr>
      <t>幢</t>
    </r>
    <r>
      <rPr>
        <sz val="9"/>
        <rFont val="Arial"/>
        <family val="2"/>
      </rPr>
      <t>-2-2158</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</si>
  <si>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2161</t>
    </r>
    <phoneticPr fontId="137" type="noConversion"/>
  </si>
  <si>
    <r>
      <rPr>
        <sz val="9"/>
        <rFont val="Arial"/>
        <family val="2"/>
      </rPr>
      <t>31</t>
    </r>
    <r>
      <rPr>
        <sz val="9"/>
        <rFont val="宋体"/>
        <family val="3"/>
        <charset val="134"/>
      </rPr>
      <t>幢</t>
    </r>
    <r>
      <rPr>
        <sz val="9"/>
        <rFont val="Arial"/>
        <family val="2"/>
      </rPr>
      <t>-2-2162</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</si>
  <si>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2163</t>
    </r>
    <phoneticPr fontId="137" type="noConversion"/>
  </si>
  <si>
    <r>
      <rPr>
        <sz val="9"/>
        <rFont val="Arial"/>
        <family val="2"/>
      </rPr>
      <t>31</t>
    </r>
    <r>
      <rPr>
        <sz val="9"/>
        <rFont val="宋体"/>
        <family val="3"/>
        <charset val="134"/>
      </rPr>
      <t>幢</t>
    </r>
    <r>
      <rPr>
        <sz val="9"/>
        <rFont val="Arial"/>
        <family val="2"/>
      </rPr>
      <t>-2-2165</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</si>
  <si>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2166</t>
    </r>
    <phoneticPr fontId="137" type="noConversion"/>
  </si>
  <si>
    <r>
      <rPr>
        <sz val="9"/>
        <rFont val="Arial"/>
        <family val="2"/>
      </rPr>
      <t>31</t>
    </r>
    <r>
      <rPr>
        <sz val="9"/>
        <rFont val="宋体"/>
        <family val="3"/>
        <charset val="134"/>
      </rPr>
      <t>幢</t>
    </r>
    <r>
      <rPr>
        <sz val="9"/>
        <rFont val="Arial"/>
        <family val="2"/>
      </rPr>
      <t>-2-2167</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</si>
  <si>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2168</t>
    </r>
    <phoneticPr fontId="137" type="noConversion"/>
  </si>
  <si>
    <r>
      <rPr>
        <sz val="9"/>
        <rFont val="Arial"/>
        <family val="2"/>
      </rPr>
      <t>31</t>
    </r>
    <r>
      <rPr>
        <sz val="9"/>
        <rFont val="宋体"/>
        <family val="3"/>
        <charset val="134"/>
      </rPr>
      <t>幢</t>
    </r>
    <r>
      <rPr>
        <sz val="9"/>
        <rFont val="Arial"/>
        <family val="2"/>
      </rPr>
      <t>-2-2169</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</si>
  <si>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2170</t>
    </r>
    <phoneticPr fontId="137" type="noConversion"/>
  </si>
  <si>
    <r>
      <rPr>
        <sz val="9"/>
        <rFont val="Arial"/>
        <family val="2"/>
      </rPr>
      <t>31</t>
    </r>
    <r>
      <rPr>
        <sz val="9"/>
        <rFont val="宋体"/>
        <family val="3"/>
        <charset val="134"/>
      </rPr>
      <t>幢</t>
    </r>
    <r>
      <rPr>
        <sz val="9"/>
        <rFont val="Arial"/>
        <family val="2"/>
      </rPr>
      <t>-2-2171</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</si>
  <si>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2172</t>
    </r>
    <phoneticPr fontId="137" type="noConversion"/>
  </si>
  <si>
    <r>
      <rPr>
        <sz val="9"/>
        <rFont val="Arial"/>
        <family val="2"/>
      </rPr>
      <t>31</t>
    </r>
    <r>
      <rPr>
        <sz val="9"/>
        <rFont val="宋体"/>
        <family val="3"/>
        <charset val="134"/>
      </rPr>
      <t>幢</t>
    </r>
    <r>
      <rPr>
        <sz val="9"/>
        <rFont val="Arial"/>
        <family val="2"/>
      </rPr>
      <t>-2-2173</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</si>
  <si>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2174</t>
    </r>
    <phoneticPr fontId="137" type="noConversion"/>
  </si>
  <si>
    <r>
      <rPr>
        <sz val="9"/>
        <rFont val="Arial"/>
        <family val="2"/>
      </rPr>
      <t>31</t>
    </r>
    <r>
      <rPr>
        <sz val="9"/>
        <rFont val="宋体"/>
        <family val="3"/>
        <charset val="134"/>
      </rPr>
      <t>幢</t>
    </r>
    <r>
      <rPr>
        <sz val="9"/>
        <rFont val="Arial"/>
        <family val="2"/>
      </rPr>
      <t>-2-2175</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</si>
  <si>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2176</t>
    </r>
    <phoneticPr fontId="137" type="noConversion"/>
  </si>
  <si>
    <r>
      <rPr>
        <sz val="9"/>
        <rFont val="Arial"/>
        <family val="2"/>
      </rPr>
      <t>31</t>
    </r>
    <r>
      <rPr>
        <sz val="9"/>
        <rFont val="宋体"/>
        <family val="3"/>
        <charset val="134"/>
      </rPr>
      <t>幢</t>
    </r>
    <r>
      <rPr>
        <sz val="9"/>
        <rFont val="Arial"/>
        <family val="2"/>
      </rPr>
      <t>-2-2177</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</si>
  <si>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2178</t>
    </r>
    <phoneticPr fontId="137" type="noConversion"/>
  </si>
  <si>
    <r>
      <rPr>
        <sz val="9"/>
        <rFont val="Arial"/>
        <family val="2"/>
      </rPr>
      <t>31</t>
    </r>
    <r>
      <rPr>
        <sz val="9"/>
        <rFont val="宋体"/>
        <family val="3"/>
        <charset val="134"/>
      </rPr>
      <t>幢</t>
    </r>
    <r>
      <rPr>
        <sz val="9"/>
        <rFont val="Arial"/>
        <family val="2"/>
      </rPr>
      <t>-2-2179</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</si>
  <si>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2180</t>
    </r>
    <phoneticPr fontId="137" type="noConversion"/>
  </si>
  <si>
    <r>
      <rPr>
        <sz val="9"/>
        <rFont val="Arial"/>
        <family val="2"/>
      </rPr>
      <t>31</t>
    </r>
    <r>
      <rPr>
        <sz val="9"/>
        <rFont val="宋体"/>
        <family val="3"/>
        <charset val="134"/>
      </rPr>
      <t>幢</t>
    </r>
    <r>
      <rPr>
        <sz val="9"/>
        <rFont val="Arial"/>
        <family val="2"/>
      </rPr>
      <t>-2-2182</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</si>
  <si>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2183</t>
    </r>
    <phoneticPr fontId="137" type="noConversion"/>
  </si>
  <si>
    <r>
      <rPr>
        <sz val="9"/>
        <rFont val="Arial"/>
        <family val="2"/>
      </rPr>
      <t>31</t>
    </r>
    <r>
      <rPr>
        <sz val="9"/>
        <rFont val="宋体"/>
        <family val="3"/>
        <charset val="134"/>
      </rPr>
      <t>幢</t>
    </r>
    <r>
      <rPr>
        <sz val="9"/>
        <rFont val="Arial"/>
        <family val="2"/>
      </rPr>
      <t>-2-2184</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</si>
  <si>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2185</t>
    </r>
    <phoneticPr fontId="137" type="noConversion"/>
  </si>
  <si>
    <r>
      <rPr>
        <sz val="9"/>
        <rFont val="Arial"/>
        <family val="2"/>
      </rPr>
      <t>31</t>
    </r>
    <r>
      <rPr>
        <sz val="9"/>
        <rFont val="宋体"/>
        <family val="3"/>
        <charset val="134"/>
      </rPr>
      <t>幢</t>
    </r>
    <r>
      <rPr>
        <sz val="9"/>
        <rFont val="Arial"/>
        <family val="2"/>
      </rPr>
      <t>-2-2186</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</si>
  <si>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2187</t>
    </r>
    <phoneticPr fontId="137" type="noConversion"/>
  </si>
  <si>
    <r>
      <rPr>
        <sz val="9"/>
        <rFont val="Arial"/>
        <family val="2"/>
      </rPr>
      <t>31</t>
    </r>
    <r>
      <rPr>
        <sz val="9"/>
        <rFont val="宋体"/>
        <family val="3"/>
        <charset val="134"/>
      </rPr>
      <t>幢</t>
    </r>
    <r>
      <rPr>
        <sz val="9"/>
        <rFont val="Arial"/>
        <family val="2"/>
      </rPr>
      <t>-2-2191</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</si>
  <si>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2192</t>
    </r>
    <phoneticPr fontId="137" type="noConversion"/>
  </si>
  <si>
    <r>
      <rPr>
        <sz val="9"/>
        <rFont val="Arial"/>
        <family val="2"/>
      </rPr>
      <t>31</t>
    </r>
    <r>
      <rPr>
        <sz val="9"/>
        <rFont val="宋体"/>
        <family val="3"/>
        <charset val="134"/>
      </rPr>
      <t>幢</t>
    </r>
    <r>
      <rPr>
        <sz val="9"/>
        <rFont val="Arial"/>
        <family val="2"/>
      </rPr>
      <t>-2-2193</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</si>
  <si>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2194</t>
    </r>
    <phoneticPr fontId="137" type="noConversion"/>
  </si>
  <si>
    <r>
      <rPr>
        <sz val="9"/>
        <rFont val="Arial"/>
        <family val="2"/>
      </rPr>
      <t>31</t>
    </r>
    <r>
      <rPr>
        <sz val="9"/>
        <rFont val="宋体"/>
        <family val="3"/>
        <charset val="134"/>
      </rPr>
      <t>幢</t>
    </r>
    <r>
      <rPr>
        <sz val="9"/>
        <rFont val="Arial"/>
        <family val="2"/>
      </rPr>
      <t>-2-2195</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</si>
  <si>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2196</t>
    </r>
    <phoneticPr fontId="137" type="noConversion"/>
  </si>
  <si>
    <r>
      <rPr>
        <sz val="9"/>
        <rFont val="Arial"/>
        <family val="2"/>
      </rPr>
      <t>31</t>
    </r>
    <r>
      <rPr>
        <sz val="9"/>
        <rFont val="宋体"/>
        <family val="3"/>
        <charset val="134"/>
      </rPr>
      <t>幢</t>
    </r>
    <r>
      <rPr>
        <sz val="9"/>
        <rFont val="Arial"/>
        <family val="2"/>
      </rPr>
      <t>-2-2197</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</si>
  <si>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2198</t>
    </r>
    <phoneticPr fontId="137" type="noConversion"/>
  </si>
  <si>
    <r>
      <rPr>
        <sz val="9"/>
        <rFont val="Arial"/>
        <family val="2"/>
      </rPr>
      <t>31</t>
    </r>
    <r>
      <rPr>
        <sz val="9"/>
        <rFont val="宋体"/>
        <family val="3"/>
        <charset val="134"/>
      </rPr>
      <t>幢</t>
    </r>
    <r>
      <rPr>
        <sz val="9"/>
        <rFont val="Arial"/>
        <family val="2"/>
      </rPr>
      <t>-2-2199</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</si>
  <si>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2200</t>
    </r>
    <phoneticPr fontId="137" type="noConversion"/>
  </si>
  <si>
    <r>
      <rPr>
        <sz val="9"/>
        <rFont val="Arial"/>
        <family val="2"/>
      </rPr>
      <t>31</t>
    </r>
    <r>
      <rPr>
        <sz val="9"/>
        <rFont val="宋体"/>
        <family val="3"/>
        <charset val="134"/>
      </rPr>
      <t>幢</t>
    </r>
    <r>
      <rPr>
        <sz val="9"/>
        <rFont val="Arial"/>
        <family val="2"/>
      </rPr>
      <t>-2-2201</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</si>
  <si>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2202</t>
    </r>
    <phoneticPr fontId="137" type="noConversion"/>
  </si>
  <si>
    <r>
      <rPr>
        <sz val="9"/>
        <rFont val="Arial"/>
        <family val="2"/>
      </rPr>
      <t>31</t>
    </r>
    <r>
      <rPr>
        <sz val="9"/>
        <rFont val="宋体"/>
        <family val="3"/>
        <charset val="134"/>
      </rPr>
      <t>幢</t>
    </r>
    <r>
      <rPr>
        <sz val="9"/>
        <rFont val="Arial"/>
        <family val="2"/>
      </rPr>
      <t>-2-2203</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</si>
  <si>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2204</t>
    </r>
    <phoneticPr fontId="137" type="noConversion"/>
  </si>
  <si>
    <r>
      <rPr>
        <sz val="9"/>
        <rFont val="Arial"/>
        <family val="2"/>
      </rPr>
      <t>31</t>
    </r>
    <r>
      <rPr>
        <sz val="9"/>
        <rFont val="宋体"/>
        <family val="3"/>
        <charset val="134"/>
      </rPr>
      <t>幢</t>
    </r>
    <r>
      <rPr>
        <sz val="9"/>
        <rFont val="Arial"/>
        <family val="2"/>
      </rPr>
      <t>-2-2205</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</si>
  <si>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2206</t>
    </r>
    <phoneticPr fontId="137" type="noConversion"/>
  </si>
  <si>
    <r>
      <rPr>
        <sz val="9"/>
        <rFont val="Arial"/>
        <family val="2"/>
      </rPr>
      <t>31</t>
    </r>
    <r>
      <rPr>
        <sz val="9"/>
        <rFont val="宋体"/>
        <family val="3"/>
        <charset val="134"/>
      </rPr>
      <t>幢</t>
    </r>
    <r>
      <rPr>
        <sz val="9"/>
        <rFont val="Arial"/>
        <family val="2"/>
      </rPr>
      <t>-2-2207</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</si>
  <si>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2208</t>
    </r>
    <phoneticPr fontId="137" type="noConversion"/>
  </si>
  <si>
    <r>
      <rPr>
        <sz val="9"/>
        <rFont val="Arial"/>
        <family val="2"/>
      </rPr>
      <t>31</t>
    </r>
    <r>
      <rPr>
        <sz val="9"/>
        <rFont val="宋体"/>
        <family val="3"/>
        <charset val="134"/>
      </rPr>
      <t>幢</t>
    </r>
    <r>
      <rPr>
        <sz val="9"/>
        <rFont val="Arial"/>
        <family val="2"/>
      </rPr>
      <t>-2-2209</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</si>
  <si>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2210</t>
    </r>
    <phoneticPr fontId="137" type="noConversion"/>
  </si>
  <si>
    <r>
      <rPr>
        <sz val="9"/>
        <rFont val="Arial"/>
        <family val="2"/>
      </rPr>
      <t>31</t>
    </r>
    <r>
      <rPr>
        <sz val="9"/>
        <rFont val="宋体"/>
        <family val="3"/>
        <charset val="134"/>
      </rPr>
      <t>幢</t>
    </r>
    <r>
      <rPr>
        <sz val="9"/>
        <rFont val="Arial"/>
        <family val="2"/>
      </rPr>
      <t>-2-2212</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</si>
  <si>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2213</t>
    </r>
    <phoneticPr fontId="137" type="noConversion"/>
  </si>
  <si>
    <r>
      <rPr>
        <sz val="9"/>
        <rFont val="Arial"/>
        <family val="2"/>
      </rPr>
      <t>31</t>
    </r>
    <r>
      <rPr>
        <sz val="9"/>
        <rFont val="宋体"/>
        <family val="3"/>
        <charset val="134"/>
      </rPr>
      <t>幢</t>
    </r>
    <r>
      <rPr>
        <sz val="9"/>
        <rFont val="Arial"/>
        <family val="2"/>
      </rPr>
      <t>-2-2214</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</si>
  <si>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2215</t>
    </r>
    <phoneticPr fontId="137" type="noConversion"/>
  </si>
  <si>
    <r>
      <rPr>
        <sz val="9"/>
        <rFont val="Arial"/>
        <family val="2"/>
      </rPr>
      <t>31</t>
    </r>
    <r>
      <rPr>
        <sz val="9"/>
        <rFont val="宋体"/>
        <family val="3"/>
        <charset val="134"/>
      </rPr>
      <t>幢</t>
    </r>
    <r>
      <rPr>
        <sz val="9"/>
        <rFont val="Arial"/>
        <family val="2"/>
      </rPr>
      <t>-2-2216</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</si>
  <si>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2217</t>
    </r>
    <phoneticPr fontId="137" type="noConversion"/>
  </si>
  <si>
    <r>
      <rPr>
        <sz val="9"/>
        <rFont val="Arial"/>
        <family val="2"/>
      </rPr>
      <t>31</t>
    </r>
    <r>
      <rPr>
        <sz val="9"/>
        <rFont val="宋体"/>
        <family val="3"/>
        <charset val="134"/>
      </rPr>
      <t>幢</t>
    </r>
    <r>
      <rPr>
        <sz val="9"/>
        <rFont val="Arial"/>
        <family val="2"/>
      </rPr>
      <t>-2-2218</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</si>
  <si>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2219</t>
    </r>
    <phoneticPr fontId="137" type="noConversion"/>
  </si>
  <si>
    <r>
      <rPr>
        <sz val="9"/>
        <rFont val="Arial"/>
        <family val="2"/>
      </rPr>
      <t>31</t>
    </r>
    <r>
      <rPr>
        <sz val="9"/>
        <rFont val="宋体"/>
        <family val="3"/>
        <charset val="134"/>
      </rPr>
      <t>幢</t>
    </r>
    <r>
      <rPr>
        <sz val="9"/>
        <rFont val="Arial"/>
        <family val="2"/>
      </rPr>
      <t>-2-2220</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</si>
  <si>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2221</t>
    </r>
    <phoneticPr fontId="137" type="noConversion"/>
  </si>
  <si>
    <r>
      <rPr>
        <sz val="9"/>
        <rFont val="Arial"/>
        <family val="2"/>
      </rPr>
      <t>31</t>
    </r>
    <r>
      <rPr>
        <sz val="9"/>
        <rFont val="宋体"/>
        <family val="3"/>
        <charset val="134"/>
      </rPr>
      <t>幢</t>
    </r>
    <r>
      <rPr>
        <sz val="9"/>
        <rFont val="Arial"/>
        <family val="2"/>
      </rPr>
      <t>-2-2222</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</si>
  <si>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2223</t>
    </r>
    <phoneticPr fontId="137" type="noConversion"/>
  </si>
  <si>
    <r>
      <rPr>
        <sz val="9"/>
        <rFont val="Arial"/>
        <family val="2"/>
      </rPr>
      <t>31</t>
    </r>
    <r>
      <rPr>
        <sz val="9"/>
        <rFont val="宋体"/>
        <family val="3"/>
        <charset val="134"/>
      </rPr>
      <t>幢</t>
    </r>
    <r>
      <rPr>
        <sz val="9"/>
        <rFont val="Arial"/>
        <family val="2"/>
      </rPr>
      <t>-2-2224</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</si>
  <si>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2225</t>
    </r>
    <phoneticPr fontId="137" type="noConversion"/>
  </si>
  <si>
    <r>
      <rPr>
        <sz val="9"/>
        <rFont val="Arial"/>
        <family val="2"/>
      </rPr>
      <t>31</t>
    </r>
    <r>
      <rPr>
        <sz val="9"/>
        <rFont val="宋体"/>
        <family val="3"/>
        <charset val="134"/>
      </rPr>
      <t>幢</t>
    </r>
    <r>
      <rPr>
        <sz val="9"/>
        <rFont val="Arial"/>
        <family val="2"/>
      </rPr>
      <t>-2-2226</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</si>
  <si>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2227</t>
    </r>
    <phoneticPr fontId="137" type="noConversion"/>
  </si>
  <si>
    <r>
      <rPr>
        <sz val="9"/>
        <rFont val="Arial"/>
        <family val="2"/>
      </rPr>
      <t>31</t>
    </r>
    <r>
      <rPr>
        <sz val="9"/>
        <rFont val="宋体"/>
        <family val="3"/>
        <charset val="134"/>
      </rPr>
      <t>幢</t>
    </r>
    <r>
      <rPr>
        <sz val="9"/>
        <rFont val="Arial"/>
        <family val="2"/>
      </rPr>
      <t>-2-2228</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</si>
  <si>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2229</t>
    </r>
    <phoneticPr fontId="137" type="noConversion"/>
  </si>
  <si>
    <r>
      <rPr>
        <sz val="9"/>
        <rFont val="Arial"/>
        <family val="2"/>
      </rPr>
      <t>31</t>
    </r>
    <r>
      <rPr>
        <sz val="9"/>
        <rFont val="宋体"/>
        <family val="3"/>
        <charset val="134"/>
      </rPr>
      <t>幢</t>
    </r>
    <r>
      <rPr>
        <sz val="9"/>
        <rFont val="Arial"/>
        <family val="2"/>
      </rPr>
      <t>-2-2231</t>
    </r>
    <phoneticPr fontId="137" type="noConversion"/>
  </si>
  <si>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2232</t>
    </r>
    <phoneticPr fontId="137" type="noConversion"/>
  </si>
  <si>
    <r>
      <rPr>
        <sz val="9"/>
        <rFont val="Arial"/>
        <family val="2"/>
      </rPr>
      <t>31</t>
    </r>
    <r>
      <rPr>
        <sz val="9"/>
        <rFont val="宋体"/>
        <family val="3"/>
        <charset val="134"/>
      </rPr>
      <t>幢</t>
    </r>
    <r>
      <rPr>
        <sz val="9"/>
        <rFont val="Arial"/>
        <family val="2"/>
      </rPr>
      <t>-2-2233</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</si>
  <si>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1001</t>
    </r>
    <phoneticPr fontId="137" type="noConversion"/>
  </si>
  <si>
    <r>
      <rPr>
        <sz val="9"/>
        <rFont val="Arial"/>
        <family val="2"/>
      </rPr>
      <t>31</t>
    </r>
    <r>
      <rPr>
        <sz val="9"/>
        <rFont val="宋体"/>
        <family val="3"/>
        <charset val="134"/>
      </rPr>
      <t>幢</t>
    </r>
    <r>
      <rPr>
        <sz val="9"/>
        <rFont val="Arial"/>
        <family val="2"/>
      </rPr>
      <t>-1-1002</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</si>
  <si>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1005</t>
    </r>
    <phoneticPr fontId="137" type="noConversion"/>
  </si>
  <si>
    <r>
      <rPr>
        <sz val="9"/>
        <rFont val="Arial"/>
        <family val="2"/>
      </rPr>
      <t>31</t>
    </r>
    <r>
      <rPr>
        <sz val="9"/>
        <rFont val="宋体"/>
        <family val="3"/>
        <charset val="134"/>
      </rPr>
      <t>幢</t>
    </r>
    <r>
      <rPr>
        <sz val="9"/>
        <rFont val="Arial"/>
        <family val="2"/>
      </rPr>
      <t>-1-1007</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</si>
  <si>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1013</t>
    </r>
    <phoneticPr fontId="137" type="noConversion"/>
  </si>
  <si>
    <r>
      <rPr>
        <sz val="9"/>
        <rFont val="Arial"/>
        <family val="2"/>
      </rPr>
      <t>31</t>
    </r>
    <r>
      <rPr>
        <sz val="9"/>
        <rFont val="宋体"/>
        <family val="3"/>
        <charset val="134"/>
      </rPr>
      <t>幢</t>
    </r>
    <r>
      <rPr>
        <sz val="9"/>
        <rFont val="Arial"/>
        <family val="2"/>
      </rPr>
      <t>-1-1015</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</si>
  <si>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1016</t>
    </r>
    <phoneticPr fontId="137" type="noConversion"/>
  </si>
  <si>
    <r>
      <rPr>
        <sz val="9"/>
        <rFont val="Arial"/>
        <family val="2"/>
      </rPr>
      <t>31</t>
    </r>
    <r>
      <rPr>
        <sz val="9"/>
        <rFont val="宋体"/>
        <family val="3"/>
        <charset val="134"/>
      </rPr>
      <t>幢</t>
    </r>
    <r>
      <rPr>
        <sz val="9"/>
        <rFont val="Arial"/>
        <family val="2"/>
      </rPr>
      <t>-1-1017</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</si>
  <si>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1022</t>
    </r>
    <phoneticPr fontId="137" type="noConversion"/>
  </si>
  <si>
    <r>
      <rPr>
        <sz val="9"/>
        <rFont val="Arial"/>
        <family val="2"/>
      </rPr>
      <t>31</t>
    </r>
    <r>
      <rPr>
        <sz val="9"/>
        <rFont val="宋体"/>
        <family val="3"/>
        <charset val="134"/>
      </rPr>
      <t>幢</t>
    </r>
    <r>
      <rPr>
        <sz val="9"/>
        <rFont val="Arial"/>
        <family val="2"/>
      </rPr>
      <t>-1-1025</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</si>
  <si>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1028</t>
    </r>
    <phoneticPr fontId="137" type="noConversion"/>
  </si>
  <si>
    <r>
      <rPr>
        <sz val="9"/>
        <rFont val="Arial"/>
        <family val="2"/>
      </rPr>
      <t>31</t>
    </r>
    <r>
      <rPr>
        <sz val="9"/>
        <rFont val="宋体"/>
        <family val="3"/>
        <charset val="134"/>
      </rPr>
      <t>幢</t>
    </r>
    <r>
      <rPr>
        <sz val="9"/>
        <rFont val="Arial"/>
        <family val="2"/>
      </rPr>
      <t>-1-1031</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</si>
  <si>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1037</t>
    </r>
    <phoneticPr fontId="137" type="noConversion"/>
  </si>
  <si>
    <r>
      <rPr>
        <sz val="9"/>
        <rFont val="Arial"/>
        <family val="2"/>
      </rPr>
      <t>31</t>
    </r>
    <r>
      <rPr>
        <sz val="9"/>
        <rFont val="宋体"/>
        <family val="3"/>
        <charset val="134"/>
      </rPr>
      <t>幢</t>
    </r>
    <r>
      <rPr>
        <sz val="9"/>
        <rFont val="Arial"/>
        <family val="2"/>
      </rPr>
      <t>-1-1038</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</si>
  <si>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1039</t>
    </r>
    <phoneticPr fontId="137" type="noConversion"/>
  </si>
  <si>
    <r>
      <rPr>
        <sz val="9"/>
        <rFont val="Arial"/>
        <family val="2"/>
      </rPr>
      <t>31</t>
    </r>
    <r>
      <rPr>
        <sz val="9"/>
        <rFont val="宋体"/>
        <family val="3"/>
        <charset val="134"/>
      </rPr>
      <t>幢</t>
    </r>
    <r>
      <rPr>
        <sz val="9"/>
        <rFont val="Arial"/>
        <family val="2"/>
      </rPr>
      <t>-1-1040</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</si>
  <si>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1041</t>
    </r>
    <phoneticPr fontId="137" type="noConversion"/>
  </si>
  <si>
    <r>
      <rPr>
        <sz val="9"/>
        <rFont val="Arial"/>
        <family val="2"/>
      </rPr>
      <t>31</t>
    </r>
    <r>
      <rPr>
        <sz val="9"/>
        <rFont val="宋体"/>
        <family val="3"/>
        <charset val="134"/>
      </rPr>
      <t>幢</t>
    </r>
    <r>
      <rPr>
        <sz val="9"/>
        <rFont val="Arial"/>
        <family val="2"/>
      </rPr>
      <t>-1-1042</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</si>
  <si>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1043</t>
    </r>
    <phoneticPr fontId="137" type="noConversion"/>
  </si>
  <si>
    <r>
      <rPr>
        <sz val="9"/>
        <rFont val="Arial"/>
        <family val="2"/>
      </rPr>
      <t>31</t>
    </r>
    <r>
      <rPr>
        <sz val="9"/>
        <rFont val="宋体"/>
        <family val="3"/>
        <charset val="134"/>
      </rPr>
      <t>幢</t>
    </r>
    <r>
      <rPr>
        <sz val="9"/>
        <rFont val="Arial"/>
        <family val="2"/>
      </rPr>
      <t>-1-1044</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</si>
  <si>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1045</t>
    </r>
    <phoneticPr fontId="137" type="noConversion"/>
  </si>
  <si>
    <r>
      <rPr>
        <sz val="9"/>
        <rFont val="Arial"/>
        <family val="2"/>
      </rPr>
      <t>31</t>
    </r>
    <r>
      <rPr>
        <sz val="9"/>
        <rFont val="宋体"/>
        <family val="3"/>
        <charset val="134"/>
      </rPr>
      <t>幢</t>
    </r>
    <r>
      <rPr>
        <sz val="9"/>
        <rFont val="Arial"/>
        <family val="2"/>
      </rPr>
      <t>-1-1046</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</si>
  <si>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1047</t>
    </r>
    <phoneticPr fontId="137" type="noConversion"/>
  </si>
  <si>
    <r>
      <rPr>
        <sz val="9"/>
        <rFont val="Arial"/>
        <family val="2"/>
      </rPr>
      <t>31</t>
    </r>
    <r>
      <rPr>
        <sz val="9"/>
        <rFont val="宋体"/>
        <family val="3"/>
        <charset val="134"/>
      </rPr>
      <t>幢</t>
    </r>
    <r>
      <rPr>
        <sz val="9"/>
        <rFont val="Arial"/>
        <family val="2"/>
      </rPr>
      <t>-1-1048</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</si>
  <si>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1049</t>
    </r>
    <phoneticPr fontId="137" type="noConversion"/>
  </si>
  <si>
    <r>
      <rPr>
        <sz val="9"/>
        <rFont val="Arial"/>
        <family val="2"/>
      </rPr>
      <t>31</t>
    </r>
    <r>
      <rPr>
        <sz val="9"/>
        <rFont val="宋体"/>
        <family val="3"/>
        <charset val="134"/>
      </rPr>
      <t>幢</t>
    </r>
    <r>
      <rPr>
        <sz val="9"/>
        <rFont val="Arial"/>
        <family val="2"/>
      </rPr>
      <t>-1-1052</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</si>
  <si>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1053</t>
    </r>
    <phoneticPr fontId="137" type="noConversion"/>
  </si>
  <si>
    <r>
      <rPr>
        <sz val="9"/>
        <rFont val="Arial"/>
        <family val="2"/>
      </rPr>
      <t>31</t>
    </r>
    <r>
      <rPr>
        <sz val="9"/>
        <rFont val="宋体"/>
        <family val="3"/>
        <charset val="134"/>
      </rPr>
      <t>幢</t>
    </r>
    <r>
      <rPr>
        <sz val="9"/>
        <rFont val="Arial"/>
        <family val="2"/>
      </rPr>
      <t>-1-1054</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</si>
  <si>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1055</t>
    </r>
    <phoneticPr fontId="137" type="noConversion"/>
  </si>
  <si>
    <r>
      <rPr>
        <sz val="9"/>
        <rFont val="Arial"/>
        <family val="2"/>
      </rPr>
      <t>31</t>
    </r>
    <r>
      <rPr>
        <sz val="9"/>
        <rFont val="宋体"/>
        <family val="3"/>
        <charset val="134"/>
      </rPr>
      <t>幢</t>
    </r>
    <r>
      <rPr>
        <sz val="9"/>
        <rFont val="Arial"/>
        <family val="2"/>
      </rPr>
      <t>-1-1056</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</si>
  <si>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1057</t>
    </r>
    <phoneticPr fontId="137" type="noConversion"/>
  </si>
  <si>
    <r>
      <rPr>
        <sz val="9"/>
        <rFont val="Arial"/>
        <family val="2"/>
      </rPr>
      <t>31</t>
    </r>
    <r>
      <rPr>
        <sz val="9"/>
        <rFont val="宋体"/>
        <family val="3"/>
        <charset val="134"/>
      </rPr>
      <t>幢</t>
    </r>
    <r>
      <rPr>
        <sz val="9"/>
        <rFont val="Arial"/>
        <family val="2"/>
      </rPr>
      <t>-1-1058</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</si>
  <si>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1059</t>
    </r>
    <phoneticPr fontId="137" type="noConversion"/>
  </si>
  <si>
    <r>
      <rPr>
        <sz val="9"/>
        <rFont val="Arial"/>
        <family val="2"/>
      </rPr>
      <t>31</t>
    </r>
    <r>
      <rPr>
        <sz val="9"/>
        <rFont val="宋体"/>
        <family val="3"/>
        <charset val="134"/>
      </rPr>
      <t>幢</t>
    </r>
    <r>
      <rPr>
        <sz val="9"/>
        <rFont val="Arial"/>
        <family val="2"/>
      </rPr>
      <t>-1-1065</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</si>
  <si>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1072</t>
    </r>
    <phoneticPr fontId="137" type="noConversion"/>
  </si>
  <si>
    <r>
      <rPr>
        <sz val="9"/>
        <rFont val="Arial"/>
        <family val="2"/>
      </rPr>
      <t>31</t>
    </r>
    <r>
      <rPr>
        <sz val="9"/>
        <rFont val="宋体"/>
        <family val="3"/>
        <charset val="134"/>
      </rPr>
      <t>幢</t>
    </r>
    <r>
      <rPr>
        <sz val="9"/>
        <rFont val="Arial"/>
        <family val="2"/>
      </rPr>
      <t>-1-1073</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</si>
  <si>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1074</t>
    </r>
    <phoneticPr fontId="137" type="noConversion"/>
  </si>
  <si>
    <r>
      <rPr>
        <sz val="9"/>
        <rFont val="Arial"/>
        <family val="2"/>
      </rPr>
      <t>31</t>
    </r>
    <r>
      <rPr>
        <sz val="9"/>
        <rFont val="宋体"/>
        <family val="3"/>
        <charset val="134"/>
      </rPr>
      <t>幢</t>
    </r>
    <r>
      <rPr>
        <sz val="9"/>
        <rFont val="Arial"/>
        <family val="2"/>
      </rPr>
      <t>-1-1075</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</si>
  <si>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1076</t>
    </r>
    <phoneticPr fontId="137" type="noConversion"/>
  </si>
  <si>
    <r>
      <rPr>
        <sz val="9"/>
        <rFont val="Arial"/>
        <family val="2"/>
      </rPr>
      <t>31</t>
    </r>
    <r>
      <rPr>
        <sz val="9"/>
        <rFont val="宋体"/>
        <family val="3"/>
        <charset val="134"/>
      </rPr>
      <t>幢</t>
    </r>
    <r>
      <rPr>
        <sz val="9"/>
        <rFont val="Arial"/>
        <family val="2"/>
      </rPr>
      <t>-1-1077</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</si>
  <si>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1078</t>
    </r>
    <phoneticPr fontId="137" type="noConversion"/>
  </si>
  <si>
    <r>
      <rPr>
        <sz val="9"/>
        <rFont val="Arial"/>
        <family val="2"/>
      </rPr>
      <t>31</t>
    </r>
    <r>
      <rPr>
        <sz val="9"/>
        <rFont val="宋体"/>
        <family val="3"/>
        <charset val="134"/>
      </rPr>
      <t>幢</t>
    </r>
    <r>
      <rPr>
        <sz val="9"/>
        <rFont val="Arial"/>
        <family val="2"/>
      </rPr>
      <t>-1-1079</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</si>
  <si>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1080</t>
    </r>
    <phoneticPr fontId="137" type="noConversion"/>
  </si>
  <si>
    <r>
      <rPr>
        <sz val="9"/>
        <rFont val="Arial"/>
        <family val="2"/>
      </rPr>
      <t>31</t>
    </r>
    <r>
      <rPr>
        <sz val="9"/>
        <rFont val="宋体"/>
        <family val="3"/>
        <charset val="134"/>
      </rPr>
      <t>幢</t>
    </r>
    <r>
      <rPr>
        <sz val="9"/>
        <rFont val="Arial"/>
        <family val="2"/>
      </rPr>
      <t>-1-1081</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</si>
  <si>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1084</t>
    </r>
    <phoneticPr fontId="137" type="noConversion"/>
  </si>
  <si>
    <r>
      <rPr>
        <sz val="9"/>
        <rFont val="Arial"/>
        <family val="2"/>
      </rPr>
      <t>31</t>
    </r>
    <r>
      <rPr>
        <sz val="9"/>
        <rFont val="宋体"/>
        <family val="3"/>
        <charset val="134"/>
      </rPr>
      <t>幢</t>
    </r>
    <r>
      <rPr>
        <sz val="9"/>
        <rFont val="Arial"/>
        <family val="2"/>
      </rPr>
      <t>-1-1085</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</si>
  <si>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1086</t>
    </r>
    <phoneticPr fontId="137" type="noConversion"/>
  </si>
  <si>
    <r>
      <rPr>
        <sz val="9"/>
        <rFont val="Arial"/>
        <family val="2"/>
      </rPr>
      <t>31</t>
    </r>
    <r>
      <rPr>
        <sz val="9"/>
        <rFont val="宋体"/>
        <family val="3"/>
        <charset val="134"/>
      </rPr>
      <t>幢</t>
    </r>
    <r>
      <rPr>
        <sz val="9"/>
        <rFont val="Arial"/>
        <family val="2"/>
      </rPr>
      <t>-1-1095</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</si>
  <si>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1096</t>
    </r>
    <phoneticPr fontId="137" type="noConversion"/>
  </si>
  <si>
    <r>
      <rPr>
        <sz val="9"/>
        <rFont val="Arial"/>
        <family val="2"/>
      </rPr>
      <t>31</t>
    </r>
    <r>
      <rPr>
        <sz val="9"/>
        <rFont val="宋体"/>
        <family val="3"/>
        <charset val="134"/>
      </rPr>
      <t>幢</t>
    </r>
    <r>
      <rPr>
        <sz val="9"/>
        <rFont val="Arial"/>
        <family val="2"/>
      </rPr>
      <t>-1-1101</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</si>
  <si>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1102</t>
    </r>
    <phoneticPr fontId="137" type="noConversion"/>
  </si>
  <si>
    <r>
      <rPr>
        <sz val="9"/>
        <rFont val="Arial"/>
        <family val="2"/>
      </rPr>
      <t>31</t>
    </r>
    <r>
      <rPr>
        <sz val="9"/>
        <rFont val="宋体"/>
        <family val="3"/>
        <charset val="134"/>
      </rPr>
      <t>幢</t>
    </r>
    <r>
      <rPr>
        <sz val="9"/>
        <rFont val="Arial"/>
        <family val="2"/>
      </rPr>
      <t>-1-1103</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</si>
  <si>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1104</t>
    </r>
    <phoneticPr fontId="137" type="noConversion"/>
  </si>
  <si>
    <r>
      <rPr>
        <sz val="9"/>
        <rFont val="Arial"/>
        <family val="2"/>
      </rPr>
      <t>31</t>
    </r>
    <r>
      <rPr>
        <sz val="9"/>
        <rFont val="宋体"/>
        <family val="3"/>
        <charset val="134"/>
      </rPr>
      <t>幢</t>
    </r>
    <r>
      <rPr>
        <sz val="9"/>
        <rFont val="Arial"/>
        <family val="2"/>
      </rPr>
      <t>-1-1105</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</si>
  <si>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1106</t>
    </r>
    <phoneticPr fontId="137" type="noConversion"/>
  </si>
  <si>
    <r>
      <rPr>
        <sz val="9"/>
        <rFont val="Arial"/>
        <family val="2"/>
      </rPr>
      <t>31</t>
    </r>
    <r>
      <rPr>
        <sz val="9"/>
        <rFont val="宋体"/>
        <family val="3"/>
        <charset val="134"/>
      </rPr>
      <t>幢</t>
    </r>
    <r>
      <rPr>
        <sz val="9"/>
        <rFont val="Arial"/>
        <family val="2"/>
      </rPr>
      <t>-1-1107</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</si>
  <si>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1108</t>
    </r>
    <phoneticPr fontId="137" type="noConversion"/>
  </si>
  <si>
    <r>
      <rPr>
        <sz val="9"/>
        <rFont val="Arial"/>
        <family val="2"/>
      </rPr>
      <t>31</t>
    </r>
    <r>
      <rPr>
        <sz val="9"/>
        <rFont val="宋体"/>
        <family val="3"/>
        <charset val="134"/>
      </rPr>
      <t>幢</t>
    </r>
    <r>
      <rPr>
        <sz val="9"/>
        <rFont val="Arial"/>
        <family val="2"/>
      </rPr>
      <t>-1-1109</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</si>
  <si>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1110</t>
    </r>
    <phoneticPr fontId="137" type="noConversion"/>
  </si>
  <si>
    <r>
      <rPr>
        <sz val="9"/>
        <rFont val="Arial"/>
        <family val="2"/>
      </rPr>
      <t>31</t>
    </r>
    <r>
      <rPr>
        <sz val="9"/>
        <rFont val="宋体"/>
        <family val="3"/>
        <charset val="134"/>
      </rPr>
      <t>幢</t>
    </r>
    <r>
      <rPr>
        <sz val="9"/>
        <rFont val="Arial"/>
        <family val="2"/>
      </rPr>
      <t>-1-1111</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</si>
  <si>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1112</t>
    </r>
    <phoneticPr fontId="137" type="noConversion"/>
  </si>
  <si>
    <r>
      <rPr>
        <sz val="9"/>
        <rFont val="Arial"/>
        <family val="2"/>
      </rPr>
      <t>31</t>
    </r>
    <r>
      <rPr>
        <sz val="9"/>
        <rFont val="宋体"/>
        <family val="3"/>
        <charset val="134"/>
      </rPr>
      <t>幢</t>
    </r>
    <r>
      <rPr>
        <sz val="9"/>
        <rFont val="Arial"/>
        <family val="2"/>
      </rPr>
      <t>-1-1113</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</si>
  <si>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1114</t>
    </r>
    <phoneticPr fontId="137" type="noConversion"/>
  </si>
  <si>
    <r>
      <rPr>
        <sz val="9"/>
        <rFont val="Arial"/>
        <family val="2"/>
      </rPr>
      <t>31</t>
    </r>
    <r>
      <rPr>
        <sz val="9"/>
        <rFont val="宋体"/>
        <family val="3"/>
        <charset val="134"/>
      </rPr>
      <t>幢</t>
    </r>
    <r>
      <rPr>
        <sz val="9"/>
        <rFont val="Arial"/>
        <family val="2"/>
      </rPr>
      <t>-1-1115</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</si>
  <si>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1116</t>
    </r>
    <phoneticPr fontId="137" type="noConversion"/>
  </si>
  <si>
    <r>
      <rPr>
        <sz val="9"/>
        <rFont val="Arial"/>
        <family val="2"/>
      </rPr>
      <t>31</t>
    </r>
    <r>
      <rPr>
        <sz val="9"/>
        <rFont val="宋体"/>
        <family val="3"/>
        <charset val="134"/>
      </rPr>
      <t>幢</t>
    </r>
    <r>
      <rPr>
        <sz val="9"/>
        <rFont val="Arial"/>
        <family val="2"/>
      </rPr>
      <t>-1-1117</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</si>
  <si>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1118</t>
    </r>
    <phoneticPr fontId="137" type="noConversion"/>
  </si>
  <si>
    <r>
      <rPr>
        <sz val="9"/>
        <rFont val="Arial"/>
        <family val="2"/>
      </rPr>
      <t>31</t>
    </r>
    <r>
      <rPr>
        <sz val="9"/>
        <rFont val="宋体"/>
        <family val="3"/>
        <charset val="134"/>
      </rPr>
      <t>幢</t>
    </r>
    <r>
      <rPr>
        <sz val="9"/>
        <rFont val="Arial"/>
        <family val="2"/>
      </rPr>
      <t>-1-1119</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</si>
  <si>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1120</t>
    </r>
    <phoneticPr fontId="137" type="noConversion"/>
  </si>
  <si>
    <r>
      <rPr>
        <sz val="9"/>
        <rFont val="Arial"/>
        <family val="2"/>
      </rPr>
      <t>31</t>
    </r>
    <r>
      <rPr>
        <sz val="9"/>
        <rFont val="宋体"/>
        <family val="3"/>
        <charset val="134"/>
      </rPr>
      <t>幢</t>
    </r>
    <r>
      <rPr>
        <sz val="9"/>
        <rFont val="Arial"/>
        <family val="2"/>
      </rPr>
      <t>-1-1121</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</si>
  <si>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1122</t>
    </r>
    <phoneticPr fontId="137" type="noConversion"/>
  </si>
  <si>
    <r>
      <rPr>
        <sz val="9"/>
        <rFont val="Arial"/>
        <family val="2"/>
      </rPr>
      <t>31</t>
    </r>
    <r>
      <rPr>
        <sz val="9"/>
        <rFont val="宋体"/>
        <family val="3"/>
        <charset val="134"/>
      </rPr>
      <t>幢</t>
    </r>
    <r>
      <rPr>
        <sz val="9"/>
        <rFont val="Arial"/>
        <family val="2"/>
      </rPr>
      <t>-1-1123</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</si>
  <si>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1124</t>
    </r>
    <phoneticPr fontId="137" type="noConversion"/>
  </si>
  <si>
    <r>
      <rPr>
        <sz val="9"/>
        <rFont val="Arial"/>
        <family val="2"/>
      </rPr>
      <t>31</t>
    </r>
    <r>
      <rPr>
        <sz val="9"/>
        <rFont val="宋体"/>
        <family val="3"/>
        <charset val="134"/>
      </rPr>
      <t>幢</t>
    </r>
    <r>
      <rPr>
        <sz val="9"/>
        <rFont val="Arial"/>
        <family val="2"/>
      </rPr>
      <t>-1-1126</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</si>
  <si>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1140</t>
    </r>
    <phoneticPr fontId="137" type="noConversion"/>
  </si>
  <si>
    <r>
      <rPr>
        <sz val="9"/>
        <rFont val="Arial"/>
        <family val="2"/>
      </rPr>
      <t>31</t>
    </r>
    <r>
      <rPr>
        <sz val="9"/>
        <rFont val="宋体"/>
        <family val="3"/>
        <charset val="134"/>
      </rPr>
      <t>幢</t>
    </r>
    <r>
      <rPr>
        <sz val="9"/>
        <rFont val="Arial"/>
        <family val="2"/>
      </rPr>
      <t>-1-1141</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</si>
  <si>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1142</t>
    </r>
    <phoneticPr fontId="137" type="noConversion"/>
  </si>
  <si>
    <r>
      <rPr>
        <sz val="9"/>
        <rFont val="Arial"/>
        <family val="2"/>
      </rPr>
      <t>31</t>
    </r>
    <r>
      <rPr>
        <sz val="9"/>
        <rFont val="宋体"/>
        <family val="3"/>
        <charset val="134"/>
      </rPr>
      <t>幢</t>
    </r>
    <r>
      <rPr>
        <sz val="9"/>
        <rFont val="Arial"/>
        <family val="2"/>
      </rPr>
      <t>1- 1143</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</si>
  <si>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1144</t>
    </r>
    <phoneticPr fontId="137" type="noConversion"/>
  </si>
  <si>
    <r>
      <rPr>
        <sz val="9"/>
        <rFont val="Arial"/>
        <family val="2"/>
      </rPr>
      <t>31</t>
    </r>
    <r>
      <rPr>
        <sz val="9"/>
        <rFont val="宋体"/>
        <family val="3"/>
        <charset val="134"/>
      </rPr>
      <t>幢</t>
    </r>
    <r>
      <rPr>
        <sz val="9"/>
        <rFont val="Arial"/>
        <family val="2"/>
      </rPr>
      <t>-1-1145</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</si>
  <si>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1146</t>
    </r>
    <phoneticPr fontId="137" type="noConversion"/>
  </si>
  <si>
    <r>
      <rPr>
        <sz val="9"/>
        <rFont val="Arial"/>
        <family val="2"/>
      </rPr>
      <t>31</t>
    </r>
    <r>
      <rPr>
        <sz val="9"/>
        <rFont val="宋体"/>
        <family val="3"/>
        <charset val="134"/>
      </rPr>
      <t>幢</t>
    </r>
    <r>
      <rPr>
        <sz val="9"/>
        <rFont val="Arial"/>
        <family val="2"/>
      </rPr>
      <t>-1-1147</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</si>
  <si>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1148</t>
    </r>
    <phoneticPr fontId="137" type="noConversion"/>
  </si>
  <si>
    <r>
      <rPr>
        <sz val="9"/>
        <rFont val="Arial"/>
        <family val="2"/>
      </rPr>
      <t>31</t>
    </r>
    <r>
      <rPr>
        <sz val="9"/>
        <rFont val="宋体"/>
        <family val="3"/>
        <charset val="134"/>
      </rPr>
      <t>幢</t>
    </r>
    <r>
      <rPr>
        <sz val="9"/>
        <rFont val="Arial"/>
        <family val="2"/>
      </rPr>
      <t>-1-1149</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</si>
  <si>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1150</t>
    </r>
    <phoneticPr fontId="137" type="noConversion"/>
  </si>
  <si>
    <r>
      <rPr>
        <sz val="9"/>
        <rFont val="Arial"/>
        <family val="2"/>
      </rPr>
      <t>31</t>
    </r>
    <r>
      <rPr>
        <sz val="9"/>
        <rFont val="宋体"/>
        <family val="3"/>
        <charset val="134"/>
      </rPr>
      <t>幢</t>
    </r>
    <r>
      <rPr>
        <sz val="9"/>
        <rFont val="Arial"/>
        <family val="2"/>
      </rPr>
      <t>-1-1151</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</si>
  <si>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1152</t>
    </r>
    <phoneticPr fontId="137" type="noConversion"/>
  </si>
  <si>
    <r>
      <rPr>
        <sz val="9"/>
        <rFont val="Arial"/>
        <family val="2"/>
      </rPr>
      <t>31</t>
    </r>
    <r>
      <rPr>
        <sz val="9"/>
        <rFont val="宋体"/>
        <family val="3"/>
        <charset val="134"/>
      </rPr>
      <t>幢</t>
    </r>
    <r>
      <rPr>
        <sz val="9"/>
        <rFont val="Arial"/>
        <family val="2"/>
      </rPr>
      <t>-1-1153</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</si>
  <si>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1154</t>
    </r>
    <phoneticPr fontId="137" type="noConversion"/>
  </si>
  <si>
    <r>
      <rPr>
        <sz val="9"/>
        <rFont val="Arial"/>
        <family val="2"/>
      </rPr>
      <t>31</t>
    </r>
    <r>
      <rPr>
        <sz val="9"/>
        <rFont val="宋体"/>
        <family val="3"/>
        <charset val="134"/>
      </rPr>
      <t>幢</t>
    </r>
    <r>
      <rPr>
        <sz val="9"/>
        <rFont val="Arial"/>
        <family val="2"/>
      </rPr>
      <t>-1-1155</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</si>
  <si>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1156</t>
    </r>
    <phoneticPr fontId="137" type="noConversion"/>
  </si>
  <si>
    <r>
      <rPr>
        <sz val="9"/>
        <rFont val="Arial"/>
        <family val="2"/>
      </rPr>
      <t>31</t>
    </r>
    <r>
      <rPr>
        <sz val="9"/>
        <rFont val="宋体"/>
        <family val="3"/>
        <charset val="134"/>
      </rPr>
      <t>幢</t>
    </r>
    <r>
      <rPr>
        <sz val="9"/>
        <rFont val="Arial"/>
        <family val="2"/>
      </rPr>
      <t>-1-1157</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</si>
  <si>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1158</t>
    </r>
    <phoneticPr fontId="137" type="noConversion"/>
  </si>
  <si>
    <r>
      <rPr>
        <sz val="9"/>
        <rFont val="Arial"/>
        <family val="2"/>
      </rPr>
      <t>31</t>
    </r>
    <r>
      <rPr>
        <sz val="9"/>
        <rFont val="宋体"/>
        <family val="3"/>
        <charset val="134"/>
      </rPr>
      <t>幢</t>
    </r>
    <r>
      <rPr>
        <sz val="9"/>
        <rFont val="Arial"/>
        <family val="2"/>
      </rPr>
      <t>-1-1159</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</si>
  <si>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1160</t>
    </r>
    <phoneticPr fontId="137" type="noConversion"/>
  </si>
  <si>
    <r>
      <rPr>
        <sz val="9"/>
        <rFont val="Arial"/>
        <family val="2"/>
      </rPr>
      <t>31</t>
    </r>
    <r>
      <rPr>
        <sz val="9"/>
        <rFont val="宋体"/>
        <family val="3"/>
        <charset val="134"/>
      </rPr>
      <t>幢</t>
    </r>
    <r>
      <rPr>
        <sz val="9"/>
        <rFont val="Arial"/>
        <family val="2"/>
      </rPr>
      <t>-1-1161</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</si>
  <si>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1162</t>
    </r>
    <phoneticPr fontId="137" type="noConversion"/>
  </si>
  <si>
    <r>
      <rPr>
        <sz val="9"/>
        <rFont val="Arial"/>
        <family val="2"/>
      </rPr>
      <t>31</t>
    </r>
    <r>
      <rPr>
        <sz val="9"/>
        <rFont val="宋体"/>
        <family val="3"/>
        <charset val="134"/>
      </rPr>
      <t>幢</t>
    </r>
    <r>
      <rPr>
        <sz val="9"/>
        <rFont val="Arial"/>
        <family val="2"/>
      </rPr>
      <t>-1-1163</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</si>
  <si>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1164</t>
    </r>
    <phoneticPr fontId="137" type="noConversion"/>
  </si>
  <si>
    <r>
      <rPr>
        <sz val="9"/>
        <rFont val="Arial"/>
        <family val="2"/>
      </rPr>
      <t>31</t>
    </r>
    <r>
      <rPr>
        <sz val="9"/>
        <rFont val="宋体"/>
        <family val="3"/>
        <charset val="134"/>
      </rPr>
      <t>幢</t>
    </r>
    <r>
      <rPr>
        <sz val="9"/>
        <rFont val="Arial"/>
        <family val="2"/>
      </rPr>
      <t>-1-1165</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</si>
  <si>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1170</t>
    </r>
    <phoneticPr fontId="137" type="noConversion"/>
  </si>
  <si>
    <r>
      <rPr>
        <sz val="9"/>
        <rFont val="Arial"/>
        <family val="2"/>
      </rPr>
      <t>31</t>
    </r>
    <r>
      <rPr>
        <sz val="9"/>
        <rFont val="宋体"/>
        <family val="3"/>
        <charset val="134"/>
      </rPr>
      <t>幢</t>
    </r>
    <r>
      <rPr>
        <sz val="9"/>
        <rFont val="Arial"/>
        <family val="2"/>
      </rPr>
      <t>-1-1171</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</si>
  <si>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1173</t>
    </r>
    <phoneticPr fontId="137" type="noConversion"/>
  </si>
  <si>
    <r>
      <rPr>
        <sz val="9"/>
        <rFont val="Arial"/>
        <family val="2"/>
      </rPr>
      <t>31</t>
    </r>
    <r>
      <rPr>
        <sz val="9"/>
        <rFont val="宋体"/>
        <family val="3"/>
        <charset val="134"/>
      </rPr>
      <t>幢</t>
    </r>
    <r>
      <rPr>
        <sz val="9"/>
        <rFont val="Arial"/>
        <family val="2"/>
      </rPr>
      <t>-1-1174</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</si>
  <si>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1175</t>
    </r>
    <phoneticPr fontId="137" type="noConversion"/>
  </si>
  <si>
    <r>
      <rPr>
        <sz val="9"/>
        <rFont val="Arial"/>
        <family val="2"/>
      </rPr>
      <t>31</t>
    </r>
    <r>
      <rPr>
        <sz val="9"/>
        <rFont val="宋体"/>
        <family val="3"/>
        <charset val="134"/>
      </rPr>
      <t>幢</t>
    </r>
    <r>
      <rPr>
        <sz val="9"/>
        <rFont val="Arial"/>
        <family val="2"/>
      </rPr>
      <t>-1-1176</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</si>
  <si>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1181</t>
    </r>
    <phoneticPr fontId="137" type="noConversion"/>
  </si>
  <si>
    <r>
      <rPr>
        <sz val="9"/>
        <rFont val="Arial"/>
        <family val="2"/>
      </rPr>
      <t>31</t>
    </r>
    <r>
      <rPr>
        <sz val="9"/>
        <rFont val="宋体"/>
        <family val="3"/>
        <charset val="134"/>
      </rPr>
      <t>幢</t>
    </r>
    <r>
      <rPr>
        <sz val="9"/>
        <rFont val="Arial"/>
        <family val="2"/>
      </rPr>
      <t>-1-1182</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</si>
  <si>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1195</t>
    </r>
    <phoneticPr fontId="137" type="noConversion"/>
  </si>
  <si>
    <r>
      <rPr>
        <sz val="9"/>
        <rFont val="Arial"/>
        <family val="2"/>
      </rPr>
      <t>31</t>
    </r>
    <r>
      <rPr>
        <sz val="9"/>
        <rFont val="宋体"/>
        <family val="3"/>
        <charset val="134"/>
      </rPr>
      <t>幢</t>
    </r>
    <r>
      <rPr>
        <sz val="9"/>
        <rFont val="Arial"/>
        <family val="2"/>
      </rPr>
      <t>-1-1196</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</si>
  <si>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1197</t>
    </r>
    <phoneticPr fontId="137" type="noConversion"/>
  </si>
  <si>
    <r>
      <rPr>
        <sz val="9"/>
        <rFont val="Arial"/>
        <family val="2"/>
      </rPr>
      <t>31</t>
    </r>
    <r>
      <rPr>
        <sz val="9"/>
        <rFont val="宋体"/>
        <family val="3"/>
        <charset val="134"/>
      </rPr>
      <t>幢</t>
    </r>
    <r>
      <rPr>
        <sz val="9"/>
        <rFont val="Arial"/>
        <family val="2"/>
      </rPr>
      <t>-1-1198</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</si>
  <si>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1199</t>
    </r>
    <phoneticPr fontId="137" type="noConversion"/>
  </si>
  <si>
    <r>
      <rPr>
        <sz val="9"/>
        <rFont val="Arial"/>
        <family val="2"/>
      </rPr>
      <t>31</t>
    </r>
    <r>
      <rPr>
        <sz val="9"/>
        <rFont val="宋体"/>
        <family val="3"/>
        <charset val="134"/>
      </rPr>
      <t>幢</t>
    </r>
    <r>
      <rPr>
        <sz val="9"/>
        <rFont val="Arial"/>
        <family val="2"/>
      </rPr>
      <t>-1-1200</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</si>
  <si>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1201</t>
    </r>
    <phoneticPr fontId="137" type="noConversion"/>
  </si>
  <si>
    <r>
      <rPr>
        <sz val="9"/>
        <rFont val="Arial"/>
        <family val="2"/>
      </rPr>
      <t>31</t>
    </r>
    <r>
      <rPr>
        <sz val="9"/>
        <rFont val="宋体"/>
        <family val="3"/>
        <charset val="134"/>
      </rPr>
      <t>幢</t>
    </r>
    <r>
      <rPr>
        <sz val="9"/>
        <rFont val="Arial"/>
        <family val="2"/>
      </rPr>
      <t>-1-1202</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</si>
  <si>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1203</t>
    </r>
    <phoneticPr fontId="137" type="noConversion"/>
  </si>
  <si>
    <r>
      <rPr>
        <sz val="9"/>
        <rFont val="Arial"/>
        <family val="2"/>
      </rPr>
      <t>31</t>
    </r>
    <r>
      <rPr>
        <sz val="9"/>
        <rFont val="宋体"/>
        <family val="3"/>
        <charset val="134"/>
      </rPr>
      <t>幢</t>
    </r>
    <r>
      <rPr>
        <sz val="9"/>
        <rFont val="Arial"/>
        <family val="2"/>
      </rPr>
      <t>-1-1204</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</si>
  <si>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1205</t>
    </r>
    <phoneticPr fontId="137" type="noConversion"/>
  </si>
  <si>
    <r>
      <rPr>
        <sz val="9"/>
        <rFont val="Arial"/>
        <family val="2"/>
      </rPr>
      <t>31</t>
    </r>
    <r>
      <rPr>
        <sz val="9"/>
        <rFont val="宋体"/>
        <family val="3"/>
        <charset val="134"/>
      </rPr>
      <t>幢</t>
    </r>
    <r>
      <rPr>
        <sz val="9"/>
        <rFont val="Arial"/>
        <family val="2"/>
      </rPr>
      <t>-1-1206</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</si>
  <si>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1207</t>
    </r>
    <phoneticPr fontId="137" type="noConversion"/>
  </si>
  <si>
    <r>
      <rPr>
        <sz val="9"/>
        <rFont val="Arial"/>
        <family val="2"/>
      </rPr>
      <t>31</t>
    </r>
    <r>
      <rPr>
        <sz val="9"/>
        <rFont val="宋体"/>
        <family val="3"/>
        <charset val="134"/>
      </rPr>
      <t>幢</t>
    </r>
    <r>
      <rPr>
        <sz val="9"/>
        <rFont val="Arial"/>
        <family val="2"/>
      </rPr>
      <t>-1-1224</t>
    </r>
    <phoneticPr fontId="137" type="noConversion"/>
  </si>
  <si>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1225</t>
    </r>
    <phoneticPr fontId="137" type="noConversion"/>
  </si>
  <si>
    <r>
      <rPr>
        <sz val="9"/>
        <rFont val="Arial"/>
        <family val="2"/>
      </rPr>
      <t>31</t>
    </r>
    <r>
      <rPr>
        <sz val="9"/>
        <rFont val="宋体"/>
        <family val="3"/>
        <charset val="134"/>
      </rPr>
      <t>幢</t>
    </r>
    <r>
      <rPr>
        <sz val="9"/>
        <rFont val="Arial"/>
        <family val="2"/>
      </rPr>
      <t>-1-1226</t>
    </r>
    <phoneticPr fontId="137" type="noConversion"/>
  </si>
  <si>
    <t>-2层</t>
    <phoneticPr fontId="137" type="noConversion"/>
  </si>
  <si>
    <t>-1层</t>
    <phoneticPr fontId="137" type="noConversion"/>
  </si>
  <si>
    <r>
      <t>10</t>
    </r>
    <r>
      <rPr>
        <sz val="9"/>
        <rFont val="宋体"/>
        <family val="3"/>
        <charset val="134"/>
      </rPr>
      <t>幢</t>
    </r>
    <phoneticPr fontId="6" type="noConversion"/>
  </si>
  <si>
    <r>
      <t>10</t>
    </r>
    <r>
      <rPr>
        <sz val="9"/>
        <rFont val="宋体"/>
        <family val="3"/>
        <charset val="134"/>
      </rPr>
      <t>幢</t>
    </r>
    <r>
      <rPr>
        <sz val="9"/>
        <rFont val="Arial"/>
        <family val="2"/>
      </rPr>
      <t>-1</t>
    </r>
    <r>
      <rPr>
        <sz val="9"/>
        <rFont val="宋体"/>
        <family val="3"/>
        <charset val="134"/>
      </rPr>
      <t>层</t>
    </r>
    <r>
      <rPr>
        <sz val="9"/>
        <rFont val="Arial"/>
        <family val="2"/>
      </rPr>
      <t>1026</t>
    </r>
    <phoneticPr fontId="6" type="noConversion"/>
  </si>
  <si>
    <r>
      <t>31</t>
    </r>
    <r>
      <rPr>
        <sz val="9"/>
        <rFont val="宋体"/>
        <family val="3"/>
        <charset val="134"/>
      </rPr>
      <t>幢</t>
    </r>
    <phoneticPr fontId="6" type="noConversion"/>
  </si>
  <si>
    <t>基准户型</t>
    <phoneticPr fontId="137" type="noConversion"/>
  </si>
  <si>
    <r>
      <t>10</t>
    </r>
    <r>
      <rPr>
        <b/>
        <sz val="10"/>
        <color indexed="10"/>
        <rFont val="宋体"/>
        <family val="3"/>
        <charset val="134"/>
      </rPr>
      <t>幢</t>
    </r>
    <r>
      <rPr>
        <b/>
        <sz val="10"/>
        <color indexed="10"/>
        <rFont val="Arial"/>
        <family val="2"/>
      </rPr>
      <t>-2-2001</t>
    </r>
    <phoneticPr fontId="27" type="noConversion"/>
  </si>
  <si>
    <t>楼层</t>
    <phoneticPr fontId="137" type="noConversion"/>
  </si>
  <si>
    <t>-1层</t>
  </si>
  <si>
    <t>-2层</t>
  </si>
  <si>
    <r>
      <t>-1</t>
    </r>
    <r>
      <rPr>
        <sz val="11"/>
        <color indexed="8"/>
        <rFont val="宋体"/>
        <family val="3"/>
        <charset val="134"/>
      </rPr>
      <t>层</t>
    </r>
    <phoneticPr fontId="34" type="noConversion"/>
  </si>
  <si>
    <r>
      <t>-2</t>
    </r>
    <r>
      <rPr>
        <sz val="11"/>
        <color indexed="8"/>
        <rFont val="宋体"/>
        <family val="3"/>
        <charset val="134"/>
      </rPr>
      <t>层</t>
    </r>
    <phoneticPr fontId="34" type="noConversion"/>
  </si>
  <si>
    <r>
      <t>京（2</t>
    </r>
    <r>
      <rPr>
        <sz val="11"/>
        <color theme="1"/>
        <rFont val="宋体"/>
        <family val="3"/>
        <charset val="134"/>
        <scheme val="minor"/>
      </rPr>
      <t>021）房不动产权第0015817号</t>
    </r>
    <phoneticPr fontId="137" type="noConversion"/>
  </si>
  <si>
    <t>不动产权证书证号</t>
    <phoneticPr fontId="137" type="noConversion"/>
  </si>
  <si>
    <t>坐落</t>
    <phoneticPr fontId="137" type="noConversion"/>
  </si>
  <si>
    <r>
      <t>房山区揽秀南街1</t>
    </r>
    <r>
      <rPr>
        <sz val="11"/>
        <color theme="1"/>
        <rFont val="宋体"/>
        <family val="3"/>
        <charset val="134"/>
        <scheme val="minor"/>
      </rPr>
      <t>5号院5号楼1至5层二单元3等[12]套</t>
    </r>
    <phoneticPr fontId="137" type="noConversion"/>
  </si>
  <si>
    <t>房屋建筑面积</t>
    <phoneticPr fontId="137" type="noConversion"/>
  </si>
  <si>
    <t>结构</t>
    <phoneticPr fontId="137" type="noConversion"/>
  </si>
  <si>
    <t>钢混</t>
    <phoneticPr fontId="137" type="noConversion"/>
  </si>
  <si>
    <t>总层数</t>
    <phoneticPr fontId="137" type="noConversion"/>
  </si>
  <si>
    <r>
      <t>5（</t>
    </r>
    <r>
      <rPr>
        <sz val="11"/>
        <color theme="1"/>
        <rFont val="宋体"/>
        <family val="3"/>
        <charset val="134"/>
        <scheme val="minor"/>
      </rPr>
      <t>-02）</t>
    </r>
    <phoneticPr fontId="137" type="noConversion"/>
  </si>
  <si>
    <t>5号楼</t>
    <phoneticPr fontId="137" type="noConversion"/>
  </si>
  <si>
    <t>楼号</t>
    <phoneticPr fontId="137" type="noConversion"/>
  </si>
  <si>
    <t>京（2021）房不动产权第0015824号</t>
    <phoneticPr fontId="137" type="noConversion"/>
  </si>
  <si>
    <t>6号楼</t>
    <phoneticPr fontId="137" type="noConversion"/>
  </si>
  <si>
    <t>京（2021）房不动产权第0026317号</t>
    <phoneticPr fontId="137" type="noConversion"/>
  </si>
  <si>
    <t>房山区揽秀南街15号院6号楼1至5层二单元3等[12]套</t>
    <phoneticPr fontId="137" type="noConversion"/>
  </si>
  <si>
    <t>房山区揽秀南街15号院7号楼1至5层二单元3等[12]套</t>
    <phoneticPr fontId="137" type="noConversion"/>
  </si>
  <si>
    <t>7号楼</t>
    <phoneticPr fontId="137" type="noConversion"/>
  </si>
  <si>
    <t>京（2021）房不动产权第0026318号</t>
    <phoneticPr fontId="137" type="noConversion"/>
  </si>
  <si>
    <t>房山区揽秀南街15号院8号楼1至5层二单元3等[12]套</t>
    <phoneticPr fontId="137" type="noConversion"/>
  </si>
  <si>
    <t>8号楼</t>
    <phoneticPr fontId="137" type="noConversion"/>
  </si>
  <si>
    <t>京（2021）房不动产权第0026319号</t>
    <phoneticPr fontId="137" type="noConversion"/>
  </si>
  <si>
    <t>房山区揽秀南街15号院9号楼1至5层二单元3等[12]套</t>
    <phoneticPr fontId="137" type="noConversion"/>
  </si>
  <si>
    <t>9号楼</t>
    <phoneticPr fontId="137" type="noConversion"/>
  </si>
  <si>
    <t>京（2021）房不动产权第0015820号</t>
    <phoneticPr fontId="137" type="noConversion"/>
  </si>
  <si>
    <t>房山区揽秀南街15号院15号楼1至5层二单元3等[12]套</t>
    <phoneticPr fontId="137" type="noConversion"/>
  </si>
  <si>
    <r>
      <t>1</t>
    </r>
    <r>
      <rPr>
        <sz val="11"/>
        <color theme="1"/>
        <rFont val="宋体"/>
        <family val="3"/>
        <charset val="134"/>
        <scheme val="minor"/>
      </rPr>
      <t>5号楼</t>
    </r>
    <phoneticPr fontId="137" type="noConversion"/>
  </si>
  <si>
    <t>京（2021）房不动产权第0015821号</t>
    <phoneticPr fontId="137" type="noConversion"/>
  </si>
  <si>
    <t>房山区揽秀南街15号院16号楼1至5层二单元3等[12]套</t>
    <phoneticPr fontId="137" type="noConversion"/>
  </si>
  <si>
    <r>
      <t>1</t>
    </r>
    <r>
      <rPr>
        <sz val="11"/>
        <color theme="1"/>
        <rFont val="宋体"/>
        <family val="3"/>
        <charset val="134"/>
        <scheme val="minor"/>
      </rPr>
      <t>6号楼</t>
    </r>
    <phoneticPr fontId="137" type="noConversion"/>
  </si>
  <si>
    <t>京（2021）房不动产权第0015822号</t>
    <phoneticPr fontId="137" type="noConversion"/>
  </si>
  <si>
    <t>房山区揽秀南街15号院17号楼1至5层二单元3等[12]套</t>
    <phoneticPr fontId="137" type="noConversion"/>
  </si>
  <si>
    <r>
      <t>1</t>
    </r>
    <r>
      <rPr>
        <sz val="11"/>
        <color theme="1"/>
        <rFont val="宋体"/>
        <family val="3"/>
        <charset val="134"/>
        <scheme val="minor"/>
      </rPr>
      <t>7号楼</t>
    </r>
    <phoneticPr fontId="137" type="noConversion"/>
  </si>
  <si>
    <t>京（2021）房不动产权第0026323号</t>
    <phoneticPr fontId="137" type="noConversion"/>
  </si>
  <si>
    <t>房山区揽秀南街13号院10幢-2层-2076等[316]套</t>
    <phoneticPr fontId="137" type="noConversion"/>
  </si>
  <si>
    <t>京（2021）房不动产权第0016449号</t>
    <phoneticPr fontId="137" type="noConversion"/>
  </si>
  <si>
    <t>房山区揽秀南街13号院10幢-1层-1269等[309]套</t>
    <phoneticPr fontId="137" type="noConversion"/>
  </si>
  <si>
    <t>京（2021）房不动产权第0016487号</t>
    <phoneticPr fontId="137" type="noConversion"/>
  </si>
  <si>
    <r>
      <t>3</t>
    </r>
    <r>
      <rPr>
        <sz val="11"/>
        <color theme="1"/>
        <rFont val="宋体"/>
        <family val="3"/>
        <charset val="134"/>
        <scheme val="minor"/>
      </rPr>
      <t>0幢</t>
    </r>
    <phoneticPr fontId="137" type="noConversion"/>
  </si>
  <si>
    <t>钢混</t>
    <phoneticPr fontId="137" type="noConversion"/>
  </si>
  <si>
    <t>车位，配套商业</t>
    <phoneticPr fontId="137" type="noConversion"/>
  </si>
  <si>
    <t>京（2021）房不动产权第0016450号</t>
    <phoneticPr fontId="137" type="noConversion"/>
  </si>
  <si>
    <t>房山区揽秀南街15号院31幢-1层-1079等[459]套</t>
    <phoneticPr fontId="137" type="noConversion"/>
  </si>
  <si>
    <t>车位</t>
    <phoneticPr fontId="137" type="noConversion"/>
  </si>
  <si>
    <r>
      <t>3</t>
    </r>
    <r>
      <rPr>
        <sz val="11"/>
        <color theme="1"/>
        <rFont val="宋体"/>
        <family val="3"/>
        <charset val="134"/>
        <scheme val="minor"/>
      </rPr>
      <t>1幢</t>
    </r>
    <phoneticPr fontId="137" type="noConversion"/>
  </si>
  <si>
    <t>房山区揽秀南街15号院30幢-1层-1079等[354]套</t>
    <phoneticPr fontId="137" type="noConversion"/>
  </si>
  <si>
    <t>10幢-2-2001</t>
  </si>
  <si>
    <t>收益法-住宅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</si>
</sst>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10804]#,##0.00;\-#,##0.00"/>
    <numFmt numFmtId="198" formatCode="\ \ 0.00_ "/>
    <numFmt numFmtId="199" formatCode="\ @"/>
    <numFmt numFmtId="200" formatCode="#,##0.00_ "/>
  </numFmts>
  <fonts count="281">
    <font>
      <sz val="11"/>
      <color theme="1"/>
      <name val="宋体"/>
      <charset val="134"/>
      <scheme val="minor"/>
    </font>
    <font>
      <sz val="11"/>
      <color theme="1"/>
      <name val="宋体"/>
      <family val="2"/>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name val="Arial"/>
      <family val="3"/>
      <charset val="134"/>
    </font>
    <font>
      <sz val="12"/>
      <color theme="1"/>
      <name val="宋体"/>
      <family val="2"/>
      <scheme val="minor"/>
    </font>
    <font>
      <sz val="9"/>
      <color rgb="FF000000"/>
      <name val="宋体"/>
      <family val="3"/>
      <charset val="134"/>
    </font>
    <font>
      <sz val="9"/>
      <color theme="1"/>
      <name val="Arial"/>
      <family val="2"/>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s>
  <cellStyleXfs count="31">
    <xf numFmtId="0" fontId="0" fillId="0" borderId="0">
      <alignment vertical="center"/>
    </xf>
    <xf numFmtId="0" fontId="98" fillId="0" borderId="0">
      <alignment vertical="center"/>
    </xf>
    <xf numFmtId="0" fontId="98" fillId="0" borderId="0"/>
    <xf numFmtId="0" fontId="98" fillId="0" borderId="0">
      <alignment vertical="center"/>
    </xf>
    <xf numFmtId="0" fontId="39"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5" fillId="0" borderId="0">
      <alignment vertical="center"/>
    </xf>
    <xf numFmtId="0" fontId="98" fillId="0" borderId="0">
      <alignment vertical="center"/>
    </xf>
    <xf numFmtId="0" fontId="4" fillId="0" borderId="0">
      <alignment vertical="center"/>
    </xf>
    <xf numFmtId="0" fontId="162" fillId="0" borderId="0"/>
    <xf numFmtId="0" fontId="4" fillId="0" borderId="0">
      <alignment vertical="center"/>
    </xf>
    <xf numFmtId="9" fontId="39" fillId="0" borderId="0" applyFont="0" applyFill="0" applyBorder="0" applyAlignment="0" applyProtection="0">
      <alignment vertical="center"/>
    </xf>
    <xf numFmtId="0" fontId="98" fillId="0" borderId="0">
      <alignment vertical="center"/>
    </xf>
    <xf numFmtId="0" fontId="4" fillId="0" borderId="0">
      <alignment vertical="center"/>
    </xf>
    <xf numFmtId="9" fontId="248" fillId="0" borderId="0" applyFont="0" applyFill="0" applyBorder="0" applyAlignment="0" applyProtection="0">
      <alignment vertical="center"/>
    </xf>
    <xf numFmtId="192" fontId="98" fillId="0" borderId="0">
      <alignment vertical="center"/>
    </xf>
    <xf numFmtId="0" fontId="2" fillId="0" borderId="0"/>
    <xf numFmtId="9" fontId="98" fillId="0" borderId="0" applyFont="0" applyFill="0" applyBorder="0" applyAlignment="0" applyProtection="0">
      <alignment vertical="center"/>
    </xf>
    <xf numFmtId="197" fontId="98" fillId="0" borderId="0"/>
    <xf numFmtId="197" fontId="98" fillId="0" borderId="0">
      <alignment vertical="center"/>
    </xf>
    <xf numFmtId="197" fontId="98" fillId="0" borderId="0">
      <alignment vertical="center"/>
    </xf>
    <xf numFmtId="197" fontId="98" fillId="0" borderId="0">
      <alignment vertical="center"/>
    </xf>
    <xf numFmtId="197" fontId="98" fillId="0" borderId="0">
      <alignment vertical="center"/>
    </xf>
    <xf numFmtId="197" fontId="98" fillId="0" borderId="0">
      <alignment vertical="center"/>
    </xf>
    <xf numFmtId="197" fontId="98" fillId="0" borderId="0">
      <alignment vertical="center"/>
    </xf>
    <xf numFmtId="197" fontId="98" fillId="0" borderId="0">
      <alignment vertical="center"/>
    </xf>
    <xf numFmtId="0" fontId="277" fillId="0" borderId="0"/>
    <xf numFmtId="9" fontId="98" fillId="0" borderId="0" applyFont="0" applyFill="0" applyBorder="0" applyAlignment="0" applyProtection="0">
      <alignment vertical="center"/>
    </xf>
  </cellStyleXfs>
  <cellXfs count="3584">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lignment vertical="center"/>
    </xf>
    <xf numFmtId="0" fontId="101" fillId="6" borderId="0" xfId="0" applyFont="1" applyFill="1" applyAlignment="1">
      <alignment horizontal="center" vertical="center"/>
    </xf>
    <xf numFmtId="0" fontId="101" fillId="6" borderId="0" xfId="0" applyFont="1" applyFill="1">
      <alignment vertical="center"/>
    </xf>
    <xf numFmtId="0" fontId="49" fillId="6" borderId="5" xfId="0" applyFont="1" applyFill="1" applyBorder="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lignment horizontal="center" vertical="center" wrapText="1"/>
    </xf>
    <xf numFmtId="0" fontId="50" fillId="6" borderId="5" xfId="0" applyFont="1" applyFill="1" applyBorder="1" applyAlignment="1">
      <alignment horizontal="left" vertical="center"/>
    </xf>
    <xf numFmtId="176" fontId="50" fillId="6" borderId="1" xfId="0" applyNumberFormat="1" applyFont="1" applyFill="1" applyBorder="1" applyAlignment="1">
      <alignment horizontal="center" vertical="center" wrapText="1"/>
    </xf>
    <xf numFmtId="0" fontId="50" fillId="6" borderId="6" xfId="0" applyFont="1" applyFill="1" applyBorder="1" applyAlignment="1">
      <alignment horizontal="center" vertical="center" wrapText="1"/>
    </xf>
    <xf numFmtId="176" fontId="50" fillId="6" borderId="9" xfId="0" applyNumberFormat="1" applyFont="1" applyFill="1" applyBorder="1" applyAlignment="1">
      <alignment horizontal="center" vertical="center" wrapText="1"/>
    </xf>
    <xf numFmtId="176" fontId="50" fillId="6" borderId="10" xfId="0" applyNumberFormat="1" applyFont="1" applyFill="1" applyBorder="1" applyAlignment="1">
      <alignment horizontal="center" vertical="center" wrapText="1"/>
    </xf>
    <xf numFmtId="176" fontId="50" fillId="6" borderId="13" xfId="0" applyNumberFormat="1" applyFont="1" applyFill="1" applyBorder="1" applyAlignment="1">
      <alignment horizontal="center" vertical="center" wrapText="1"/>
    </xf>
    <xf numFmtId="176" fontId="50" fillId="6" borderId="23" xfId="0" applyNumberFormat="1" applyFont="1" applyFill="1" applyBorder="1" applyAlignment="1">
      <alignment horizontal="center" vertical="center" wrapText="1"/>
    </xf>
    <xf numFmtId="176" fontId="50" fillId="6" borderId="24" xfId="0" applyNumberFormat="1" applyFont="1" applyFill="1" applyBorder="1" applyAlignment="1">
      <alignment horizontal="center" vertical="center" wrapText="1"/>
    </xf>
    <xf numFmtId="0" fontId="50" fillId="6" borderId="13" xfId="0" applyFont="1" applyFill="1" applyBorder="1" applyAlignment="1">
      <alignment horizontal="center" vertical="center" wrapText="1"/>
    </xf>
    <xf numFmtId="0" fontId="50" fillId="6" borderId="1" xfId="0" applyFont="1" applyFill="1" applyBorder="1" applyAlignment="1">
      <alignment horizontal="center" vertical="center"/>
    </xf>
    <xf numFmtId="0" fontId="50" fillId="6" borderId="13" xfId="0" applyFont="1" applyFill="1" applyBorder="1" applyAlignment="1">
      <alignment horizontal="center" vertical="center"/>
    </xf>
    <xf numFmtId="0" fontId="50" fillId="6" borderId="48" xfId="0" applyFont="1" applyFill="1" applyBorder="1" applyAlignment="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lignment horizontal="center" vertical="center"/>
    </xf>
    <xf numFmtId="0" fontId="50" fillId="6" borderId="2" xfId="0" applyFont="1" applyFill="1" applyBorder="1" applyAlignment="1">
      <alignment horizontal="center" vertical="center"/>
    </xf>
    <xf numFmtId="0" fontId="50"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176" fontId="50" fillId="0" borderId="2" xfId="0" applyNumberFormat="1" applyFont="1" applyBorder="1" applyAlignment="1" applyProtection="1">
      <alignment horizontal="center" vertical="center" wrapText="1"/>
      <protection locked="0"/>
    </xf>
    <xf numFmtId="176" fontId="50" fillId="6" borderId="2" xfId="0" applyNumberFormat="1" applyFont="1" applyFill="1" applyBorder="1" applyAlignment="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0" fontId="47" fillId="6" borderId="3" xfId="0"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9" fillId="6" borderId="13" xfId="0" applyFont="1" applyFill="1" applyBorder="1">
      <alignment vertical="center"/>
    </xf>
    <xf numFmtId="0" fontId="47" fillId="6" borderId="11" xfId="0" applyFont="1" applyFill="1" applyBorder="1">
      <alignment vertical="center"/>
    </xf>
    <xf numFmtId="0" fontId="47" fillId="6" borderId="1" xfId="0" applyFont="1" applyFill="1" applyBorder="1">
      <alignment vertical="center"/>
    </xf>
    <xf numFmtId="176" fontId="47" fillId="6" borderId="24" xfId="0" applyNumberFormat="1" applyFont="1" applyFill="1" applyBorder="1">
      <alignment vertical="center"/>
    </xf>
    <xf numFmtId="0" fontId="47" fillId="6" borderId="13" xfId="0" applyFont="1" applyFill="1" applyBorder="1">
      <alignment vertical="center"/>
    </xf>
    <xf numFmtId="0" fontId="47" fillId="6" borderId="24" xfId="0" applyFont="1" applyFill="1" applyBorder="1">
      <alignment vertical="center"/>
    </xf>
    <xf numFmtId="0" fontId="47" fillId="0" borderId="24" xfId="0" applyFont="1" applyBorder="1" applyProtection="1">
      <alignment vertical="center"/>
      <protection locked="0"/>
    </xf>
    <xf numFmtId="0" fontId="47" fillId="6" borderId="61" xfId="0" applyFont="1" applyFill="1" applyBorder="1">
      <alignment vertical="center"/>
    </xf>
    <xf numFmtId="179"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176" fontId="47" fillId="6" borderId="1" xfId="0" applyNumberFormat="1" applyFont="1" applyFill="1" applyBorder="1">
      <alignment vertical="center"/>
    </xf>
    <xf numFmtId="0" fontId="50" fillId="0" borderId="1" xfId="0" applyFont="1" applyBorder="1" applyAlignment="1" applyProtection="1">
      <alignment horizontal="center" vertical="center"/>
      <protection locked="0"/>
    </xf>
    <xf numFmtId="177" fontId="47" fillId="0" borderId="3" xfId="1" applyNumberFormat="1" applyFont="1" applyBorder="1" applyProtection="1">
      <alignment vertical="center"/>
      <protection locked="0"/>
    </xf>
    <xf numFmtId="0" fontId="47" fillId="6" borderId="3" xfId="0" applyFont="1" applyFill="1" applyBorder="1">
      <alignment vertical="center"/>
    </xf>
    <xf numFmtId="0" fontId="47" fillId="6" borderId="48" xfId="0" applyFont="1" applyFill="1" applyBorder="1">
      <alignment vertical="center"/>
    </xf>
    <xf numFmtId="0" fontId="47" fillId="6" borderId="22" xfId="0" applyFont="1" applyFill="1" applyBorder="1">
      <alignment vertical="center"/>
    </xf>
    <xf numFmtId="0" fontId="49" fillId="6" borderId="27" xfId="0" applyFont="1" applyFill="1" applyBorder="1" applyAlignment="1">
      <alignment vertical="center" wrapText="1"/>
    </xf>
    <xf numFmtId="0" fontId="47" fillId="6" borderId="29" xfId="0" applyFont="1" applyFill="1" applyBorder="1" applyAlignment="1">
      <alignment horizontal="center" vertical="center" wrapText="1"/>
    </xf>
    <xf numFmtId="0" fontId="47" fillId="6" borderId="10" xfId="0" applyFont="1" applyFill="1" applyBorder="1" applyAlignment="1">
      <alignment horizontal="center" vertical="center" wrapText="1"/>
    </xf>
    <xf numFmtId="0" fontId="47" fillId="6" borderId="28" xfId="0" applyFont="1" applyFill="1" applyBorder="1" applyAlignment="1">
      <alignment horizontal="center" vertical="center" wrapText="1"/>
    </xf>
    <xf numFmtId="179" fontId="54" fillId="6" borderId="1" xfId="1" applyNumberFormat="1" applyFont="1" applyFill="1" applyBorder="1" applyAlignment="1">
      <alignment horizontal="center" vertical="center"/>
    </xf>
    <xf numFmtId="180" fontId="54" fillId="6" borderId="1" xfId="1" applyNumberFormat="1" applyFont="1" applyFill="1" applyBorder="1" applyAlignment="1">
      <alignment horizontal="center" vertical="center"/>
    </xf>
    <xf numFmtId="181" fontId="47" fillId="0" borderId="1" xfId="0" applyNumberFormat="1" applyFont="1" applyBorder="1" applyAlignment="1" applyProtection="1">
      <alignment horizontal="center" vertical="center"/>
      <protection locked="0"/>
    </xf>
    <xf numFmtId="0" fontId="47" fillId="6" borderId="1" xfId="1" applyFont="1" applyFill="1" applyBorder="1" applyAlignment="1">
      <alignment horizontal="center" vertical="center"/>
    </xf>
    <xf numFmtId="0" fontId="47" fillId="6" borderId="5" xfId="0" applyFont="1" applyFill="1" applyBorder="1" applyAlignment="1">
      <alignment horizontal="center" vertical="center"/>
    </xf>
    <xf numFmtId="179" fontId="47" fillId="6" borderId="23" xfId="1" applyNumberFormat="1" applyFont="1" applyFill="1" applyBorder="1" applyAlignment="1">
      <alignment horizontal="center" vertical="center"/>
    </xf>
    <xf numFmtId="181" fontId="47" fillId="0" borderId="1" xfId="0" applyNumberFormat="1" applyFont="1" applyBorder="1" applyProtection="1">
      <alignment vertical="center"/>
      <protection locked="0"/>
    </xf>
    <xf numFmtId="181" fontId="47" fillId="0" borderId="24" xfId="0" applyNumberFormat="1" applyFont="1" applyBorder="1" applyProtection="1">
      <alignment vertical="center"/>
      <protection locked="0"/>
    </xf>
    <xf numFmtId="0" fontId="47" fillId="0" borderId="3" xfId="0" applyFont="1" applyBorder="1" applyProtection="1">
      <alignment vertical="center"/>
      <protection locked="0"/>
    </xf>
    <xf numFmtId="181" fontId="47" fillId="0" borderId="5"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0" fontId="47" fillId="0" borderId="1" xfId="1" applyNumberFormat="1"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lignment vertical="center"/>
    </xf>
    <xf numFmtId="0" fontId="49" fillId="6" borderId="32" xfId="1" applyFont="1" applyFill="1" applyBorder="1" applyAlignment="1">
      <alignment horizontal="center" vertical="center"/>
    </xf>
    <xf numFmtId="181" fontId="49" fillId="6" borderId="32" xfId="1" applyNumberFormat="1" applyFont="1" applyFill="1" applyBorder="1">
      <alignment vertical="center"/>
    </xf>
    <xf numFmtId="0" fontId="49" fillId="6" borderId="49" xfId="1" applyFont="1" applyFill="1" applyBorder="1">
      <alignment vertical="center"/>
    </xf>
    <xf numFmtId="176" fontId="47" fillId="6" borderId="25" xfId="0" applyNumberFormat="1" applyFont="1" applyFill="1" applyBorder="1" applyAlignment="1">
      <alignment horizontal="center" vertical="center"/>
    </xf>
    <xf numFmtId="0" fontId="47" fillId="6" borderId="32" xfId="1" applyFont="1" applyFill="1" applyBorder="1" applyAlignment="1">
      <alignment horizontal="center" vertical="center"/>
    </xf>
    <xf numFmtId="10" fontId="47" fillId="6" borderId="32" xfId="1" applyNumberFormat="1" applyFont="1" applyFill="1" applyBorder="1" applyAlignment="1">
      <alignment horizontal="center" vertical="center"/>
    </xf>
    <xf numFmtId="9" fontId="47" fillId="6" borderId="33" xfId="0" applyNumberFormat="1" applyFont="1" applyFill="1" applyBorder="1" applyAlignment="1">
      <alignment horizontal="center" vertical="center"/>
    </xf>
    <xf numFmtId="179" fontId="47" fillId="6" borderId="66" xfId="1" applyNumberFormat="1" applyFont="1" applyFill="1" applyBorder="1" applyAlignment="1">
      <alignment horizontal="center" vertical="center"/>
    </xf>
    <xf numFmtId="0" fontId="47" fillId="6" borderId="68" xfId="1" applyFont="1" applyFill="1" applyBorder="1" applyAlignment="1">
      <alignment horizontal="center" vertical="center"/>
    </xf>
    <xf numFmtId="0" fontId="47" fillId="6" borderId="25" xfId="0" applyFont="1" applyFill="1" applyBorder="1">
      <alignment vertical="center"/>
    </xf>
    <xf numFmtId="0" fontId="47" fillId="6" borderId="32" xfId="0" applyFont="1" applyFill="1" applyBorder="1">
      <alignment vertical="center"/>
    </xf>
    <xf numFmtId="0" fontId="47" fillId="6" borderId="49" xfId="0" applyFont="1" applyFill="1" applyBorder="1">
      <alignment vertical="center"/>
    </xf>
    <xf numFmtId="0" fontId="47" fillId="6" borderId="66" xfId="0" applyFont="1" applyFill="1" applyBorder="1">
      <alignment vertical="center"/>
    </xf>
    <xf numFmtId="0" fontId="47" fillId="6" borderId="33" xfId="0" applyFont="1" applyFill="1" applyBorder="1">
      <alignment vertical="center"/>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176" fontId="54" fillId="6" borderId="24" xfId="1" applyNumberFormat="1" applyFont="1" applyFill="1" applyBorder="1" applyAlignment="1">
      <alignment horizontal="center" vertical="center"/>
    </xf>
    <xf numFmtId="176" fontId="54" fillId="6" borderId="49" xfId="1" applyNumberFormat="1" applyFont="1" applyFill="1" applyBorder="1" applyAlignment="1">
      <alignment horizontal="center" vertical="center"/>
    </xf>
    <xf numFmtId="0" fontId="56" fillId="0" borderId="10" xfId="1"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4" fillId="6" borderId="24" xfId="1" applyFont="1" applyFill="1" applyBorder="1" applyAlignment="1">
      <alignment horizontal="center" vertical="center"/>
    </xf>
    <xf numFmtId="0" fontId="56" fillId="0" borderId="49" xfId="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6" borderId="10" xfId="0" applyNumberFormat="1" applyFont="1" applyFill="1" applyBorder="1" applyAlignment="1">
      <alignment horizontal="center" vertical="center"/>
    </xf>
    <xf numFmtId="10" fontId="47" fillId="0" borderId="61" xfId="0" applyNumberFormat="1" applyFont="1" applyBorder="1" applyAlignment="1" applyProtection="1">
      <alignment horizontal="center" vertical="center"/>
      <protection locked="0"/>
    </xf>
    <xf numFmtId="182" fontId="47" fillId="6" borderId="61" xfId="0" applyNumberFormat="1" applyFont="1" applyFill="1" applyBorder="1" applyAlignment="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10" fontId="47" fillId="6" borderId="62" xfId="0" applyNumberFormat="1" applyFont="1" applyFill="1" applyBorder="1" applyAlignment="1">
      <alignment horizontal="center" vertical="center"/>
    </xf>
    <xf numFmtId="10" fontId="47" fillId="6" borderId="49" xfId="0" applyNumberFormat="1" applyFont="1" applyFill="1" applyBorder="1" applyAlignment="1">
      <alignment horizontal="center" vertical="center"/>
    </xf>
    <xf numFmtId="178" fontId="47" fillId="6" borderId="62" xfId="0" applyNumberFormat="1" applyFont="1" applyFill="1" applyBorder="1" applyAlignment="1">
      <alignment horizontal="center" vertical="center"/>
    </xf>
    <xf numFmtId="0" fontId="47" fillId="0" borderId="49" xfId="0" applyFont="1" applyBorder="1" applyProtection="1">
      <alignment vertical="center"/>
      <protection locked="0"/>
    </xf>
    <xf numFmtId="0" fontId="47" fillId="6" borderId="24" xfId="0" applyFont="1" applyFill="1" applyBorder="1" applyAlignment="1">
      <alignment horizontal="center" vertical="center" wrapText="1"/>
    </xf>
    <xf numFmtId="0" fontId="47" fillId="6" borderId="49" xfId="0" applyFont="1" applyFill="1" applyBorder="1" applyAlignment="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lignment vertical="center"/>
    </xf>
    <xf numFmtId="0" fontId="47" fillId="6" borderId="2" xfId="0" applyFont="1" applyFill="1" applyBorder="1" applyAlignment="1">
      <alignment horizontal="center" vertical="center"/>
    </xf>
    <xf numFmtId="179" fontId="47" fillId="6" borderId="13" xfId="0" applyNumberFormat="1" applyFont="1" applyFill="1" applyBorder="1" applyAlignment="1">
      <alignment horizontal="center" vertical="center"/>
    </xf>
    <xf numFmtId="0" fontId="101" fillId="6" borderId="9" xfId="0" applyFont="1" applyFill="1" applyBorder="1" applyAlignment="1">
      <alignment horizontal="center" vertical="center"/>
    </xf>
    <xf numFmtId="0" fontId="101" fillId="6" borderId="10" xfId="0" applyFont="1" applyFill="1" applyBorder="1" applyAlignment="1">
      <alignment horizontal="center" vertical="center"/>
    </xf>
    <xf numFmtId="0" fontId="47" fillId="6" borderId="28" xfId="0" applyFont="1" applyFill="1" applyBorder="1" applyAlignment="1">
      <alignment horizontal="right" vertical="center"/>
    </xf>
    <xf numFmtId="0" fontId="101" fillId="6" borderId="1" xfId="0" applyFont="1" applyFill="1" applyBorder="1" applyAlignment="1">
      <alignment horizontal="center" vertical="center"/>
    </xf>
    <xf numFmtId="0" fontId="101" fillId="6" borderId="24" xfId="0" applyFont="1" applyFill="1" applyBorder="1" applyAlignment="1">
      <alignment horizontal="center" vertical="center"/>
    </xf>
    <xf numFmtId="0" fontId="47" fillId="6" borderId="5" xfId="0" applyFont="1" applyFill="1" applyBorder="1" applyAlignment="1">
      <alignment horizontal="right" vertical="center"/>
    </xf>
    <xf numFmtId="0" fontId="47" fillId="6" borderId="33" xfId="0" applyFont="1" applyFill="1" applyBorder="1" applyAlignment="1">
      <alignment horizontal="right" vertical="center"/>
    </xf>
    <xf numFmtId="0" fontId="47" fillId="6" borderId="4" xfId="0" applyFont="1" applyFill="1" applyBorder="1" applyAlignment="1">
      <alignment horizontal="right" vertical="center"/>
    </xf>
    <xf numFmtId="0" fontId="103" fillId="0" borderId="1" xfId="0" applyFont="1" applyBorder="1" applyAlignment="1" applyProtection="1">
      <alignment horizontal="center" vertical="center"/>
      <protection locked="0"/>
    </xf>
    <xf numFmtId="0" fontId="103" fillId="0" borderId="24" xfId="0" applyFont="1" applyBorder="1" applyAlignment="1" applyProtection="1">
      <alignment horizontal="center" vertical="center"/>
      <protection locked="0"/>
    </xf>
    <xf numFmtId="0" fontId="47" fillId="6" borderId="2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0" fontId="50" fillId="6" borderId="1" xfId="0" applyFont="1" applyFill="1" applyBorder="1">
      <alignment vertical="center"/>
    </xf>
    <xf numFmtId="0" fontId="49" fillId="0" borderId="24" xfId="0" applyFont="1" applyBorder="1" applyAlignment="1" applyProtection="1">
      <alignment horizontal="center" vertical="center"/>
      <protection locked="0"/>
    </xf>
    <xf numFmtId="0" fontId="49" fillId="6" borderId="4" xfId="0" applyFont="1" applyFill="1" applyBorder="1" applyAlignment="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lignment vertical="center"/>
    </xf>
    <xf numFmtId="0" fontId="50" fillId="6" borderId="36" xfId="0" applyFont="1" applyFill="1" applyBorder="1" applyAlignment="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lignment horizontal="left" vertical="center" wrapText="1"/>
    </xf>
    <xf numFmtId="0" fontId="55" fillId="6" borderId="60" xfId="0" applyFont="1" applyFill="1" applyBorder="1" applyAlignment="1">
      <alignment horizontal="left" vertical="center" wrapText="1"/>
    </xf>
    <xf numFmtId="0" fontId="55" fillId="6" borderId="7" xfId="0" applyFont="1" applyFill="1" applyBorder="1" applyAlignment="1">
      <alignment horizontal="left" vertical="center" wrapText="1"/>
    </xf>
    <xf numFmtId="0" fontId="55" fillId="6" borderId="1" xfId="0" applyFont="1" applyFill="1" applyBorder="1" applyAlignment="1">
      <alignment horizontal="left" vertical="center" wrapText="1"/>
    </xf>
    <xf numFmtId="0" fontId="50" fillId="6" borderId="46" xfId="0" applyFont="1" applyFill="1" applyBorder="1">
      <alignment vertical="center"/>
    </xf>
    <xf numFmtId="10" fontId="50" fillId="6" borderId="5" xfId="0" applyNumberFormat="1" applyFont="1" applyFill="1" applyBorder="1" applyAlignment="1">
      <alignment horizontal="center" vertical="center"/>
    </xf>
    <xf numFmtId="0" fontId="50" fillId="6" borderId="10" xfId="0" applyFont="1" applyFill="1" applyBorder="1" applyAlignment="1">
      <alignment horizontal="left" vertical="center" wrapText="1"/>
    </xf>
    <xf numFmtId="0" fontId="57" fillId="6" borderId="2" xfId="0" applyFont="1" applyFill="1" applyBorder="1" applyAlignment="1">
      <alignment horizontal="left" vertical="center" wrapText="1"/>
    </xf>
    <xf numFmtId="0" fontId="50" fillId="6" borderId="8" xfId="0" applyFont="1" applyFill="1" applyBorder="1" applyAlignment="1">
      <alignment horizontal="left" vertical="center" wrapText="1"/>
    </xf>
    <xf numFmtId="49" fontId="50"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0" fontId="50" fillId="6" borderId="24" xfId="0" applyFont="1" applyFill="1" applyBorder="1" applyAlignment="1">
      <alignment horizontal="left" vertical="center" wrapText="1"/>
    </xf>
    <xf numFmtId="49" fontId="55" fillId="6" borderId="23" xfId="0" applyNumberFormat="1" applyFont="1" applyFill="1" applyBorder="1" applyAlignment="1">
      <alignment horizontal="left" vertical="center" wrapText="1"/>
    </xf>
    <xf numFmtId="0" fontId="57" fillId="6" borderId="1" xfId="0" applyFont="1" applyFill="1" applyBorder="1" applyAlignment="1">
      <alignment horizontal="left" vertical="center" wrapText="1"/>
    </xf>
    <xf numFmtId="0" fontId="57" fillId="6" borderId="1" xfId="0" applyFont="1" applyFill="1" applyBorder="1" applyAlignment="1">
      <alignment horizontal="center" vertical="center" wrapText="1"/>
    </xf>
    <xf numFmtId="49" fontId="55" fillId="6" borderId="25" xfId="0" applyNumberFormat="1" applyFont="1" applyFill="1" applyBorder="1" applyAlignment="1">
      <alignment horizontal="left" vertical="center" wrapText="1"/>
    </xf>
    <xf numFmtId="0" fontId="57" fillId="6" borderId="32" xfId="0" applyFont="1" applyFill="1" applyBorder="1" applyAlignment="1">
      <alignment horizontal="left" vertical="center" wrapText="1"/>
    </xf>
    <xf numFmtId="0" fontId="50" fillId="6" borderId="49" xfId="0" applyFont="1" applyFill="1" applyBorder="1" applyAlignment="1">
      <alignment horizontal="left" vertical="center"/>
    </xf>
    <xf numFmtId="0" fontId="50" fillId="6" borderId="28" xfId="0" applyFont="1" applyFill="1" applyBorder="1" applyAlignment="1">
      <alignment horizontal="left" vertical="center" wrapText="1"/>
    </xf>
    <xf numFmtId="0" fontId="50" fillId="6" borderId="20" xfId="0"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0" fontId="56" fillId="0" borderId="1" xfId="0" applyFont="1" applyBorder="1" applyAlignment="1" applyProtection="1">
      <alignment horizontal="center" vertical="center" wrapText="1"/>
      <protection locked="0"/>
    </xf>
    <xf numFmtId="0" fontId="47" fillId="6" borderId="1" xfId="2" applyFont="1" applyFill="1" applyBorder="1" applyAlignment="1">
      <alignment horizontal="left" vertical="center" wrapText="1"/>
    </xf>
    <xf numFmtId="0" fontId="56" fillId="6" borderId="2" xfId="0" applyFont="1" applyFill="1" applyBorder="1" applyAlignment="1">
      <alignment horizontal="left" vertical="center" wrapText="1"/>
    </xf>
    <xf numFmtId="0" fontId="47" fillId="6" borderId="54" xfId="0" applyFont="1" applyFill="1" applyBorder="1" applyAlignment="1">
      <alignment horizontal="left" vertical="center"/>
    </xf>
    <xf numFmtId="0" fontId="56" fillId="6" borderId="32" xfId="0" applyFont="1" applyFill="1" applyBorder="1" applyAlignment="1">
      <alignment horizontal="center" vertical="center" wrapText="1"/>
    </xf>
    <xf numFmtId="0" fontId="50" fillId="6" borderId="33" xfId="0" applyFont="1" applyFill="1" applyBorder="1" applyAlignment="1">
      <alignment horizontal="left" vertical="center"/>
    </xf>
    <xf numFmtId="0" fontId="50" fillId="6" borderId="52" xfId="0" applyFont="1" applyFill="1" applyBorder="1" applyAlignment="1">
      <alignment horizontal="left" vertical="center" wrapText="1"/>
    </xf>
    <xf numFmtId="0" fontId="47" fillId="6" borderId="68" xfId="2" applyFont="1" applyFill="1" applyBorder="1" applyAlignment="1">
      <alignment horizontal="left" vertical="center" wrapText="1"/>
    </xf>
    <xf numFmtId="0" fontId="50" fillId="6" borderId="21" xfId="2" applyFont="1" applyFill="1" applyBorder="1" applyAlignment="1">
      <alignment horizontal="left" vertical="center" wrapText="1"/>
    </xf>
    <xf numFmtId="0" fontId="50" fillId="6" borderId="48" xfId="2" applyFont="1" applyFill="1" applyBorder="1" applyAlignment="1">
      <alignment horizontal="left" vertical="center" wrapText="1"/>
    </xf>
    <xf numFmtId="10" fontId="50" fillId="6" borderId="5" xfId="0" applyNumberFormat="1" applyFont="1" applyFill="1" applyBorder="1" applyAlignment="1">
      <alignment horizontal="left" vertical="center"/>
    </xf>
    <xf numFmtId="0" fontId="58" fillId="6" borderId="0" xfId="0" applyFont="1" applyFill="1" applyAlignment="1">
      <alignment horizontal="left" vertical="center"/>
    </xf>
    <xf numFmtId="0" fontId="50" fillId="6" borderId="68" xfId="2" applyFont="1" applyFill="1" applyBorder="1" applyAlignment="1">
      <alignment horizontal="left" vertical="center" wrapText="1"/>
    </xf>
    <xf numFmtId="0" fontId="104" fillId="6" borderId="51" xfId="1" applyFont="1" applyFill="1" applyBorder="1">
      <alignment vertical="center"/>
    </xf>
    <xf numFmtId="0" fontId="60" fillId="6" borderId="20" xfId="1" applyFont="1" applyFill="1" applyBorder="1">
      <alignment vertical="center"/>
    </xf>
    <xf numFmtId="0" fontId="60" fillId="6" borderId="19" xfId="1" applyFont="1" applyFill="1" applyBorder="1">
      <alignment vertical="center"/>
    </xf>
    <xf numFmtId="0" fontId="60" fillId="6" borderId="0" xfId="1" applyFont="1" applyFill="1">
      <alignment vertical="center"/>
    </xf>
    <xf numFmtId="0" fontId="61" fillId="3" borderId="0" xfId="0" applyFont="1" applyFill="1" applyProtection="1">
      <alignment vertical="center"/>
      <protection locked="0"/>
    </xf>
    <xf numFmtId="0" fontId="60" fillId="6" borderId="1" xfId="1" applyFont="1" applyFill="1" applyBorder="1">
      <alignment vertical="center"/>
    </xf>
    <xf numFmtId="177" fontId="60" fillId="6" borderId="1" xfId="1" applyNumberFormat="1" applyFont="1" applyFill="1" applyBorder="1" applyAlignment="1">
      <alignment horizontal="right" vertical="center"/>
    </xf>
    <xf numFmtId="0" fontId="60" fillId="6" borderId="13" xfId="1" applyFont="1" applyFill="1" applyBorder="1">
      <alignment vertical="center"/>
    </xf>
    <xf numFmtId="0" fontId="60" fillId="6" borderId="13" xfId="1" applyFont="1" applyFill="1" applyBorder="1" applyAlignment="1">
      <alignment horizontal="right" vertical="center"/>
    </xf>
    <xf numFmtId="49" fontId="60" fillId="6" borderId="51" xfId="1" applyNumberFormat="1" applyFont="1" applyFill="1" applyBorder="1" applyAlignment="1"/>
    <xf numFmtId="49" fontId="60" fillId="6" borderId="20" xfId="1" applyNumberFormat="1" applyFont="1" applyFill="1" applyBorder="1" applyAlignment="1"/>
    <xf numFmtId="49" fontId="60" fillId="6" borderId="21" xfId="1" applyNumberFormat="1" applyFont="1" applyFill="1" applyBorder="1" applyAlignment="1"/>
    <xf numFmtId="0" fontId="60" fillId="3" borderId="0" xfId="0" applyFont="1" applyFill="1" applyProtection="1">
      <alignment vertical="center"/>
      <protection locked="0"/>
    </xf>
    <xf numFmtId="0" fontId="57" fillId="6" borderId="23" xfId="1" applyFont="1" applyFill="1" applyBorder="1" applyAlignment="1">
      <alignment horizontal="left"/>
    </xf>
    <xf numFmtId="0" fontId="57" fillId="6" borderId="5" xfId="1" applyFont="1" applyFill="1" applyBorder="1" applyAlignment="1"/>
    <xf numFmtId="177" fontId="57" fillId="6" borderId="1" xfId="1" applyNumberFormat="1" applyFont="1" applyFill="1" applyBorder="1" applyAlignment="1">
      <alignment horizontal="center"/>
    </xf>
    <xf numFmtId="0" fontId="57" fillId="6" borderId="1" xfId="1" applyFont="1" applyFill="1" applyBorder="1" applyAlignment="1">
      <alignment horizontal="center"/>
    </xf>
    <xf numFmtId="0" fontId="57" fillId="6" borderId="24" xfId="1" applyFont="1" applyFill="1" applyBorder="1" applyAlignment="1">
      <alignment horizontal="left"/>
    </xf>
    <xf numFmtId="0" fontId="57" fillId="3" borderId="0" xfId="0" applyFont="1" applyFill="1" applyProtection="1">
      <alignment vertical="center"/>
      <protection locked="0"/>
    </xf>
    <xf numFmtId="0" fontId="56" fillId="6" borderId="5" xfId="1" applyFont="1" applyFill="1" applyBorder="1" applyAlignment="1"/>
    <xf numFmtId="177" fontId="56" fillId="0" borderId="1" xfId="1" applyNumberFormat="1" applyFont="1" applyBorder="1" applyAlignment="1" applyProtection="1">
      <alignment horizontal="center"/>
      <protection locked="0"/>
    </xf>
    <xf numFmtId="179"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177" fontId="56" fillId="6" borderId="1" xfId="1" applyNumberFormat="1" applyFont="1" applyFill="1" applyBorder="1" applyAlignment="1">
      <alignment horizontal="center"/>
    </xf>
    <xf numFmtId="10" fontId="56" fillId="6" borderId="1" xfId="1" applyNumberFormat="1" applyFont="1" applyFill="1" applyBorder="1" applyAlignment="1">
      <alignment horizontal="center"/>
    </xf>
    <xf numFmtId="177" fontId="56" fillId="6" borderId="1" xfId="1" applyNumberFormat="1" applyFont="1" applyFill="1" applyBorder="1" applyAlignment="1"/>
    <xf numFmtId="0" fontId="57" fillId="0" borderId="0" xfId="0" applyFont="1" applyProtection="1">
      <alignment vertical="center"/>
      <protection locked="0"/>
    </xf>
    <xf numFmtId="0" fontId="62" fillId="6" borderId="5" xfId="1" applyFont="1" applyFill="1" applyBorder="1" applyAlignment="1"/>
    <xf numFmtId="177" fontId="62" fillId="6" borderId="1" xfId="1" applyNumberFormat="1" applyFont="1" applyFill="1" applyBorder="1" applyAlignment="1">
      <alignment horizontal="center"/>
    </xf>
    <xf numFmtId="0" fontId="56" fillId="6" borderId="24" xfId="1" applyFont="1" applyFill="1" applyBorder="1" applyAlignment="1">
      <alignment vertical="center" wrapText="1"/>
    </xf>
    <xf numFmtId="0" fontId="56" fillId="6" borderId="23" xfId="1" applyFont="1" applyFill="1" applyBorder="1" applyAlignment="1">
      <alignment horizontal="left"/>
    </xf>
    <xf numFmtId="0" fontId="56" fillId="6" borderId="0" xfId="1" applyFont="1" applyFill="1" applyAlignment="1">
      <alignment horizontal="center"/>
    </xf>
    <xf numFmtId="0" fontId="56" fillId="6" borderId="1" xfId="0" applyFont="1" applyFill="1" applyBorder="1">
      <alignment vertical="center"/>
    </xf>
    <xf numFmtId="179" fontId="57" fillId="6" borderId="1" xfId="1" applyNumberFormat="1" applyFont="1" applyFill="1" applyBorder="1" applyAlignment="1">
      <alignment horizontal="center"/>
    </xf>
    <xf numFmtId="9" fontId="57" fillId="6" borderId="5" xfId="1" applyNumberFormat="1" applyFont="1" applyFill="1" applyBorder="1" applyAlignment="1">
      <alignment horizontal="center"/>
    </xf>
    <xf numFmtId="0" fontId="57" fillId="6" borderId="1" xfId="0" applyFont="1" applyFill="1" applyBorder="1" applyAlignment="1">
      <alignment horizontal="center" vertical="center"/>
    </xf>
    <xf numFmtId="10" fontId="57" fillId="6" borderId="5" xfId="1" applyNumberFormat="1" applyFont="1" applyFill="1" applyBorder="1" applyAlignment="1">
      <alignment horizontal="center"/>
    </xf>
    <xf numFmtId="0" fontId="57" fillId="6" borderId="24"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Alignment="1">
      <alignment horizontal="left" vertical="center"/>
    </xf>
    <xf numFmtId="10" fontId="57" fillId="6" borderId="5" xfId="1" applyNumberFormat="1" applyFont="1" applyFill="1" applyBorder="1" applyAlignment="1">
      <alignment horizontal="center" vertical="center"/>
    </xf>
    <xf numFmtId="0" fontId="56" fillId="6" borderId="1" xfId="0" applyFont="1" applyFill="1" applyBorder="1" applyAlignment="1">
      <alignment horizontal="center" vertical="center"/>
    </xf>
    <xf numFmtId="179" fontId="56" fillId="6" borderId="5" xfId="1" applyNumberFormat="1" applyFont="1" applyFill="1" applyBorder="1" applyAlignment="1">
      <alignment horizontal="center" vertical="center"/>
    </xf>
    <xf numFmtId="0" fontId="56" fillId="6" borderId="24" xfId="0" applyFont="1" applyFill="1" applyBorder="1">
      <alignment vertical="center"/>
    </xf>
    <xf numFmtId="0" fontId="57" fillId="6" borderId="1" xfId="0" applyFont="1" applyFill="1" applyBorder="1">
      <alignment vertical="center"/>
    </xf>
    <xf numFmtId="0" fontId="56" fillId="6" borderId="61" xfId="0" applyFont="1" applyFill="1" applyBorder="1" applyAlignment="1">
      <alignment vertical="center" wrapText="1"/>
    </xf>
    <xf numFmtId="0" fontId="56" fillId="6" borderId="8" xfId="0" applyFont="1" applyFill="1" applyBorder="1">
      <alignment vertical="center"/>
    </xf>
    <xf numFmtId="0" fontId="57" fillId="6" borderId="5" xfId="1" applyFont="1" applyFill="1" applyBorder="1">
      <alignment vertical="center"/>
    </xf>
    <xf numFmtId="177" fontId="57" fillId="6" borderId="1" xfId="1" applyNumberFormat="1" applyFont="1" applyFill="1" applyBorder="1" applyAlignment="1">
      <alignment horizontal="center" vertical="center"/>
    </xf>
    <xf numFmtId="9" fontId="57" fillId="6" borderId="5" xfId="1" applyNumberFormat="1" applyFont="1" applyFill="1" applyBorder="1" applyAlignment="1">
      <alignment horizontal="center" vertical="center"/>
    </xf>
    <xf numFmtId="0" fontId="57" fillId="6" borderId="24" xfId="0" applyFont="1" applyFill="1" applyBorder="1" applyAlignment="1">
      <alignment vertical="center" wrapText="1"/>
    </xf>
    <xf numFmtId="0" fontId="56" fillId="6" borderId="5" xfId="1" applyFont="1" applyFill="1" applyBorder="1" applyAlignment="1">
      <alignment horizontal="left"/>
    </xf>
    <xf numFmtId="177" fontId="56" fillId="6" borderId="1" xfId="1" applyNumberFormat="1" applyFont="1" applyFill="1" applyBorder="1" applyAlignment="1">
      <alignment horizontal="center" vertical="center"/>
    </xf>
    <xf numFmtId="9" fontId="57" fillId="6" borderId="1" xfId="1" applyNumberFormat="1" applyFont="1" applyFill="1" applyBorder="1" applyAlignment="1">
      <alignment horizontal="center"/>
    </xf>
    <xf numFmtId="0" fontId="56" fillId="3" borderId="0" xfId="0" applyFont="1" applyFill="1" applyProtection="1">
      <alignment vertical="center"/>
      <protection locked="0"/>
    </xf>
    <xf numFmtId="49" fontId="60" fillId="6" borderId="37" xfId="1" applyNumberFormat="1" applyFont="1" applyFill="1" applyBorder="1" applyAlignment="1"/>
    <xf numFmtId="49" fontId="60" fillId="6" borderId="54" xfId="1" applyNumberFormat="1" applyFont="1" applyFill="1" applyBorder="1" applyAlignment="1"/>
    <xf numFmtId="49" fontId="60" fillId="6" borderId="48" xfId="1" applyNumberFormat="1" applyFont="1" applyFill="1" applyBorder="1" applyAlignment="1"/>
    <xf numFmtId="49" fontId="57" fillId="6" borderId="23" xfId="1" applyNumberFormat="1" applyFont="1" applyFill="1" applyBorder="1" applyAlignment="1">
      <alignment horizontal="left"/>
    </xf>
    <xf numFmtId="177" fontId="57" fillId="6" borderId="1" xfId="0" applyNumberFormat="1" applyFont="1" applyFill="1" applyBorder="1" applyAlignment="1">
      <alignment horizontal="center" vertical="center"/>
    </xf>
    <xf numFmtId="181" fontId="57" fillId="6" borderId="5" xfId="1" applyNumberFormat="1" applyFont="1" applyFill="1" applyBorder="1" applyAlignment="1">
      <alignment horizontal="center"/>
    </xf>
    <xf numFmtId="0" fontId="56" fillId="0" borderId="0" xfId="0" applyFont="1" applyProtection="1">
      <alignment vertical="center"/>
      <protection locked="0"/>
    </xf>
    <xf numFmtId="10" fontId="56" fillId="6" borderId="5" xfId="1" applyNumberFormat="1" applyFont="1" applyFill="1" applyBorder="1" applyAlignment="1">
      <alignment horizontal="center"/>
    </xf>
    <xf numFmtId="0" fontId="56" fillId="6" borderId="24" xfId="0" applyFont="1" applyFill="1" applyBorder="1" applyAlignment="1">
      <alignment vertical="center" wrapText="1"/>
    </xf>
    <xf numFmtId="0" fontId="56" fillId="6" borderId="24" xfId="1" applyFont="1" applyFill="1" applyBorder="1" applyAlignment="1">
      <alignment horizontal="left" vertical="center"/>
    </xf>
    <xf numFmtId="10" fontId="57" fillId="6" borderId="1" xfId="0" applyNumberFormat="1" applyFont="1" applyFill="1" applyBorder="1" applyAlignment="1">
      <alignment horizontal="right" vertical="center"/>
    </xf>
    <xf numFmtId="184" fontId="57" fillId="6" borderId="1" xfId="0" applyNumberFormat="1" applyFont="1" applyFill="1" applyBorder="1" applyAlignment="1">
      <alignment horizontal="right" vertical="center"/>
    </xf>
    <xf numFmtId="10" fontId="57" fillId="6" borderId="1" xfId="1" applyNumberFormat="1" applyFont="1" applyFill="1" applyBorder="1" applyAlignment="1">
      <alignment horizontal="center" vertical="center"/>
    </xf>
    <xf numFmtId="49" fontId="60" fillId="6" borderId="38" xfId="1" applyNumberFormat="1" applyFont="1" applyFill="1" applyBorder="1" applyAlignment="1"/>
    <xf numFmtId="49" fontId="60" fillId="6" borderId="52" xfId="1" applyNumberFormat="1" applyFont="1" applyFill="1" applyBorder="1" applyAlignment="1"/>
    <xf numFmtId="177" fontId="57" fillId="6" borderId="32" xfId="0" applyNumberFormat="1" applyFont="1" applyFill="1" applyBorder="1" applyAlignment="1">
      <alignment horizontal="center" vertical="center"/>
    </xf>
    <xf numFmtId="49" fontId="60" fillId="6" borderId="68" xfId="1" applyNumberFormat="1" applyFont="1" applyFill="1" applyBorder="1" applyAlignment="1"/>
    <xf numFmtId="0" fontId="56" fillId="3" borderId="0" xfId="0" applyFont="1" applyFill="1" applyAlignment="1" applyProtection="1">
      <alignment horizontal="left" vertical="center"/>
      <protection locked="0"/>
    </xf>
    <xf numFmtId="0" fontId="63" fillId="6" borderId="1" xfId="0" applyFont="1" applyFill="1" applyBorder="1" applyAlignment="1">
      <alignment horizontal="left"/>
    </xf>
    <xf numFmtId="0" fontId="61" fillId="6" borderId="1" xfId="0" applyFont="1" applyFill="1" applyBorder="1" applyAlignment="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xf numFmtId="181" fontId="56" fillId="6" borderId="1" xfId="0" applyNumberFormat="1" applyFont="1" applyFill="1" applyBorder="1" applyAlignment="1">
      <alignment horizontal="center"/>
    </xf>
    <xf numFmtId="181" fontId="50" fillId="6" borderId="1" xfId="0" applyNumberFormat="1" applyFont="1" applyFill="1" applyBorder="1" applyAlignment="1">
      <alignment horizontal="center"/>
    </xf>
    <xf numFmtId="0" fontId="48" fillId="6" borderId="0" xfId="1" applyFont="1" applyFill="1">
      <alignment vertical="center"/>
    </xf>
    <xf numFmtId="176" fontId="102" fillId="6" borderId="1" xfId="0" applyNumberFormat="1" applyFont="1" applyFill="1" applyBorder="1" applyAlignment="1">
      <alignment horizontal="center" vertical="center"/>
    </xf>
    <xf numFmtId="176" fontId="102" fillId="6" borderId="24" xfId="0" applyNumberFormat="1" applyFont="1" applyFill="1" applyBorder="1" applyAlignment="1">
      <alignment horizontal="center" vertical="center"/>
    </xf>
    <xf numFmtId="177" fontId="50" fillId="6" borderId="1" xfId="0" applyNumberFormat="1" applyFont="1" applyFill="1" applyBorder="1" applyAlignment="1">
      <alignment horizontal="center" vertical="center"/>
    </xf>
    <xf numFmtId="0" fontId="49" fillId="6" borderId="1" xfId="0" applyFont="1" applyFill="1" applyBorder="1" applyAlignment="1">
      <alignment horizontal="right" vertical="center"/>
    </xf>
    <xf numFmtId="177" fontId="49" fillId="6" borderId="1" xfId="1" applyNumberFormat="1" applyFont="1" applyFill="1" applyBorder="1">
      <alignment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86" fontId="50" fillId="6" borderId="1" xfId="0" applyNumberFormat="1" applyFont="1" applyFill="1" applyBorder="1" applyAlignment="1">
      <alignment horizontal="center" vertical="center"/>
    </xf>
    <xf numFmtId="177" fontId="50" fillId="6" borderId="54" xfId="1" applyNumberFormat="1" applyFont="1" applyFill="1" applyBorder="1">
      <alignment vertical="center"/>
    </xf>
    <xf numFmtId="10" fontId="50" fillId="6" borderId="13" xfId="0" applyNumberFormat="1" applyFont="1" applyFill="1" applyBorder="1" applyAlignment="1">
      <alignment horizontal="center" vertical="center"/>
    </xf>
    <xf numFmtId="177" fontId="49" fillId="6" borderId="3" xfId="0" applyNumberFormat="1" applyFont="1" applyFill="1" applyBorder="1" applyAlignment="1">
      <alignment horizontal="center" vertical="center" wrapText="1"/>
    </xf>
    <xf numFmtId="10" fontId="49" fillId="6" borderId="1" xfId="0" applyNumberFormat="1" applyFont="1" applyFill="1" applyBorder="1" applyAlignment="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lignment horizontal="center" vertical="center" wrapText="1"/>
    </xf>
    <xf numFmtId="0" fontId="66" fillId="0" borderId="0" xfId="0" applyFont="1" applyProtection="1">
      <alignment vertical="center"/>
      <protection locked="0"/>
    </xf>
    <xf numFmtId="0" fontId="48" fillId="6" borderId="1" xfId="0" applyFont="1" applyFill="1" applyBorder="1" applyAlignment="1">
      <alignment horizontal="center" vertical="center"/>
    </xf>
    <xf numFmtId="49" fontId="50" fillId="6" borderId="6" xfId="0" applyNumberFormat="1" applyFont="1" applyFill="1" applyBorder="1" applyAlignment="1">
      <alignment horizontal="center" vertical="center"/>
    </xf>
    <xf numFmtId="0" fontId="50" fillId="6" borderId="9" xfId="0" applyFont="1" applyFill="1" applyBorder="1" applyAlignment="1">
      <alignment horizontal="center" vertical="center"/>
    </xf>
    <xf numFmtId="0" fontId="50" fillId="6" borderId="28" xfId="0" applyFont="1" applyFill="1" applyBorder="1" applyAlignment="1">
      <alignment horizontal="right" vertical="center"/>
    </xf>
    <xf numFmtId="0" fontId="50" fillId="6" borderId="21" xfId="0" applyFont="1" applyFill="1" applyBorder="1" applyAlignment="1">
      <alignment horizontal="center" vertical="center"/>
    </xf>
    <xf numFmtId="49" fontId="55" fillId="6" borderId="11" xfId="0" applyNumberFormat="1" applyFont="1" applyFill="1" applyBorder="1">
      <alignment vertical="center"/>
    </xf>
    <xf numFmtId="0" fontId="55" fillId="6" borderId="13" xfId="0" applyFont="1" applyFill="1" applyBorder="1" applyAlignment="1">
      <alignment vertical="center" wrapText="1"/>
    </xf>
    <xf numFmtId="0" fontId="55" fillId="6" borderId="13" xfId="0" applyFont="1" applyFill="1" applyBorder="1" applyAlignment="1">
      <alignment horizontal="center" vertical="center"/>
    </xf>
    <xf numFmtId="0" fontId="50" fillId="6" borderId="1" xfId="0" applyFont="1" applyFill="1" applyBorder="1" applyAlignment="1">
      <alignment horizontal="left" vertical="center"/>
    </xf>
    <xf numFmtId="0" fontId="55" fillId="6" borderId="24" xfId="0" applyFont="1" applyFill="1" applyBorder="1" applyAlignment="1">
      <alignment horizontal="center" vertical="center"/>
    </xf>
    <xf numFmtId="49" fontId="55" fillId="6" borderId="14" xfId="0" applyNumberFormat="1" applyFont="1" applyFill="1" applyBorder="1">
      <alignment vertical="center"/>
    </xf>
    <xf numFmtId="0" fontId="55" fillId="6" borderId="15" xfId="0" applyFont="1" applyFill="1" applyBorder="1" applyAlignment="1">
      <alignment vertical="center" wrapText="1"/>
    </xf>
    <xf numFmtId="0" fontId="55" fillId="6" borderId="15" xfId="0" applyFont="1" applyFill="1" applyBorder="1" applyAlignment="1">
      <alignment horizontal="center" vertical="center"/>
    </xf>
    <xf numFmtId="0" fontId="50" fillId="6" borderId="15" xfId="0" applyFont="1" applyFill="1" applyBorder="1">
      <alignment vertical="center"/>
    </xf>
    <xf numFmtId="49" fontId="55" fillId="6" borderId="41" xfId="0" applyNumberFormat="1" applyFont="1" applyFill="1" applyBorder="1">
      <alignment vertical="center"/>
    </xf>
    <xf numFmtId="0" fontId="55" fillId="6" borderId="2" xfId="0" applyFont="1" applyFill="1" applyBorder="1" applyAlignment="1">
      <alignment vertical="center" wrapText="1"/>
    </xf>
    <xf numFmtId="0" fontId="55" fillId="6" borderId="2" xfId="0" applyFont="1" applyFill="1" applyBorder="1" applyAlignment="1">
      <alignment horizontal="center" vertical="center"/>
    </xf>
    <xf numFmtId="0" fontId="50" fillId="6" borderId="2" xfId="0" applyFont="1" applyFill="1" applyBorder="1">
      <alignment vertical="center"/>
    </xf>
    <xf numFmtId="181" fontId="55" fillId="6" borderId="24" xfId="0" applyNumberFormat="1" applyFont="1" applyFill="1" applyBorder="1" applyAlignment="1">
      <alignment horizontal="center" vertical="center"/>
    </xf>
    <xf numFmtId="0" fontId="50" fillId="6" borderId="13" xfId="0" applyFont="1" applyFill="1" applyBorder="1" applyAlignment="1">
      <alignment horizontal="left" vertical="center"/>
    </xf>
    <xf numFmtId="181" fontId="55" fillId="6" borderId="61" xfId="0" applyNumberFormat="1" applyFont="1" applyFill="1" applyBorder="1" applyAlignment="1">
      <alignment horizontal="center" vertical="center"/>
    </xf>
    <xf numFmtId="49" fontId="55" fillId="6" borderId="23" xfId="0" applyNumberFormat="1" applyFont="1" applyFill="1" applyBorder="1" applyAlignment="1">
      <alignment horizontal="left" vertical="center"/>
    </xf>
    <xf numFmtId="0" fontId="55" fillId="6" borderId="1" xfId="0" applyFont="1" applyFill="1" applyBorder="1" applyAlignment="1">
      <alignment horizontal="center" vertical="center"/>
    </xf>
    <xf numFmtId="181" fontId="50" fillId="6" borderId="61" xfId="0" applyNumberFormat="1" applyFont="1" applyFill="1" applyBorder="1" applyAlignment="1">
      <alignment horizontal="center" vertical="center"/>
    </xf>
    <xf numFmtId="0" fontId="102" fillId="6" borderId="5" xfId="0" applyFont="1" applyFill="1" applyBorder="1" applyAlignment="1">
      <alignment horizontal="center" vertical="center"/>
    </xf>
    <xf numFmtId="179" fontId="55" fillId="6" borderId="48" xfId="0" applyNumberFormat="1" applyFont="1" applyFill="1" applyBorder="1" applyAlignment="1">
      <alignment horizontal="center" vertical="center"/>
    </xf>
    <xf numFmtId="0" fontId="50" fillId="6" borderId="2" xfId="0" applyFont="1" applyFill="1" applyBorder="1" applyAlignment="1">
      <alignment horizontal="left" vertical="center"/>
    </xf>
    <xf numFmtId="181" fontId="50" fillId="6" borderId="8" xfId="0" applyNumberFormat="1" applyFont="1" applyFill="1" applyBorder="1" applyAlignment="1">
      <alignment horizontal="center" vertical="center"/>
    </xf>
    <xf numFmtId="181" fontId="50" fillId="6" borderId="24" xfId="0" applyNumberFormat="1" applyFont="1" applyFill="1" applyBorder="1" applyAlignment="1">
      <alignment horizontal="center" vertical="center"/>
    </xf>
    <xf numFmtId="0" fontId="50" fillId="6" borderId="1" xfId="0" applyFont="1" applyFill="1" applyBorder="1" applyAlignment="1">
      <alignment vertical="center" wrapText="1"/>
    </xf>
    <xf numFmtId="0" fontId="50" fillId="6" borderId="13" xfId="0" applyFont="1" applyFill="1" applyBorder="1" applyAlignment="1">
      <alignment horizontal="left" vertical="center" wrapText="1"/>
    </xf>
    <xf numFmtId="0" fontId="50" fillId="6" borderId="24" xfId="0" applyFont="1" applyFill="1" applyBorder="1" applyAlignment="1">
      <alignment horizontal="center" vertical="center"/>
    </xf>
    <xf numFmtId="49" fontId="50" fillId="6" borderId="41" xfId="0" applyNumberFormat="1" applyFont="1" applyFill="1" applyBorder="1">
      <alignment vertical="center"/>
    </xf>
    <xf numFmtId="0" fontId="50" fillId="6" borderId="2" xfId="0" applyFont="1" applyFill="1" applyBorder="1" applyAlignment="1">
      <alignment horizontal="left" vertical="center" wrapText="1"/>
    </xf>
    <xf numFmtId="10" fontId="55" fillId="6" borderId="24" xfId="0" applyNumberFormat="1" applyFont="1" applyFill="1" applyBorder="1" applyAlignment="1">
      <alignment horizontal="center" vertical="center"/>
    </xf>
    <xf numFmtId="182" fontId="55" fillId="6" borderId="24" xfId="0" applyNumberFormat="1" applyFont="1" applyFill="1" applyBorder="1" applyAlignment="1">
      <alignment horizontal="center" vertical="center"/>
    </xf>
    <xf numFmtId="10" fontId="50" fillId="6" borderId="24" xfId="0" applyNumberFormat="1" applyFont="1" applyFill="1" applyBorder="1" applyAlignment="1">
      <alignment horizontal="center" vertical="center"/>
    </xf>
    <xf numFmtId="0" fontId="50" fillId="6" borderId="15" xfId="0" applyFont="1" applyFill="1" applyBorder="1" applyAlignment="1">
      <alignment horizontal="left" vertical="center" wrapText="1"/>
    </xf>
    <xf numFmtId="179" fontId="55" fillId="6" borderId="24"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5" fillId="6" borderId="32" xfId="0" applyFont="1" applyFill="1" applyBorder="1" applyAlignment="1">
      <alignment horizontal="left" vertical="center"/>
    </xf>
    <xf numFmtId="0" fontId="55" fillId="6" borderId="32" xfId="0" applyFont="1" applyFill="1" applyBorder="1" applyAlignment="1">
      <alignment horizontal="center" vertical="center"/>
    </xf>
    <xf numFmtId="0" fontId="50" fillId="6" borderId="32" xfId="0" applyFont="1" applyFill="1" applyBorder="1">
      <alignment vertical="center"/>
    </xf>
    <xf numFmtId="0" fontId="50" fillId="6" borderId="32" xfId="0" applyFont="1" applyFill="1" applyBorder="1" applyAlignment="1">
      <alignment horizontal="left" vertical="center"/>
    </xf>
    <xf numFmtId="179" fontId="55" fillId="6" borderId="49" xfId="0" applyNumberFormat="1" applyFont="1" applyFill="1" applyBorder="1" applyAlignment="1">
      <alignment horizontal="center" vertical="center"/>
    </xf>
    <xf numFmtId="0" fontId="56" fillId="6" borderId="1" xfId="0" applyFont="1" applyFill="1" applyBorder="1" applyAlignment="1">
      <alignment horizontal="left"/>
    </xf>
    <xf numFmtId="185" fontId="56" fillId="6" borderId="1" xfId="0" applyNumberFormat="1" applyFont="1" applyFill="1" applyBorder="1" applyAlignment="1">
      <alignment horizontal="center"/>
    </xf>
    <xf numFmtId="0" fontId="56" fillId="6" borderId="1" xfId="0" applyFont="1" applyFill="1" applyBorder="1" applyAlignment="1">
      <alignment vertical="center" wrapText="1"/>
    </xf>
    <xf numFmtId="181" fontId="55" fillId="6" borderId="1" xfId="0" applyNumberFormat="1" applyFont="1" applyFill="1" applyBorder="1" applyAlignment="1">
      <alignment horizontal="center" vertical="center"/>
    </xf>
    <xf numFmtId="0" fontId="105" fillId="6" borderId="1" xfId="0" applyFont="1" applyFill="1" applyBorder="1" applyAlignment="1">
      <alignment horizontal="left"/>
    </xf>
    <xf numFmtId="0" fontId="105" fillId="6" borderId="1" xfId="0" applyFont="1" applyFill="1" applyBorder="1" applyAlignment="1">
      <alignment horizontal="center"/>
    </xf>
    <xf numFmtId="0" fontId="63" fillId="6" borderId="1" xfId="0" applyFont="1" applyFill="1" applyBorder="1" applyAlignment="1">
      <alignment horizontal="center"/>
    </xf>
    <xf numFmtId="0" fontId="61" fillId="0" borderId="0" xfId="0" applyFont="1" applyAlignment="1" applyProtection="1">
      <alignment horizontal="center" vertical="center"/>
      <protection locked="0"/>
    </xf>
    <xf numFmtId="0" fontId="104" fillId="6" borderId="46" xfId="0" applyFont="1" applyFill="1" applyBorder="1">
      <alignment vertical="center"/>
    </xf>
    <xf numFmtId="0" fontId="65" fillId="6" borderId="36" xfId="0" applyFont="1" applyFill="1" applyBorder="1" applyAlignment="1">
      <alignment horizontal="right" vertical="center"/>
    </xf>
    <xf numFmtId="0" fontId="65" fillId="6" borderId="0" xfId="0" applyFont="1" applyFill="1" applyAlignment="1">
      <alignment horizontal="center" vertical="center"/>
    </xf>
    <xf numFmtId="0" fontId="66" fillId="0" borderId="0" xfId="0" applyFont="1" applyAlignment="1" applyProtection="1">
      <alignment horizontal="center" vertical="center"/>
      <protection locked="0"/>
    </xf>
    <xf numFmtId="0" fontId="60" fillId="6" borderId="13" xfId="0" applyFont="1" applyFill="1" applyBorder="1" applyAlignment="1">
      <alignment horizontal="right" vertical="center"/>
    </xf>
    <xf numFmtId="0" fontId="60" fillId="6" borderId="13" xfId="0" applyFont="1" applyFill="1" applyBorder="1" applyAlignment="1">
      <alignment horizontal="center" vertical="center"/>
    </xf>
    <xf numFmtId="0" fontId="53" fillId="6" borderId="16" xfId="0" applyFont="1" applyFill="1" applyBorder="1" applyAlignment="1">
      <alignment vertical="center" wrapText="1"/>
    </xf>
    <xf numFmtId="0" fontId="53" fillId="6" borderId="19" xfId="0" applyFont="1" applyFill="1" applyBorder="1" applyAlignment="1">
      <alignment vertical="center" wrapText="1"/>
    </xf>
    <xf numFmtId="0" fontId="54" fillId="0" borderId="0" xfId="0" applyFont="1" applyAlignment="1" applyProtection="1">
      <alignment horizontal="center" vertical="center"/>
      <protection locked="0"/>
    </xf>
    <xf numFmtId="0" fontId="53" fillId="6" borderId="18" xfId="0" applyFont="1" applyFill="1" applyBorder="1" applyAlignment="1">
      <alignment vertical="center" wrapText="1"/>
    </xf>
    <xf numFmtId="0" fontId="53" fillId="6" borderId="0" xfId="0" applyFont="1" applyFill="1" applyAlignment="1">
      <alignment vertical="center" wrapText="1"/>
    </xf>
    <xf numFmtId="0" fontId="53" fillId="6" borderId="42" xfId="0" applyFont="1" applyFill="1" applyBorder="1" applyAlignment="1">
      <alignment vertical="center" wrapText="1"/>
    </xf>
    <xf numFmtId="0" fontId="53" fillId="6" borderId="47" xfId="0" applyFont="1" applyFill="1" applyBorder="1" applyAlignment="1">
      <alignment vertical="center" wrapText="1"/>
    </xf>
    <xf numFmtId="0" fontId="49" fillId="6" borderId="63" xfId="0" applyFont="1" applyFill="1" applyBorder="1" applyAlignment="1">
      <alignment vertical="center" wrapText="1"/>
    </xf>
    <xf numFmtId="0" fontId="49" fillId="6" borderId="64" xfId="0" applyFont="1" applyFill="1" applyBorder="1" applyAlignment="1">
      <alignment vertical="center" wrapText="1"/>
    </xf>
    <xf numFmtId="183" fontId="47" fillId="6" borderId="26" xfId="0" applyNumberFormat="1" applyFont="1" applyFill="1" applyBorder="1" applyAlignment="1">
      <alignment horizontal="center" vertical="center" wrapText="1"/>
    </xf>
    <xf numFmtId="0" fontId="47" fillId="6" borderId="67" xfId="0" applyFont="1" applyFill="1" applyBorder="1" applyAlignment="1">
      <alignment horizontal="center" vertical="center" wrapText="1"/>
    </xf>
    <xf numFmtId="183" fontId="47" fillId="0" borderId="70" xfId="0" applyNumberFormat="1" applyFont="1" applyBorder="1" applyAlignment="1" applyProtection="1">
      <alignment horizontal="center" vertical="center" wrapText="1"/>
      <protection locked="0"/>
    </xf>
    <xf numFmtId="0" fontId="47" fillId="6" borderId="34" xfId="0" applyFont="1" applyFill="1" applyBorder="1" applyAlignment="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lignment vertical="center" wrapText="1"/>
    </xf>
    <xf numFmtId="0" fontId="47" fillId="0" borderId="51" xfId="0" applyFont="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lignment vertical="center" wrapText="1"/>
    </xf>
    <xf numFmtId="0" fontId="47" fillId="6" borderId="5" xfId="0" applyFont="1" applyFill="1" applyBorder="1" applyAlignment="1">
      <alignment horizontal="center" vertical="center" wrapText="1"/>
    </xf>
    <xf numFmtId="0" fontId="61" fillId="0" borderId="48" xfId="0" applyFont="1" applyBorder="1" applyAlignment="1" applyProtection="1">
      <alignment horizontal="center" vertical="center" wrapText="1"/>
      <protection locked="0"/>
    </xf>
    <xf numFmtId="0" fontId="70" fillId="0" borderId="0" xfId="0" applyFont="1" applyAlignment="1" applyProtection="1">
      <alignment horizontal="center" vertical="center"/>
      <protection locked="0"/>
    </xf>
    <xf numFmtId="0" fontId="53" fillId="6" borderId="14" xfId="0" applyFont="1" applyFill="1" applyBorder="1" applyAlignment="1">
      <alignment vertical="center" wrapText="1"/>
    </xf>
    <xf numFmtId="0" fontId="47" fillId="0" borderId="23"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9" fillId="6" borderId="14" xfId="0" applyFont="1" applyFill="1" applyBorder="1" applyAlignment="1">
      <alignment vertical="center" wrapText="1"/>
    </xf>
    <xf numFmtId="0" fontId="47" fillId="0" borderId="41" xfId="0" applyFont="1" applyBorder="1" applyAlignment="1" applyProtection="1">
      <alignment horizontal="center" vertical="center" wrapText="1"/>
      <protection locked="0"/>
    </xf>
    <xf numFmtId="0" fontId="47" fillId="6" borderId="71" xfId="0" applyFont="1" applyFill="1" applyBorder="1" applyAlignment="1">
      <alignment horizontal="center" vertical="center" wrapText="1"/>
    </xf>
    <xf numFmtId="0" fontId="54" fillId="0" borderId="37" xfId="0" applyFont="1" applyBorder="1" applyAlignment="1" applyProtection="1">
      <alignment horizontal="center" vertical="center" wrapText="1"/>
      <protection locked="0"/>
    </xf>
    <xf numFmtId="0" fontId="54" fillId="6" borderId="24" xfId="0" applyFont="1" applyFill="1" applyBorder="1" applyAlignment="1">
      <alignment horizontal="center" vertical="center" wrapText="1"/>
    </xf>
    <xf numFmtId="0" fontId="53" fillId="6" borderId="12" xfId="0" applyFont="1" applyFill="1" applyBorder="1" applyAlignment="1">
      <alignment vertical="center" wrapText="1"/>
    </xf>
    <xf numFmtId="0" fontId="54" fillId="0" borderId="38" xfId="0" applyFont="1" applyBorder="1" applyAlignment="1" applyProtection="1">
      <alignment horizontal="center" vertical="center" wrapText="1"/>
      <protection locked="0"/>
    </xf>
    <xf numFmtId="0" fontId="54" fillId="6" borderId="49" xfId="0" applyFont="1" applyFill="1" applyBorder="1" applyAlignment="1">
      <alignment horizontal="center" vertical="center" wrapText="1"/>
    </xf>
    <xf numFmtId="0" fontId="54" fillId="6" borderId="33" xfId="0" applyFont="1" applyFill="1" applyBorder="1" applyAlignment="1">
      <alignment horizontal="center" vertical="center" wrapText="1"/>
    </xf>
    <xf numFmtId="0" fontId="53" fillId="6" borderId="40" xfId="0" applyFont="1" applyFill="1" applyBorder="1" applyAlignment="1">
      <alignment vertical="center" wrapText="1"/>
    </xf>
    <xf numFmtId="0" fontId="54" fillId="6" borderId="62" xfId="0" applyFont="1" applyFill="1" applyBorder="1" applyAlignment="1">
      <alignment horizontal="center" vertical="center" wrapText="1"/>
    </xf>
    <xf numFmtId="49" fontId="54" fillId="0" borderId="39" xfId="0" applyNumberFormat="1" applyFont="1" applyBorder="1" applyAlignment="1" applyProtection="1">
      <alignment horizontal="center" vertical="center" wrapText="1"/>
      <protection locked="0"/>
    </xf>
    <xf numFmtId="0" fontId="54" fillId="6" borderId="29" xfId="0" applyFont="1" applyFill="1" applyBorder="1" applyAlignment="1">
      <alignment horizontal="center" vertical="center" wrapText="1"/>
    </xf>
    <xf numFmtId="49" fontId="54" fillId="0" borderId="40" xfId="0" applyNumberFormat="1"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54" fillId="6" borderId="0" xfId="0" applyFont="1" applyFill="1" applyAlignment="1">
      <alignment horizontal="center" vertical="center"/>
    </xf>
    <xf numFmtId="0" fontId="54" fillId="2" borderId="41" xfId="0" applyFont="1" applyFill="1" applyBorder="1" applyAlignment="1" applyProtection="1">
      <alignment horizontal="center" vertical="center" wrapText="1"/>
      <protection locked="0"/>
    </xf>
    <xf numFmtId="0" fontId="54" fillId="6" borderId="8"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53" xfId="0" applyFont="1" applyFill="1" applyBorder="1" applyAlignment="1">
      <alignment horizontal="center" vertical="center" wrapText="1"/>
    </xf>
    <xf numFmtId="0" fontId="47" fillId="6" borderId="46" xfId="0" applyFont="1" applyFill="1" applyBorder="1" applyAlignment="1">
      <alignment horizontal="center" vertical="center" wrapText="1"/>
    </xf>
    <xf numFmtId="49" fontId="54" fillId="0" borderId="35" xfId="0" applyNumberFormat="1" applyFont="1" applyBorder="1" applyAlignment="1" applyProtection="1">
      <alignment horizontal="center" vertical="center" wrapText="1"/>
      <protection locked="0"/>
    </xf>
    <xf numFmtId="0" fontId="54" fillId="6" borderId="58" xfId="0" applyFont="1" applyFill="1" applyBorder="1" applyAlignment="1">
      <alignment horizontal="center" vertical="center" wrapText="1"/>
    </xf>
    <xf numFmtId="49" fontId="54" fillId="0" borderId="14" xfId="0" applyNumberFormat="1" applyFont="1" applyBorder="1" applyAlignment="1" applyProtection="1">
      <alignment horizontal="center" vertical="center" wrapText="1"/>
      <protection locked="0"/>
    </xf>
    <xf numFmtId="0" fontId="54" fillId="6" borderId="61" xfId="0" applyFont="1" applyFill="1" applyBorder="1" applyAlignment="1">
      <alignment horizontal="center" vertical="center" wrapText="1"/>
    </xf>
    <xf numFmtId="0" fontId="47" fillId="6" borderId="4" xfId="0" applyFont="1" applyFill="1" applyBorder="1" applyAlignment="1">
      <alignment horizontal="center" vertical="center" wrapText="1"/>
    </xf>
    <xf numFmtId="49" fontId="54" fillId="0" borderId="22" xfId="0" applyNumberFormat="1" applyFont="1" applyBorder="1" applyAlignment="1" applyProtection="1">
      <alignment horizontal="center" vertical="center" wrapText="1"/>
      <protection locked="0"/>
    </xf>
    <xf numFmtId="0" fontId="54" fillId="6" borderId="46" xfId="0" applyFont="1" applyFill="1" applyBorder="1" applyAlignment="1">
      <alignment horizontal="center" vertical="center" wrapText="1"/>
    </xf>
    <xf numFmtId="49" fontId="54" fillId="0" borderId="11" xfId="0" applyNumberFormat="1" applyFont="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6" borderId="5" xfId="0" applyFont="1" applyFill="1" applyBorder="1" applyAlignment="1">
      <alignment horizontal="center" vertical="center" wrapText="1"/>
    </xf>
    <xf numFmtId="0" fontId="47" fillId="6" borderId="8" xfId="0" applyFont="1" applyFill="1" applyBorder="1" applyAlignment="1">
      <alignment horizontal="center" vertical="center" wrapText="1"/>
    </xf>
    <xf numFmtId="49" fontId="47" fillId="0" borderId="7" xfId="0" applyNumberFormat="1" applyFont="1" applyBorder="1" applyAlignment="1" applyProtection="1">
      <alignment horizontal="center" vertical="center" wrapText="1"/>
      <protection locked="0"/>
    </xf>
    <xf numFmtId="49" fontId="47" fillId="0" borderId="41" xfId="0" applyNumberFormat="1" applyFont="1" applyBorder="1" applyAlignment="1" applyProtection="1">
      <alignment horizontal="center" vertical="center" wrapText="1"/>
      <protection locked="0"/>
    </xf>
    <xf numFmtId="0" fontId="53" fillId="6" borderId="40" xfId="0" applyFont="1" applyFill="1" applyBorder="1" applyAlignment="1">
      <alignment vertical="center" textRotation="255" wrapText="1"/>
    </xf>
    <xf numFmtId="0" fontId="54" fillId="6" borderId="10" xfId="0" applyFont="1" applyFill="1" applyBorder="1" applyAlignment="1">
      <alignment horizontal="center" vertical="center" wrapText="1"/>
    </xf>
    <xf numFmtId="0" fontId="72" fillId="6" borderId="14" xfId="0" applyFont="1" applyFill="1" applyBorder="1" applyAlignment="1">
      <alignment vertical="center" textRotation="255" wrapText="1"/>
    </xf>
    <xf numFmtId="0" fontId="47" fillId="0" borderId="37" xfId="0" applyFont="1" applyBorder="1" applyAlignment="1" applyProtection="1">
      <alignment horizontal="center" vertical="center" wrapText="1"/>
      <protection locked="0"/>
    </xf>
    <xf numFmtId="0" fontId="52" fillId="0" borderId="0" xfId="0" applyFont="1" applyAlignment="1" applyProtection="1">
      <alignment horizontal="center" vertical="center"/>
      <protection locked="0"/>
    </xf>
    <xf numFmtId="0" fontId="53" fillId="6" borderId="14" xfId="0" applyFont="1" applyFill="1" applyBorder="1" applyAlignment="1">
      <alignment vertical="center" textRotation="255" wrapText="1"/>
    </xf>
    <xf numFmtId="0" fontId="49" fillId="6" borderId="14" xfId="0" applyFont="1" applyFill="1" applyBorder="1" applyAlignment="1">
      <alignment vertical="center" textRotation="255" wrapText="1"/>
    </xf>
    <xf numFmtId="9" fontId="47" fillId="0" borderId="37" xfId="0" applyNumberFormat="1" applyFont="1" applyBorder="1" applyAlignment="1" applyProtection="1">
      <alignment horizontal="center" vertical="center" wrapText="1"/>
      <protection locked="0"/>
    </xf>
    <xf numFmtId="9" fontId="47" fillId="0" borderId="3" xfId="0" applyNumberFormat="1" applyFont="1" applyBorder="1" applyAlignment="1" applyProtection="1">
      <alignment horizontal="center" vertical="center" wrapText="1"/>
      <protection locked="0"/>
    </xf>
    <xf numFmtId="9" fontId="47" fillId="0" borderId="23" xfId="0" applyNumberFormat="1" applyFont="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3" fillId="6" borderId="12" xfId="0" applyFont="1" applyFill="1" applyBorder="1" applyAlignment="1">
      <alignment vertical="center" textRotation="255" wrapText="1"/>
    </xf>
    <xf numFmtId="49" fontId="53" fillId="6" borderId="51" xfId="0" applyNumberFormat="1" applyFont="1" applyFill="1" applyBorder="1">
      <alignment vertical="center"/>
    </xf>
    <xf numFmtId="49" fontId="53" fillId="6" borderId="20" xfId="0" applyNumberFormat="1" applyFont="1" applyFill="1" applyBorder="1">
      <alignment vertical="center"/>
    </xf>
    <xf numFmtId="0" fontId="53" fillId="6" borderId="21" xfId="0" applyFont="1" applyFill="1" applyBorder="1" applyAlignment="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lignment vertical="center" wrapText="1"/>
    </xf>
    <xf numFmtId="49" fontId="53" fillId="6" borderId="38" xfId="0" applyNumberFormat="1" applyFont="1" applyFill="1" applyBorder="1">
      <alignment vertical="center"/>
    </xf>
    <xf numFmtId="49" fontId="53" fillId="6" borderId="52" xfId="0" applyNumberFormat="1" applyFont="1" applyFill="1" applyBorder="1">
      <alignment vertical="center"/>
    </xf>
    <xf numFmtId="185" fontId="53" fillId="6" borderId="38" xfId="0" applyNumberFormat="1" applyFont="1" applyFill="1" applyBorder="1" applyAlignment="1">
      <alignment vertical="center" wrapText="1"/>
    </xf>
    <xf numFmtId="185" fontId="53" fillId="6" borderId="52" xfId="0" applyNumberFormat="1" applyFont="1" applyFill="1" applyBorder="1" applyAlignment="1">
      <alignment vertical="center" wrapText="1"/>
    </xf>
    <xf numFmtId="49" fontId="53" fillId="0" borderId="42" xfId="0" applyNumberFormat="1" applyFont="1" applyBorder="1" applyProtection="1">
      <alignment vertical="center"/>
      <protection locked="0"/>
    </xf>
    <xf numFmtId="49" fontId="53" fillId="0" borderId="43" xfId="0" applyNumberFormat="1" applyFont="1" applyBorder="1" applyProtection="1">
      <alignment vertical="center"/>
      <protection locked="0"/>
    </xf>
    <xf numFmtId="185" fontId="53" fillId="6" borderId="47" xfId="0" applyNumberFormat="1" applyFont="1" applyFill="1" applyBorder="1" applyAlignment="1">
      <alignment vertical="center" wrapText="1"/>
    </xf>
    <xf numFmtId="188" fontId="54" fillId="0" borderId="0" xfId="0" applyNumberFormat="1" applyFont="1" applyAlignment="1" applyProtection="1">
      <alignment horizontal="center" vertical="center"/>
      <protection locked="0"/>
    </xf>
    <xf numFmtId="181" fontId="54" fillId="0" borderId="0" xfId="0" applyNumberFormat="1" applyFont="1" applyAlignment="1" applyProtection="1">
      <alignment horizontal="center" vertical="center"/>
      <protection locked="0"/>
    </xf>
    <xf numFmtId="0" fontId="53" fillId="6" borderId="1" xfId="0" applyFont="1" applyFill="1" applyBorder="1" applyAlignment="1">
      <alignment horizontal="left" vertical="center"/>
    </xf>
    <xf numFmtId="0" fontId="53" fillId="6" borderId="1" xfId="0" applyFont="1" applyFill="1" applyBorder="1" applyAlignment="1">
      <alignment horizontal="center" vertical="center" wrapText="1"/>
    </xf>
    <xf numFmtId="181" fontId="54" fillId="6" borderId="5" xfId="0" applyNumberFormat="1" applyFont="1" applyFill="1" applyBorder="1" applyAlignment="1">
      <alignment horizontal="center" vertical="center"/>
    </xf>
    <xf numFmtId="181" fontId="54" fillId="6" borderId="3" xfId="0" applyNumberFormat="1" applyFont="1" applyFill="1" applyBorder="1">
      <alignment vertical="center"/>
    </xf>
    <xf numFmtId="0" fontId="53" fillId="6" borderId="3" xfId="0" applyFont="1" applyFill="1" applyBorder="1" applyAlignment="1">
      <alignment horizontal="center" vertical="center" wrapText="1"/>
    </xf>
    <xf numFmtId="0" fontId="71" fillId="0" borderId="0" xfId="0" applyFont="1" applyAlignment="1" applyProtection="1">
      <alignment horizontal="center" vertical="center"/>
      <protection locked="0"/>
    </xf>
    <xf numFmtId="0" fontId="54" fillId="0" borderId="0" xfId="0" applyFont="1" applyAlignment="1" applyProtection="1">
      <protection locked="0"/>
    </xf>
    <xf numFmtId="9" fontId="47" fillId="0" borderId="0" xfId="0" applyNumberFormat="1" applyFont="1" applyAlignment="1" applyProtection="1">
      <alignment horizontal="center" vertical="center" wrapText="1"/>
      <protection locked="0"/>
    </xf>
    <xf numFmtId="0" fontId="49" fillId="6" borderId="16" xfId="0" applyFont="1" applyFill="1" applyBorder="1" applyAlignment="1">
      <alignment vertical="center" wrapText="1"/>
    </xf>
    <xf numFmtId="0" fontId="49" fillId="6" borderId="39" xfId="0" applyFont="1" applyFill="1" applyBorder="1" applyAlignment="1">
      <alignment vertical="center" wrapText="1"/>
    </xf>
    <xf numFmtId="49" fontId="47" fillId="0" borderId="0" xfId="0" applyNumberFormat="1" applyFont="1" applyAlignment="1" applyProtection="1">
      <alignment horizontal="center" vertical="center"/>
      <protection locked="0"/>
    </xf>
    <xf numFmtId="0" fontId="49" fillId="6" borderId="18" xfId="0" applyFont="1" applyFill="1" applyBorder="1" applyAlignment="1">
      <alignment vertical="center" wrapText="1"/>
    </xf>
    <xf numFmtId="0" fontId="49" fillId="6" borderId="35" xfId="0" applyFont="1" applyFill="1" applyBorder="1" applyAlignment="1">
      <alignment vertical="center" wrapText="1"/>
    </xf>
    <xf numFmtId="0" fontId="47" fillId="0" borderId="22" xfId="0" applyFont="1" applyBorder="1" applyAlignment="1" applyProtection="1">
      <alignment horizontal="center" vertical="center" wrapText="1"/>
      <protection locked="0"/>
    </xf>
    <xf numFmtId="0" fontId="47" fillId="0" borderId="13" xfId="0" applyFont="1" applyBorder="1" applyAlignment="1" applyProtection="1">
      <alignment horizontal="center" vertical="center" wrapText="1"/>
      <protection locked="0"/>
    </xf>
    <xf numFmtId="0" fontId="47" fillId="0" borderId="46" xfId="0" applyFont="1" applyBorder="1" applyAlignment="1" applyProtection="1">
      <alignment horizontal="center" vertical="center" wrapText="1"/>
      <protection locked="0"/>
    </xf>
    <xf numFmtId="0" fontId="47" fillId="0" borderId="61" xfId="0" applyFont="1" applyBorder="1" applyAlignment="1" applyProtection="1">
      <alignment horizontal="center" vertical="center" wrapText="1"/>
      <protection locked="0"/>
    </xf>
    <xf numFmtId="0" fontId="49" fillId="6" borderId="42" xfId="0" applyFont="1" applyFill="1" applyBorder="1">
      <alignment vertical="center"/>
    </xf>
    <xf numFmtId="0" fontId="49" fillId="6" borderId="73" xfId="0" applyFont="1" applyFill="1" applyBorder="1" applyAlignment="1">
      <alignment vertical="center" wrapText="1"/>
    </xf>
    <xf numFmtId="0" fontId="47" fillId="0" borderId="73"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75" xfId="0" applyFont="1" applyBorder="1" applyAlignment="1" applyProtection="1">
      <alignment horizontal="center" vertical="center" wrapText="1"/>
      <protection locked="0"/>
    </xf>
    <xf numFmtId="0" fontId="47" fillId="0" borderId="76" xfId="0" applyFont="1" applyBorder="1" applyAlignment="1" applyProtection="1">
      <alignment horizontal="center" vertical="center" wrapText="1"/>
      <protection locked="0"/>
    </xf>
    <xf numFmtId="0" fontId="49" fillId="6" borderId="58" xfId="0" applyFont="1" applyFill="1" applyBorder="1" applyAlignment="1">
      <alignment vertical="center" wrapText="1"/>
    </xf>
    <xf numFmtId="0" fontId="47" fillId="6" borderId="7" xfId="0" applyFont="1" applyFill="1" applyBorder="1" applyAlignment="1">
      <alignment horizontal="center" vertical="center" wrapText="1"/>
    </xf>
    <xf numFmtId="0" fontId="47" fillId="0" borderId="2" xfId="0" applyFont="1" applyBorder="1" applyAlignment="1" applyProtection="1">
      <alignment horizontal="left" vertical="center" wrapText="1"/>
      <protection locked="0"/>
    </xf>
    <xf numFmtId="0" fontId="47" fillId="0" borderId="8" xfId="0" applyFont="1" applyBorder="1" applyAlignment="1" applyProtection="1">
      <alignment horizontal="center" vertical="center" wrapText="1"/>
      <protection locked="0"/>
    </xf>
    <xf numFmtId="0" fontId="101" fillId="0" borderId="0" xfId="0" applyFont="1" applyProtection="1">
      <alignment vertical="center"/>
      <protection locked="0"/>
    </xf>
    <xf numFmtId="0" fontId="47" fillId="6" borderId="17" xfId="0" applyFont="1" applyFill="1" applyBorder="1" applyAlignment="1">
      <alignment horizontal="center" vertical="center" wrapText="1"/>
    </xf>
    <xf numFmtId="0" fontId="54" fillId="6" borderId="9" xfId="0" applyFont="1" applyFill="1" applyBorder="1" applyAlignment="1">
      <alignment horizontal="center" vertical="center" wrapText="1"/>
    </xf>
    <xf numFmtId="0" fontId="54" fillId="0" borderId="9"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71" fillId="0" borderId="9" xfId="0" applyFont="1" applyBorder="1" applyAlignment="1" applyProtection="1">
      <alignment horizontal="left" vertical="center" wrapText="1"/>
      <protection locked="0"/>
    </xf>
    <xf numFmtId="0" fontId="71" fillId="0" borderId="10" xfId="0" applyFont="1" applyBorder="1" applyAlignment="1" applyProtection="1">
      <alignment horizontal="center" vertical="center" wrapText="1"/>
      <protection locked="0"/>
    </xf>
    <xf numFmtId="0" fontId="52" fillId="6" borderId="77" xfId="0" applyFont="1" applyFill="1" applyBorder="1" applyAlignment="1">
      <alignment horizontal="center" vertical="center" wrapText="1"/>
    </xf>
    <xf numFmtId="0" fontId="54" fillId="0" borderId="78"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47" fillId="6" borderId="57" xfId="0" applyFont="1" applyFill="1" applyBorder="1" applyAlignment="1">
      <alignment horizontal="center" vertical="center" wrapText="1"/>
    </xf>
    <xf numFmtId="0" fontId="54" fillId="6" borderId="44" xfId="0" applyFont="1" applyFill="1" applyBorder="1" applyAlignment="1">
      <alignment horizontal="center" vertical="center" wrapText="1"/>
    </xf>
    <xf numFmtId="0" fontId="71" fillId="6" borderId="44" xfId="0" applyFont="1" applyFill="1" applyBorder="1" applyAlignment="1">
      <alignment horizontal="center" vertical="center" wrapText="1"/>
    </xf>
    <xf numFmtId="0" fontId="71" fillId="6" borderId="44" xfId="0" applyFont="1" applyFill="1" applyBorder="1" applyAlignment="1">
      <alignment horizontal="left" vertical="center" wrapText="1"/>
    </xf>
    <xf numFmtId="0" fontId="71" fillId="6" borderId="45" xfId="0" applyFont="1" applyFill="1" applyBorder="1" applyAlignment="1">
      <alignment horizontal="center" vertical="center" wrapText="1"/>
    </xf>
    <xf numFmtId="0" fontId="47" fillId="6" borderId="77" xfId="0" applyFont="1" applyFill="1" applyBorder="1" applyAlignment="1">
      <alignment horizontal="center" vertical="center" wrapText="1"/>
    </xf>
    <xf numFmtId="0" fontId="54" fillId="6" borderId="78" xfId="0" applyFont="1" applyFill="1" applyBorder="1" applyAlignment="1">
      <alignment horizontal="center" vertical="center" wrapText="1"/>
    </xf>
    <xf numFmtId="0" fontId="54" fillId="6" borderId="79"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4" fillId="0" borderId="1"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0" fontId="71" fillId="0" borderId="1" xfId="0" applyFont="1" applyBorder="1" applyAlignment="1" applyProtection="1">
      <alignment horizontal="left" vertical="center" wrapText="1"/>
      <protection locked="0"/>
    </xf>
    <xf numFmtId="0" fontId="71" fillId="0" borderId="24" xfId="0" applyFont="1" applyBorder="1" applyAlignment="1" applyProtection="1">
      <alignment horizontal="center" vertical="center" wrapText="1"/>
      <protection locked="0"/>
    </xf>
    <xf numFmtId="0" fontId="72" fillId="6" borderId="14"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9" fontId="52" fillId="0" borderId="0" xfId="0" applyNumberFormat="1" applyFont="1" applyAlignment="1" applyProtection="1">
      <alignment horizontal="center" vertical="center"/>
      <protection locked="0"/>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52" fillId="0" borderId="2"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52" fillId="0" borderId="0" xfId="0" applyFont="1" applyAlignment="1" applyProtection="1">
      <alignment vertical="center" wrapText="1"/>
      <protection locked="0"/>
    </xf>
    <xf numFmtId="0" fontId="72" fillId="6" borderId="12" xfId="0" applyFont="1" applyFill="1" applyBorder="1" applyAlignment="1">
      <alignment vertical="center" wrapText="1"/>
    </xf>
    <xf numFmtId="0" fontId="47" fillId="6" borderId="74" xfId="0" applyFont="1" applyFill="1" applyBorder="1" applyAlignment="1">
      <alignment horizontal="center" vertical="center" wrapText="1"/>
    </xf>
    <xf numFmtId="0" fontId="47" fillId="0" borderId="32"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7" fillId="6" borderId="9" xfId="0" applyFont="1" applyFill="1" applyBorder="1" applyAlignment="1">
      <alignment horizontal="center" vertical="center" wrapText="1"/>
    </xf>
    <xf numFmtId="0" fontId="71" fillId="6" borderId="9" xfId="0" applyFont="1" applyFill="1" applyBorder="1" applyAlignment="1">
      <alignment horizontal="center" vertical="center" wrapText="1"/>
    </xf>
    <xf numFmtId="0" fontId="71" fillId="6" borderId="9" xfId="0" applyFont="1" applyFill="1" applyBorder="1" applyAlignment="1">
      <alignment horizontal="left" vertical="center" wrapText="1"/>
    </xf>
    <xf numFmtId="0" fontId="71" fillId="6" borderId="10" xfId="0" applyFont="1" applyFill="1" applyBorder="1" applyAlignment="1">
      <alignment horizontal="center" vertical="center" wrapText="1"/>
    </xf>
    <xf numFmtId="0" fontId="47" fillId="0" borderId="0" xfId="0" applyFont="1" applyAlignment="1" applyProtection="1">
      <alignment vertical="center" wrapText="1"/>
      <protection locked="0"/>
    </xf>
    <xf numFmtId="0" fontId="47" fillId="6" borderId="44" xfId="0" applyFont="1" applyFill="1" applyBorder="1" applyAlignment="1">
      <alignment horizontal="center" vertical="center" wrapText="1"/>
    </xf>
    <xf numFmtId="0" fontId="47" fillId="0" borderId="44" xfId="0" applyFont="1" applyBorder="1" applyAlignment="1" applyProtection="1">
      <alignment horizontal="left" vertical="center" wrapText="1"/>
      <protection locked="0"/>
    </xf>
    <xf numFmtId="0" fontId="47" fillId="0" borderId="45" xfId="0" applyFont="1" applyBorder="1" applyAlignment="1" applyProtection="1">
      <alignment horizontal="center" vertical="center" wrapText="1"/>
      <protection locked="0"/>
    </xf>
    <xf numFmtId="0" fontId="47" fillId="6" borderId="78" xfId="0" applyFont="1" applyFill="1" applyBorder="1" applyAlignment="1">
      <alignment horizontal="center" vertical="center" wrapText="1"/>
    </xf>
    <xf numFmtId="0" fontId="54"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left" vertical="center" wrapText="1"/>
      <protection locked="0"/>
    </xf>
    <xf numFmtId="0" fontId="71" fillId="0" borderId="45"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2"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54" fillId="0" borderId="49" xfId="0" applyFont="1" applyBorder="1" applyAlignment="1" applyProtection="1">
      <alignment horizontal="center" vertical="center" wrapText="1"/>
      <protection locked="0"/>
    </xf>
    <xf numFmtId="0" fontId="47" fillId="6" borderId="58" xfId="0" applyFont="1" applyFill="1" applyBorder="1" applyAlignment="1">
      <alignment horizontal="center" vertical="center"/>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24" xfId="0" applyFont="1" applyBorder="1" applyAlignment="1" applyProtection="1">
      <alignment horizontal="center" vertical="center" wrapText="1"/>
      <protection locked="0"/>
    </xf>
    <xf numFmtId="0" fontId="52" fillId="6" borderId="44" xfId="0" applyFont="1" applyFill="1" applyBorder="1" applyAlignment="1">
      <alignment horizontal="center" vertical="center" wrapText="1"/>
    </xf>
    <xf numFmtId="0" fontId="52" fillId="6" borderId="44" xfId="0" applyFont="1" applyFill="1" applyBorder="1" applyAlignment="1">
      <alignment horizontal="left" vertical="center" wrapText="1"/>
    </xf>
    <xf numFmtId="0" fontId="52" fillId="6" borderId="45" xfId="0" applyFont="1" applyFill="1" applyBorder="1" applyAlignment="1">
      <alignment horizontal="center" vertical="center" wrapText="1"/>
    </xf>
    <xf numFmtId="0" fontId="47"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24"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185" fontId="60" fillId="6" borderId="13" xfId="0" applyNumberFormat="1" applyFont="1" applyFill="1" applyBorder="1" applyAlignment="1">
      <alignment horizontal="right" vertical="center"/>
    </xf>
    <xf numFmtId="188" fontId="47" fillId="6" borderId="3" xfId="0" applyNumberFormat="1"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61" fillId="6" borderId="3" xfId="0" applyFont="1" applyFill="1" applyBorder="1" applyAlignment="1">
      <alignment horizontal="center" vertical="center" wrapText="1"/>
    </xf>
    <xf numFmtId="0" fontId="61" fillId="0" borderId="11" xfId="0" applyFont="1" applyBorder="1" applyAlignment="1" applyProtection="1">
      <alignment horizontal="center" vertical="center" wrapText="1"/>
      <protection locked="0"/>
    </xf>
    <xf numFmtId="0" fontId="61" fillId="6" borderId="41" xfId="0" applyFont="1" applyFill="1" applyBorder="1" applyAlignment="1">
      <alignment horizontal="center" vertical="center" wrapText="1"/>
    </xf>
    <xf numFmtId="0" fontId="54" fillId="2" borderId="37" xfId="0" applyFont="1" applyFill="1" applyBorder="1" applyAlignment="1" applyProtection="1">
      <alignment horizontal="center" vertical="center" wrapText="1"/>
      <protection locked="0"/>
    </xf>
    <xf numFmtId="17" fontId="52" fillId="0" borderId="37" xfId="0" applyNumberFormat="1"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1" xfId="0" applyNumberFormat="1" applyFont="1" applyFill="1" applyBorder="1" applyAlignment="1" applyProtection="1">
      <alignment horizontal="center" vertical="center" wrapText="1"/>
      <protection locked="0"/>
    </xf>
    <xf numFmtId="0" fontId="47" fillId="6" borderId="45" xfId="0" applyFont="1" applyFill="1" applyBorder="1" applyAlignment="1">
      <alignment horizontal="center" vertical="center" wrapText="1"/>
    </xf>
    <xf numFmtId="0" fontId="54"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left" vertical="center" wrapText="1"/>
      <protection locked="0"/>
    </xf>
    <xf numFmtId="0" fontId="71" fillId="0" borderId="53" xfId="0" applyFont="1" applyBorder="1" applyAlignment="1" applyProtection="1">
      <alignment horizontal="center" vertical="center" wrapText="1"/>
      <protection locked="0"/>
    </xf>
    <xf numFmtId="0" fontId="101" fillId="0" borderId="44"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47" fillId="6" borderId="62" xfId="0" applyFont="1" applyFill="1" applyBorder="1" applyAlignment="1">
      <alignment horizontal="center" vertical="center" wrapText="1"/>
    </xf>
    <xf numFmtId="0" fontId="54" fillId="6" borderId="56" xfId="0" applyFont="1" applyFill="1" applyBorder="1" applyAlignment="1">
      <alignment horizontal="center" vertical="center"/>
    </xf>
    <xf numFmtId="0" fontId="47" fillId="6" borderId="61" xfId="0" applyFont="1" applyFill="1" applyBorder="1" applyAlignment="1">
      <alignment horizontal="center" vertical="center" wrapText="1"/>
    </xf>
    <xf numFmtId="0" fontId="47" fillId="6" borderId="53" xfId="0" applyFont="1" applyFill="1" applyBorder="1" applyAlignment="1">
      <alignment horizontal="center" vertical="center" wrapText="1"/>
    </xf>
    <xf numFmtId="0" fontId="54" fillId="2" borderId="54" xfId="0" applyFont="1" applyFill="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54" fillId="6" borderId="57" xfId="0"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9" fontId="54" fillId="0" borderId="0" xfId="0" applyNumberFormat="1" applyFont="1" applyAlignment="1" applyProtection="1">
      <alignment horizontal="center" vertical="center" wrapText="1"/>
      <protection locked="0"/>
    </xf>
    <xf numFmtId="0" fontId="47" fillId="6" borderId="22" xfId="0" applyFont="1" applyFill="1" applyBorder="1" applyAlignment="1">
      <alignment horizontal="center" vertical="center" wrapText="1"/>
    </xf>
    <xf numFmtId="0" fontId="47" fillId="6" borderId="20" xfId="0" applyFont="1" applyFill="1" applyBorder="1" applyAlignment="1">
      <alignment horizontal="center" vertical="center" wrapText="1"/>
    </xf>
    <xf numFmtId="0" fontId="69" fillId="6" borderId="80" xfId="0" applyFont="1" applyFill="1" applyBorder="1" applyAlignment="1">
      <alignment vertical="center" wrapText="1"/>
    </xf>
    <xf numFmtId="0" fontId="47" fillId="6" borderId="54" xfId="0" applyFont="1" applyFill="1" applyBorder="1" applyAlignment="1">
      <alignment horizontal="center" vertical="center" wrapText="1"/>
    </xf>
    <xf numFmtId="0" fontId="53" fillId="6" borderId="80" xfId="0" applyFont="1" applyFill="1" applyBorder="1" applyAlignment="1">
      <alignment vertical="center" wrapText="1"/>
    </xf>
    <xf numFmtId="0" fontId="47" fillId="0" borderId="36" xfId="0" applyFont="1" applyBorder="1" applyAlignment="1" applyProtection="1">
      <alignment horizontal="center" vertical="center" wrapText="1"/>
      <protection locked="0"/>
    </xf>
    <xf numFmtId="0" fontId="49" fillId="6" borderId="80" xfId="0" applyFont="1" applyFill="1" applyBorder="1" applyAlignment="1">
      <alignment vertical="center" wrapText="1"/>
    </xf>
    <xf numFmtId="0" fontId="53" fillId="6" borderId="81" xfId="0" applyFont="1" applyFill="1" applyBorder="1" applyAlignment="1">
      <alignment vertical="center" wrapText="1"/>
    </xf>
    <xf numFmtId="0" fontId="54" fillId="6" borderId="53" xfId="0" applyFont="1" applyFill="1" applyBorder="1" applyAlignment="1">
      <alignment horizontal="center" vertical="center"/>
    </xf>
    <xf numFmtId="0" fontId="47" fillId="6" borderId="76" xfId="0" applyFont="1" applyFill="1" applyBorder="1" applyAlignment="1">
      <alignment horizontal="center" vertical="center" wrapText="1"/>
    </xf>
    <xf numFmtId="0" fontId="47" fillId="6" borderId="75" xfId="0" applyFont="1" applyFill="1" applyBorder="1" applyAlignment="1">
      <alignment horizontal="center" vertical="center" wrapText="1"/>
    </xf>
    <xf numFmtId="0" fontId="53" fillId="6" borderId="16" xfId="0" applyFont="1" applyFill="1" applyBorder="1" applyAlignment="1">
      <alignment vertical="center" textRotation="255" wrapText="1"/>
    </xf>
    <xf numFmtId="0" fontId="72" fillId="6" borderId="18" xfId="0" applyFont="1" applyFill="1" applyBorder="1" applyAlignment="1">
      <alignment vertical="center" textRotation="255" wrapText="1"/>
    </xf>
    <xf numFmtId="49" fontId="47" fillId="0" borderId="37" xfId="0" applyNumberFormat="1" applyFont="1" applyBorder="1" applyAlignment="1" applyProtection="1">
      <alignment horizontal="center" vertical="center" wrapText="1"/>
      <protection locked="0"/>
    </xf>
    <xf numFmtId="0" fontId="53" fillId="6" borderId="18" xfId="0" applyFont="1" applyFill="1" applyBorder="1" applyAlignment="1">
      <alignment vertical="center" textRotation="255" wrapText="1"/>
    </xf>
    <xf numFmtId="0" fontId="47" fillId="2" borderId="37" xfId="0" applyFont="1" applyFill="1" applyBorder="1" applyAlignment="1" applyProtection="1">
      <alignment horizontal="center" vertical="center" wrapText="1"/>
      <protection locked="0"/>
    </xf>
    <xf numFmtId="0" fontId="49" fillId="6" borderId="18" xfId="0" applyFont="1" applyFill="1" applyBorder="1" applyAlignment="1">
      <alignment vertical="center" textRotation="255" wrapText="1"/>
    </xf>
    <xf numFmtId="0" fontId="53" fillId="6" borderId="42" xfId="0" applyFont="1" applyFill="1" applyBorder="1" applyAlignment="1">
      <alignment vertical="center" textRotation="255" wrapText="1"/>
    </xf>
    <xf numFmtId="0" fontId="54" fillId="6" borderId="15" xfId="0" applyFont="1" applyFill="1" applyBorder="1" applyAlignment="1">
      <alignment horizontal="center" vertical="center" wrapText="1"/>
    </xf>
    <xf numFmtId="49" fontId="54"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left" vertical="center" wrapText="1"/>
      <protection locked="0"/>
    </xf>
    <xf numFmtId="49" fontId="71" fillId="0" borderId="10" xfId="0" applyNumberFormat="1" applyFont="1" applyBorder="1" applyAlignment="1" applyProtection="1">
      <alignment horizontal="center" vertical="center" wrapText="1"/>
      <protection locked="0"/>
    </xf>
    <xf numFmtId="0" fontId="47" fillId="6" borderId="58"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71" fillId="6" borderId="15" xfId="0" applyFont="1" applyFill="1" applyBorder="1" applyAlignment="1">
      <alignment horizontal="center" vertical="center" wrapText="1"/>
    </xf>
    <xf numFmtId="0" fontId="71" fillId="6" borderId="15" xfId="0" applyFont="1" applyFill="1" applyBorder="1" applyAlignment="1">
      <alignment horizontal="left" vertical="center" wrapText="1"/>
    </xf>
    <xf numFmtId="0" fontId="71" fillId="6" borderId="53" xfId="0" applyFont="1" applyFill="1" applyBorder="1" applyAlignment="1">
      <alignment horizontal="center" vertical="center" wrapText="1"/>
    </xf>
    <xf numFmtId="177" fontId="60" fillId="6" borderId="1" xfId="0" applyNumberFormat="1" applyFont="1" applyFill="1" applyBorder="1" applyAlignment="1">
      <alignment horizontal="right" vertical="center"/>
    </xf>
    <xf numFmtId="0" fontId="64" fillId="6" borderId="3"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4" fillId="6" borderId="18" xfId="0" applyFont="1" applyFill="1" applyBorder="1" applyAlignment="1">
      <alignment horizontal="center" vertical="center"/>
    </xf>
    <xf numFmtId="0" fontId="72" fillId="6" borderId="42" xfId="0" applyFont="1" applyFill="1" applyBorder="1" applyAlignment="1">
      <alignment vertical="center" textRotation="255" wrapText="1"/>
    </xf>
    <xf numFmtId="0" fontId="54" fillId="0" borderId="13" xfId="0" applyFont="1" applyBorder="1" applyAlignment="1" applyProtection="1">
      <alignment horizontal="center" vertical="center" wrapText="1"/>
      <protection locked="0"/>
    </xf>
    <xf numFmtId="0" fontId="54" fillId="0" borderId="25"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74" fillId="6" borderId="3" xfId="0" applyFont="1" applyFill="1" applyBorder="1" applyAlignment="1">
      <alignment horizontal="center" vertical="center" wrapText="1"/>
    </xf>
    <xf numFmtId="0" fontId="53" fillId="6" borderId="20" xfId="0" applyFont="1" applyFill="1" applyBorder="1" applyAlignment="1">
      <alignment horizontal="right" vertical="center" wrapText="1"/>
    </xf>
    <xf numFmtId="49" fontId="53" fillId="6" borderId="68" xfId="0" applyNumberFormat="1" applyFont="1" applyFill="1" applyBorder="1">
      <alignment vertical="center"/>
    </xf>
    <xf numFmtId="14" fontId="54" fillId="6" borderId="6" xfId="0" applyNumberFormat="1" applyFont="1" applyFill="1" applyBorder="1" applyAlignment="1">
      <alignment horizontal="left" vertical="center"/>
    </xf>
    <xf numFmtId="176" fontId="54" fillId="6" borderId="9" xfId="0" applyNumberFormat="1" applyFont="1" applyFill="1" applyBorder="1" applyAlignment="1">
      <alignment horizontal="center" vertical="center"/>
    </xf>
    <xf numFmtId="0" fontId="54" fillId="6" borderId="9" xfId="0" applyFont="1" applyFill="1" applyBorder="1" applyAlignment="1">
      <alignment horizontal="center" vertical="center"/>
    </xf>
    <xf numFmtId="0" fontId="54" fillId="6" borderId="10" xfId="0" applyFont="1" applyFill="1" applyBorder="1" applyAlignment="1">
      <alignment horizontal="center" vertical="center"/>
    </xf>
    <xf numFmtId="0" fontId="56" fillId="6" borderId="23" xfId="0" applyFont="1" applyFill="1" applyBorder="1" applyAlignment="1"/>
    <xf numFmtId="185" fontId="56" fillId="6" borderId="1" xfId="1" applyNumberFormat="1" applyFont="1" applyFill="1" applyBorder="1" applyAlignment="1">
      <alignment horizontal="center"/>
    </xf>
    <xf numFmtId="0" fontId="56" fillId="6" borderId="1" xfId="0" applyFont="1" applyFill="1" applyBorder="1" applyAlignment="1">
      <alignment horizontal="center"/>
    </xf>
    <xf numFmtId="177" fontId="56" fillId="6" borderId="24" xfId="1" applyNumberFormat="1" applyFont="1" applyFill="1" applyBorder="1" applyAlignment="1">
      <alignment horizontal="center"/>
    </xf>
    <xf numFmtId="0" fontId="75" fillId="0" borderId="0" xfId="0" applyFont="1" applyAlignment="1" applyProtection="1">
      <alignment horizontal="center" vertical="center"/>
      <protection locked="0"/>
    </xf>
    <xf numFmtId="0" fontId="56" fillId="6" borderId="23" xfId="1" applyFont="1" applyFill="1" applyBorder="1" applyAlignment="1"/>
    <xf numFmtId="179" fontId="56" fillId="0" borderId="1" xfId="1" applyNumberFormat="1" applyFont="1" applyBorder="1" applyAlignment="1" applyProtection="1">
      <alignment horizontal="center"/>
      <protection locked="0"/>
    </xf>
    <xf numFmtId="0" fontId="57" fillId="6" borderId="25" xfId="1" applyFont="1" applyFill="1" applyBorder="1" applyAlignment="1"/>
    <xf numFmtId="0" fontId="56" fillId="6" borderId="32" xfId="0" applyFont="1" applyFill="1" applyBorder="1" applyAlignment="1">
      <alignment horizontal="center"/>
    </xf>
    <xf numFmtId="177" fontId="57" fillId="6" borderId="49" xfId="0" applyNumberFormat="1" applyFont="1" applyFill="1" applyBorder="1" applyAlignment="1">
      <alignment horizontal="center"/>
    </xf>
    <xf numFmtId="0" fontId="47" fillId="6" borderId="44" xfId="0" applyFont="1" applyFill="1" applyBorder="1" applyAlignment="1">
      <alignment horizontal="left" vertical="center" wrapText="1"/>
    </xf>
    <xf numFmtId="0" fontId="54" fillId="0" borderId="61" xfId="0" applyFont="1" applyBorder="1" applyAlignment="1" applyProtection="1">
      <alignment horizontal="center" vertical="center" wrapText="1"/>
      <protection locked="0"/>
    </xf>
    <xf numFmtId="0" fontId="52" fillId="6" borderId="74" xfId="0" applyFont="1" applyFill="1" applyBorder="1" applyAlignment="1">
      <alignment horizontal="center" vertical="center" wrapText="1"/>
    </xf>
    <xf numFmtId="0" fontId="54" fillId="0" borderId="66" xfId="0" applyFont="1" applyBorder="1" applyAlignment="1" applyProtection="1">
      <alignment horizontal="center" vertical="center" wrapText="1"/>
      <protection locked="0"/>
    </xf>
    <xf numFmtId="0" fontId="50" fillId="6" borderId="16" xfId="0" applyFont="1" applyFill="1" applyBorder="1" applyAlignment="1">
      <alignment horizontal="center" vertical="center" wrapText="1"/>
    </xf>
    <xf numFmtId="0" fontId="50" fillId="6" borderId="9" xfId="0" applyFont="1" applyFill="1" applyBorder="1" applyAlignment="1">
      <alignment horizontal="center" vertical="center" wrapText="1"/>
    </xf>
    <xf numFmtId="0" fontId="50" fillId="6" borderId="31" xfId="0" applyFont="1" applyFill="1" applyBorder="1" applyAlignment="1">
      <alignment horizontal="center" vertical="center" wrapText="1"/>
    </xf>
    <xf numFmtId="0" fontId="56" fillId="0" borderId="0" xfId="0" applyFont="1" applyAlignment="1" applyProtection="1">
      <alignment horizontal="center" vertical="center"/>
      <protection locked="0"/>
    </xf>
    <xf numFmtId="0" fontId="50" fillId="6" borderId="18" xfId="0" applyFont="1" applyFill="1" applyBorder="1" applyAlignment="1">
      <alignment horizontal="center" vertical="center"/>
    </xf>
    <xf numFmtId="0" fontId="50" fillId="0" borderId="23"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1" fillId="6" borderId="59" xfId="0" applyFont="1" applyFill="1" applyBorder="1" applyAlignment="1">
      <alignment horizontal="center" vertical="center" wrapText="1"/>
    </xf>
    <xf numFmtId="0" fontId="51" fillId="0" borderId="0" xfId="0" applyFont="1" applyAlignment="1" applyProtection="1">
      <alignment horizontal="center" vertical="center"/>
      <protection locked="0"/>
    </xf>
    <xf numFmtId="0" fontId="50" fillId="0" borderId="56" xfId="0" applyFont="1" applyBorder="1" applyAlignment="1" applyProtection="1">
      <alignment horizontal="center" vertical="center" wrapText="1"/>
      <protection locked="0"/>
    </xf>
    <xf numFmtId="0" fontId="48" fillId="6" borderId="1" xfId="0" applyFont="1" applyFill="1" applyBorder="1">
      <alignment vertical="center"/>
    </xf>
    <xf numFmtId="0" fontId="63" fillId="0" borderId="1" xfId="0" applyFont="1" applyBorder="1" applyAlignment="1" applyProtection="1">
      <alignment horizontal="center" vertical="center"/>
      <protection locked="0"/>
    </xf>
    <xf numFmtId="0" fontId="63" fillId="6" borderId="1" xfId="0" applyFont="1" applyFill="1" applyBorder="1" applyAlignment="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lignment vertical="center"/>
    </xf>
    <xf numFmtId="0" fontId="56" fillId="0" borderId="8" xfId="1" applyFont="1" applyBorder="1" applyAlignment="1" applyProtection="1">
      <alignment horizontal="center" vertical="center"/>
      <protection locked="0"/>
    </xf>
    <xf numFmtId="0" fontId="56" fillId="0" borderId="61"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0" fontId="49" fillId="0" borderId="32" xfId="0" applyFont="1" applyBorder="1" applyAlignment="1" applyProtection="1">
      <alignment horizontal="center" vertical="center"/>
      <protection locked="0"/>
    </xf>
    <xf numFmtId="0" fontId="101" fillId="0" borderId="0" xfId="0" applyFont="1">
      <alignment vertical="center"/>
    </xf>
    <xf numFmtId="179" fontId="49" fillId="6" borderId="66" xfId="0" applyNumberFormat="1" applyFont="1" applyFill="1" applyBorder="1">
      <alignment vertical="center"/>
    </xf>
    <xf numFmtId="179" fontId="49" fillId="6" borderId="32" xfId="0" applyNumberFormat="1" applyFont="1" applyFill="1" applyBorder="1">
      <alignment vertical="center"/>
    </xf>
    <xf numFmtId="179" fontId="49" fillId="6" borderId="49" xfId="0" applyNumberFormat="1" applyFont="1" applyFill="1" applyBorder="1">
      <alignment vertical="center"/>
    </xf>
    <xf numFmtId="0" fontId="50" fillId="6" borderId="0" xfId="0" applyFont="1" applyFill="1">
      <alignment vertical="center"/>
    </xf>
    <xf numFmtId="0" fontId="101" fillId="6" borderId="0" xfId="0" applyFont="1" applyFill="1" applyAlignment="1">
      <alignment horizontal="left" vertical="center"/>
    </xf>
    <xf numFmtId="0" fontId="101" fillId="6" borderId="0" xfId="2" applyFont="1" applyFill="1" applyAlignment="1">
      <alignment horizontal="left"/>
    </xf>
    <xf numFmtId="49" fontId="60" fillId="6" borderId="0" xfId="0" applyNumberFormat="1" applyFont="1" applyFill="1" applyAlignment="1">
      <alignment horizontal="center"/>
    </xf>
    <xf numFmtId="0" fontId="68" fillId="6" borderId="36" xfId="0" applyFont="1" applyFill="1" applyBorder="1">
      <alignment vertical="center"/>
    </xf>
    <xf numFmtId="0" fontId="65" fillId="6" borderId="36" xfId="0" applyFont="1" applyFill="1" applyBorder="1">
      <alignment vertical="center"/>
    </xf>
    <xf numFmtId="188" fontId="65" fillId="6" borderId="36" xfId="0" applyNumberFormat="1" applyFont="1" applyFill="1" applyBorder="1" applyAlignment="1">
      <alignment horizontal="center" vertical="center"/>
    </xf>
    <xf numFmtId="181" fontId="65" fillId="6" borderId="36" xfId="0" applyNumberFormat="1" applyFont="1" applyFill="1" applyBorder="1">
      <alignment vertical="center"/>
    </xf>
    <xf numFmtId="0" fontId="65" fillId="6" borderId="36" xfId="0" applyFont="1" applyFill="1" applyBorder="1" applyAlignment="1">
      <alignment horizontal="center" vertical="center"/>
    </xf>
    <xf numFmtId="0" fontId="71" fillId="6" borderId="0" xfId="0" applyFont="1" applyFill="1" applyAlignment="1">
      <alignment horizontal="center" vertical="center"/>
    </xf>
    <xf numFmtId="14" fontId="54" fillId="6" borderId="0" xfId="0" applyNumberFormat="1" applyFont="1" applyFill="1" applyAlignment="1">
      <alignment horizontal="center" vertical="center"/>
    </xf>
    <xf numFmtId="176" fontId="54" fillId="6" borderId="0" xfId="0" applyNumberFormat="1" applyFont="1" applyFill="1" applyAlignment="1">
      <alignment horizontal="center" vertical="center"/>
    </xf>
    <xf numFmtId="0" fontId="59" fillId="6" borderId="0" xfId="0" applyFont="1" applyFill="1" applyAlignment="1"/>
    <xf numFmtId="0" fontId="54" fillId="6" borderId="0" xfId="0" applyFont="1" applyFill="1" applyAlignment="1"/>
    <xf numFmtId="0" fontId="54" fillId="6" borderId="0" xfId="0" applyFont="1" applyFill="1" applyAlignment="1">
      <alignment horizontal="center"/>
    </xf>
    <xf numFmtId="188" fontId="54" fillId="6" borderId="0" xfId="0" applyNumberFormat="1" applyFont="1" applyFill="1" applyAlignment="1">
      <alignment horizontal="center"/>
    </xf>
    <xf numFmtId="181" fontId="54" fillId="6" borderId="0" xfId="0" applyNumberFormat="1" applyFont="1" applyFill="1" applyAlignment="1"/>
    <xf numFmtId="0" fontId="66" fillId="6" borderId="0" xfId="0" applyFont="1" applyFill="1" applyAlignment="1">
      <alignment horizontal="center" vertical="center"/>
    </xf>
    <xf numFmtId="187" fontId="47" fillId="6" borderId="5" xfId="0" applyNumberFormat="1" applyFont="1" applyFill="1" applyBorder="1" applyAlignment="1">
      <alignment horizontal="center" vertical="center"/>
    </xf>
    <xf numFmtId="49" fontId="47" fillId="6" borderId="3" xfId="0" applyNumberFormat="1" applyFont="1" applyFill="1" applyBorder="1" applyAlignment="1">
      <alignment horizontal="center" vertical="center"/>
    </xf>
    <xf numFmtId="0" fontId="47" fillId="6" borderId="15" xfId="0" applyFont="1" applyFill="1" applyBorder="1" applyAlignment="1">
      <alignment horizontal="center" vertical="center"/>
    </xf>
    <xf numFmtId="187" fontId="54" fillId="6" borderId="5" xfId="0" applyNumberFormat="1" applyFont="1" applyFill="1" applyBorder="1" applyAlignment="1">
      <alignment horizontal="center" vertical="center"/>
    </xf>
    <xf numFmtId="49" fontId="54" fillId="6" borderId="3" xfId="0" applyNumberFormat="1"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0" fontId="52" fillId="6" borderId="15" xfId="0" applyFont="1" applyFill="1" applyBorder="1" applyAlignment="1">
      <alignment horizontal="center" vertical="center"/>
    </xf>
    <xf numFmtId="0" fontId="52" fillId="6" borderId="1" xfId="0" applyFont="1" applyFill="1" applyBorder="1" applyAlignment="1">
      <alignment horizontal="center" vertical="center"/>
    </xf>
    <xf numFmtId="0" fontId="54" fillId="6" borderId="2" xfId="0" applyFont="1" applyFill="1" applyBorder="1" applyAlignment="1">
      <alignment vertical="center" textRotation="255" wrapText="1"/>
    </xf>
    <xf numFmtId="188" fontId="54" fillId="6" borderId="3" xfId="0" applyNumberFormat="1" applyFont="1" applyFill="1" applyBorder="1" applyAlignment="1">
      <alignment horizontal="center" vertical="center"/>
    </xf>
    <xf numFmtId="188" fontId="54" fillId="6" borderId="1" xfId="0" applyNumberFormat="1" applyFont="1" applyFill="1" applyBorder="1" applyAlignment="1">
      <alignment horizontal="center" vertical="center" wrapText="1"/>
    </xf>
    <xf numFmtId="0" fontId="65" fillId="6" borderId="60" xfId="0" applyFont="1" applyFill="1" applyBorder="1" applyAlignment="1">
      <alignment horizontal="center" vertical="center"/>
    </xf>
    <xf numFmtId="0" fontId="56" fillId="6" borderId="0" xfId="0" applyFont="1" applyFill="1" applyAlignment="1"/>
    <xf numFmtId="0" fontId="47" fillId="6" borderId="32" xfId="0" applyFont="1" applyFill="1" applyBorder="1" applyAlignment="1">
      <alignment horizontal="center" vertical="center"/>
    </xf>
    <xf numFmtId="0" fontId="47" fillId="6" borderId="49" xfId="0" applyFont="1" applyFill="1" applyBorder="1" applyAlignment="1">
      <alignment horizontal="center" vertical="center"/>
    </xf>
    <xf numFmtId="181" fontId="108" fillId="6" borderId="65" xfId="0" applyNumberFormat="1" applyFont="1" applyFill="1" applyBorder="1" applyAlignment="1">
      <alignment horizontal="center" vertical="center"/>
    </xf>
    <xf numFmtId="179" fontId="56" fillId="7" borderId="0" xfId="0" applyNumberFormat="1" applyFont="1" applyFill="1" applyAlignment="1" applyProtection="1">
      <alignment horizontal="center" vertical="center"/>
      <protection locked="0"/>
    </xf>
    <xf numFmtId="49" fontId="57" fillId="7" borderId="0" xfId="0" applyNumberFormat="1" applyFont="1" applyFill="1" applyAlignment="1" applyProtection="1">
      <alignment horizontal="left" vertical="center"/>
      <protection locked="0"/>
    </xf>
    <xf numFmtId="0" fontId="66" fillId="7" borderId="0" xfId="0" applyFont="1" applyFill="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Border="1" applyAlignment="1" applyProtection="1">
      <alignment horizontal="center" vertical="center"/>
      <protection locked="0"/>
    </xf>
    <xf numFmtId="181" fontId="102"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9" fontId="50" fillId="0" borderId="5" xfId="0" applyNumberFormat="1" applyFont="1" applyBorder="1" applyAlignment="1" applyProtection="1">
      <alignment horizontal="center" vertical="center"/>
      <protection locked="0"/>
    </xf>
    <xf numFmtId="181" fontId="50" fillId="0" borderId="1" xfId="0" applyNumberFormat="1" applyFont="1" applyBorder="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2" fontId="50" fillId="0" borderId="1" xfId="0" applyNumberFormat="1" applyFont="1" applyBorder="1" applyAlignment="1" applyProtection="1">
      <alignment horizontal="center" vertical="center"/>
      <protection locked="0"/>
    </xf>
    <xf numFmtId="0" fontId="64" fillId="6" borderId="3" xfId="0" applyFont="1" applyFill="1" applyBorder="1" applyAlignment="1" applyProtection="1">
      <alignment horizontal="center" vertical="center" wrapText="1"/>
      <protection locked="0"/>
    </xf>
    <xf numFmtId="0" fontId="112" fillId="6" borderId="20" xfId="0" applyFont="1" applyFill="1" applyBorder="1">
      <alignment vertical="center"/>
    </xf>
    <xf numFmtId="0" fontId="112" fillId="6" borderId="21" xfId="0" applyFont="1" applyFill="1" applyBorder="1" applyAlignment="1">
      <alignment horizontal="center" vertical="center"/>
    </xf>
    <xf numFmtId="0" fontId="56" fillId="6" borderId="24" xfId="0" applyFont="1" applyFill="1" applyBorder="1" applyAlignment="1">
      <alignment horizontal="center" vertical="center" wrapText="1"/>
    </xf>
    <xf numFmtId="10" fontId="56" fillId="6" borderId="61" xfId="0" applyNumberFormat="1" applyFont="1" applyFill="1" applyBorder="1" applyAlignment="1">
      <alignment horizontal="center" vertical="center" wrapText="1"/>
    </xf>
    <xf numFmtId="10" fontId="56" fillId="6" borderId="53" xfId="0" applyNumberFormat="1" applyFont="1" applyFill="1" applyBorder="1" applyAlignment="1">
      <alignment vertical="center" wrapText="1"/>
    </xf>
    <xf numFmtId="10" fontId="56" fillId="6" borderId="76" xfId="0" applyNumberFormat="1" applyFont="1" applyFill="1" applyBorder="1" applyAlignment="1">
      <alignment vertical="center" wrapText="1"/>
    </xf>
    <xf numFmtId="10" fontId="56" fillId="6" borderId="53" xfId="0" applyNumberFormat="1" applyFont="1" applyFill="1" applyBorder="1" applyAlignment="1">
      <alignment horizontal="center" vertical="center" wrapText="1"/>
    </xf>
    <xf numFmtId="10" fontId="56" fillId="6" borderId="76" xfId="0" applyNumberFormat="1" applyFont="1" applyFill="1" applyBorder="1" applyAlignment="1">
      <alignment horizontal="center" vertical="center" wrapText="1"/>
    </xf>
    <xf numFmtId="0" fontId="81" fillId="0" borderId="60" xfId="3" applyFont="1" applyBorder="1">
      <alignment vertical="center"/>
    </xf>
    <xf numFmtId="179" fontId="54" fillId="6" borderId="1" xfId="0" applyNumberFormat="1" applyFont="1" applyFill="1" applyBorder="1" applyAlignment="1">
      <alignment horizontal="center" vertical="center" wrapText="1"/>
    </xf>
    <xf numFmtId="0" fontId="53" fillId="6" borderId="36" xfId="0" applyFont="1" applyFill="1" applyBorder="1" applyAlignment="1">
      <alignment horizontal="center" vertical="center"/>
    </xf>
    <xf numFmtId="0" fontId="57" fillId="6" borderId="34" xfId="0" applyFont="1" applyFill="1" applyBorder="1" applyAlignment="1">
      <alignment horizontal="center" vertical="center"/>
    </xf>
    <xf numFmtId="0" fontId="57" fillId="6" borderId="28" xfId="0" applyFont="1" applyFill="1" applyBorder="1" applyAlignment="1">
      <alignment horizontal="center" vertical="center" wrapText="1"/>
    </xf>
    <xf numFmtId="0" fontId="56" fillId="6" borderId="2" xfId="0" applyFont="1" applyFill="1" applyBorder="1" applyAlignment="1">
      <alignment horizontal="center" vertical="center" wrapText="1"/>
    </xf>
    <xf numFmtId="0" fontId="56" fillId="6" borderId="4" xfId="0" applyFont="1" applyFill="1" applyBorder="1" applyAlignment="1">
      <alignment horizontal="center" vertical="center" wrapText="1"/>
    </xf>
    <xf numFmtId="9" fontId="56" fillId="6" borderId="1" xfId="0" applyNumberFormat="1" applyFont="1" applyFill="1" applyBorder="1" applyAlignment="1">
      <alignment horizontal="center" vertical="center" wrapText="1"/>
    </xf>
    <xf numFmtId="0" fontId="56" fillId="6" borderId="13" xfId="0" applyFont="1" applyFill="1" applyBorder="1" applyAlignment="1">
      <alignment horizontal="center" vertical="center" wrapText="1"/>
    </xf>
    <xf numFmtId="186" fontId="53" fillId="6" borderId="84" xfId="0" applyNumberFormat="1" applyFont="1" applyFill="1" applyBorder="1" applyAlignment="1">
      <alignment horizontal="center" vertical="center" wrapText="1"/>
    </xf>
    <xf numFmtId="14" fontId="54" fillId="6" borderId="84" xfId="0" applyNumberFormat="1" applyFont="1" applyFill="1" applyBorder="1" applyAlignment="1">
      <alignment horizontal="center" vertical="center" wrapText="1"/>
    </xf>
    <xf numFmtId="14" fontId="54" fillId="6" borderId="64" xfId="0" applyNumberFormat="1" applyFont="1" applyFill="1" applyBorder="1" applyAlignment="1">
      <alignment horizontal="center" vertical="center" wrapText="1"/>
    </xf>
    <xf numFmtId="0" fontId="102" fillId="6" borderId="67" xfId="0" applyFont="1" applyFill="1" applyBorder="1" applyAlignment="1">
      <alignment horizontal="center" vertical="center" wrapText="1"/>
    </xf>
    <xf numFmtId="186" fontId="53" fillId="6" borderId="17" xfId="0" applyNumberFormat="1" applyFont="1" applyFill="1" applyBorder="1" applyAlignment="1">
      <alignment horizontal="center" vertical="center" wrapText="1"/>
    </xf>
    <xf numFmtId="0" fontId="57" fillId="6" borderId="20" xfId="0" applyFont="1" applyFill="1" applyBorder="1" applyAlignment="1">
      <alignment horizontal="center" vertical="center" wrapText="1"/>
    </xf>
    <xf numFmtId="0" fontId="57" fillId="6" borderId="15" xfId="0" applyFont="1" applyFill="1" applyBorder="1" applyAlignment="1">
      <alignment horizontal="center" vertical="center" wrapText="1"/>
    </xf>
    <xf numFmtId="0" fontId="57" fillId="6" borderId="32" xfId="0" applyFont="1" applyFill="1" applyBorder="1" applyAlignment="1">
      <alignment horizontal="center" vertical="center" wrapText="1"/>
    </xf>
    <xf numFmtId="181" fontId="102" fillId="6" borderId="17" xfId="0" applyNumberFormat="1" applyFont="1" applyFill="1" applyBorder="1" applyAlignment="1">
      <alignment horizontal="center" vertical="center" wrapText="1"/>
    </xf>
    <xf numFmtId="0" fontId="56" fillId="6" borderId="29" xfId="0" applyFont="1" applyFill="1" applyBorder="1" applyAlignment="1">
      <alignment horizontal="center" vertical="center" wrapText="1"/>
    </xf>
    <xf numFmtId="0" fontId="56" fillId="6" borderId="62" xfId="0" applyFont="1" applyFill="1" applyBorder="1" applyAlignment="1">
      <alignment horizontal="center" vertical="center" wrapText="1"/>
    </xf>
    <xf numFmtId="0" fontId="102" fillId="6" borderId="1"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177" fontId="54" fillId="0" borderId="1" xfId="0" applyNumberFormat="1" applyFont="1" applyBorder="1" applyAlignment="1" applyProtection="1">
      <alignment horizontal="center" vertical="center" wrapText="1"/>
      <protection locked="0"/>
    </xf>
    <xf numFmtId="0" fontId="56" fillId="0" borderId="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6" fillId="6" borderId="23" xfId="1" applyNumberFormat="1" applyFont="1" applyFill="1" applyBorder="1" applyAlignment="1">
      <alignment horizontal="center"/>
    </xf>
    <xf numFmtId="0" fontId="62" fillId="6" borderId="23" xfId="1" applyFont="1" applyFill="1" applyBorder="1" applyAlignment="1">
      <alignment horizontal="right"/>
    </xf>
    <xf numFmtId="0" fontId="56" fillId="6" borderId="23" xfId="0" applyFont="1" applyFill="1" applyBorder="1" applyAlignment="1">
      <alignment horizontal="center" vertical="center"/>
    </xf>
    <xf numFmtId="0" fontId="50" fillId="3" borderId="0" xfId="0" applyFont="1" applyFill="1" applyProtection="1">
      <alignment vertical="center"/>
      <protection locked="0"/>
    </xf>
    <xf numFmtId="0" fontId="48" fillId="6" borderId="51" xfId="0" applyFont="1" applyFill="1" applyBorder="1">
      <alignment vertical="center"/>
    </xf>
    <xf numFmtId="0" fontId="48" fillId="6" borderId="20" xfId="0" applyFont="1" applyFill="1" applyBorder="1">
      <alignment vertical="center"/>
    </xf>
    <xf numFmtId="0" fontId="48" fillId="6" borderId="21" xfId="0" applyFont="1" applyFill="1" applyBorder="1">
      <alignment vertical="center"/>
    </xf>
    <xf numFmtId="0" fontId="64" fillId="7" borderId="0" xfId="0" applyFont="1" applyFill="1" applyProtection="1">
      <alignment vertical="center"/>
      <protection locked="0"/>
    </xf>
    <xf numFmtId="0" fontId="49" fillId="6" borderId="23" xfId="0" applyFont="1" applyFill="1" applyBorder="1" applyAlignment="1">
      <alignment horizontal="center" vertical="center"/>
    </xf>
    <xf numFmtId="0" fontId="49" fillId="6" borderId="46"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49" fontId="50" fillId="6" borderId="23" xfId="0" applyNumberFormat="1" applyFont="1" applyFill="1" applyBorder="1" applyAlignment="1">
      <alignment horizontal="center" vertical="center"/>
    </xf>
    <xf numFmtId="185" fontId="50" fillId="0" borderId="1" xfId="0" applyNumberFormat="1" applyFont="1" applyBorder="1" applyAlignment="1" applyProtection="1">
      <alignment horizontal="center" vertical="center"/>
      <protection locked="0"/>
    </xf>
    <xf numFmtId="185" fontId="50" fillId="0" borderId="24" xfId="0" applyNumberFormat="1" applyFont="1" applyBorder="1" applyAlignment="1" applyProtection="1">
      <alignment horizontal="center" vertical="center"/>
      <protection locked="0"/>
    </xf>
    <xf numFmtId="185" fontId="49" fillId="6" borderId="1" xfId="0" applyNumberFormat="1" applyFont="1" applyFill="1" applyBorder="1" applyAlignment="1">
      <alignment horizontal="center" vertical="center"/>
    </xf>
    <xf numFmtId="0" fontId="49" fillId="6" borderId="1" xfId="0" applyFont="1" applyFill="1" applyBorder="1" applyAlignment="1">
      <alignment horizontal="center" vertical="center"/>
    </xf>
    <xf numFmtId="0" fontId="49" fillId="6" borderId="54" xfId="0" applyFont="1" applyFill="1" applyBorder="1">
      <alignment vertical="center"/>
    </xf>
    <xf numFmtId="0" fontId="49" fillId="6" borderId="48" xfId="0" applyFont="1" applyFill="1" applyBorder="1">
      <alignment vertical="center"/>
    </xf>
    <xf numFmtId="0" fontId="47" fillId="7" borderId="0" xfId="0" applyFont="1" applyFill="1" applyProtection="1">
      <alignment vertical="center"/>
      <protection locked="0"/>
    </xf>
    <xf numFmtId="0" fontId="50" fillId="6" borderId="23" xfId="1" applyFont="1" applyFill="1" applyBorder="1" applyAlignment="1">
      <alignment horizontal="right" vertical="center"/>
    </xf>
    <xf numFmtId="0" fontId="50" fillId="6" borderId="5" xfId="1" applyFont="1" applyFill="1" applyBorder="1">
      <alignment vertical="center"/>
    </xf>
    <xf numFmtId="179" fontId="50" fillId="6" borderId="1" xfId="1" applyNumberFormat="1" applyFont="1" applyFill="1" applyBorder="1" applyAlignment="1">
      <alignment horizontal="center" vertical="center"/>
    </xf>
    <xf numFmtId="0" fontId="52" fillId="7" borderId="0" xfId="0" applyFont="1" applyFill="1" applyProtection="1">
      <alignment vertical="center"/>
      <protection locked="0"/>
    </xf>
    <xf numFmtId="9" fontId="50" fillId="6" borderId="1" xfId="1" applyNumberFormat="1" applyFont="1" applyFill="1" applyBorder="1" applyAlignment="1">
      <alignment horizontal="center" vertical="center"/>
    </xf>
    <xf numFmtId="0" fontId="52" fillId="0" borderId="0" xfId="0" applyFont="1" applyProtection="1">
      <alignment vertical="center"/>
      <protection locked="0"/>
    </xf>
    <xf numFmtId="177" fontId="50" fillId="6" borderId="1" xfId="1" applyNumberFormat="1" applyFont="1" applyFill="1" applyBorder="1">
      <alignment vertical="center"/>
    </xf>
    <xf numFmtId="0" fontId="50" fillId="6" borderId="54" xfId="0" applyFont="1" applyFill="1" applyBorder="1">
      <alignment vertical="center"/>
    </xf>
    <xf numFmtId="0" fontId="50" fillId="6" borderId="48" xfId="0" applyFont="1" applyFill="1" applyBorder="1">
      <alignment vertical="center"/>
    </xf>
    <xf numFmtId="0" fontId="50" fillId="6" borderId="54" xfId="0" applyFont="1" applyFill="1" applyBorder="1" applyAlignment="1">
      <alignment horizontal="left" vertical="center"/>
    </xf>
    <xf numFmtId="0" fontId="50" fillId="6" borderId="48" xfId="0" applyFont="1" applyFill="1" applyBorder="1" applyAlignment="1">
      <alignment horizontal="left" vertical="center"/>
    </xf>
    <xf numFmtId="177" fontId="50" fillId="6" borderId="1" xfId="1" applyNumberFormat="1" applyFont="1" applyFill="1" applyBorder="1" applyAlignment="1">
      <alignment horizontal="center" vertical="center"/>
    </xf>
    <xf numFmtId="10" fontId="50" fillId="6" borderId="1" xfId="1" applyNumberFormat="1" applyFont="1" applyFill="1" applyBorder="1" applyAlignment="1">
      <alignment horizontal="center" vertical="center"/>
    </xf>
    <xf numFmtId="0" fontId="49" fillId="6" borderId="5" xfId="1" applyFont="1" applyFill="1" applyBorder="1">
      <alignment vertical="center"/>
    </xf>
    <xf numFmtId="177" fontId="49" fillId="6" borderId="1" xfId="1" applyNumberFormat="1" applyFont="1" applyFill="1" applyBorder="1" applyAlignment="1">
      <alignment horizontal="center" vertical="center"/>
    </xf>
    <xf numFmtId="0" fontId="49" fillId="6" borderId="1" xfId="1" applyFont="1" applyFill="1" applyBorder="1">
      <alignment vertical="center"/>
    </xf>
    <xf numFmtId="10" fontId="49" fillId="6" borderId="1" xfId="1" applyNumberFormat="1" applyFont="1" applyFill="1" applyBorder="1" applyAlignment="1">
      <alignment horizontal="center" vertical="center"/>
    </xf>
    <xf numFmtId="0" fontId="47" fillId="6" borderId="5" xfId="0" applyFont="1" applyFill="1" applyBorder="1">
      <alignment vertical="center"/>
    </xf>
    <xf numFmtId="0" fontId="47" fillId="6" borderId="54" xfId="0" applyFont="1" applyFill="1" applyBorder="1">
      <alignment vertical="center"/>
    </xf>
    <xf numFmtId="0" fontId="50" fillId="6" borderId="1" xfId="1" applyFont="1" applyFill="1" applyBorder="1" applyAlignment="1">
      <alignment horizontal="left" vertical="center"/>
    </xf>
    <xf numFmtId="0" fontId="51" fillId="3" borderId="0" xfId="0" applyFont="1" applyFill="1" applyProtection="1">
      <alignment vertical="center"/>
      <protection locked="0"/>
    </xf>
    <xf numFmtId="0" fontId="50" fillId="6" borderId="5" xfId="1" applyFont="1" applyFill="1" applyBorder="1" applyAlignment="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lignment horizontal="center" vertical="center"/>
    </xf>
    <xf numFmtId="185" fontId="102" fillId="0" borderId="13" xfId="0" applyNumberFormat="1" applyFont="1" applyBorder="1" applyAlignment="1" applyProtection="1">
      <alignment horizontal="center" vertical="center"/>
      <protection locked="0"/>
    </xf>
    <xf numFmtId="185" fontId="50" fillId="0" borderId="13" xfId="0" applyNumberFormat="1" applyFont="1" applyBorder="1" applyAlignment="1" applyProtection="1">
      <alignment horizontal="center" vertical="center"/>
      <protection locked="0"/>
    </xf>
    <xf numFmtId="185" fontId="50" fillId="0" borderId="61" xfId="0" applyNumberFormat="1" applyFont="1" applyBorder="1" applyAlignment="1" applyProtection="1">
      <alignment horizontal="center" vertical="center"/>
      <protection locked="0"/>
    </xf>
    <xf numFmtId="0" fontId="49" fillId="6" borderId="47" xfId="0" applyFont="1" applyFill="1" applyBorder="1">
      <alignment vertical="center"/>
    </xf>
    <xf numFmtId="185" fontId="48" fillId="6" borderId="74" xfId="0" applyNumberFormat="1" applyFont="1" applyFill="1" applyBorder="1" applyAlignment="1">
      <alignment horizontal="center" vertical="center"/>
    </xf>
    <xf numFmtId="0" fontId="48" fillId="6" borderId="75" xfId="0" applyFont="1" applyFill="1" applyBorder="1">
      <alignment vertical="center"/>
    </xf>
    <xf numFmtId="0" fontId="49" fillId="6" borderId="43" xfId="0" applyFont="1" applyFill="1" applyBorder="1">
      <alignment vertical="center"/>
    </xf>
    <xf numFmtId="0" fontId="49" fillId="6" borderId="33" xfId="1" applyFont="1" applyFill="1" applyBorder="1">
      <alignment vertical="center"/>
    </xf>
    <xf numFmtId="177" fontId="49" fillId="6" borderId="32" xfId="0" applyNumberFormat="1" applyFont="1" applyFill="1" applyBorder="1" applyAlignment="1">
      <alignment horizontal="center" vertical="center"/>
    </xf>
    <xf numFmtId="0" fontId="49" fillId="6" borderId="32" xfId="0" applyFont="1" applyFill="1" applyBorder="1">
      <alignment vertical="center"/>
    </xf>
    <xf numFmtId="177" fontId="49" fillId="6" borderId="32" xfId="0" applyNumberFormat="1" applyFont="1" applyFill="1" applyBorder="1">
      <alignment vertical="center"/>
    </xf>
    <xf numFmtId="10" fontId="49" fillId="6" borderId="32" xfId="0" applyNumberFormat="1" applyFont="1" applyFill="1" applyBorder="1" applyAlignment="1">
      <alignment horizontal="center" vertical="center"/>
    </xf>
    <xf numFmtId="177" fontId="49" fillId="6" borderId="33" xfId="0" applyNumberFormat="1" applyFont="1" applyFill="1" applyBorder="1">
      <alignment vertical="center"/>
    </xf>
    <xf numFmtId="177" fontId="49" fillId="6" borderId="52" xfId="0" applyNumberFormat="1" applyFont="1" applyFill="1" applyBorder="1">
      <alignment vertical="center"/>
    </xf>
    <xf numFmtId="177" fontId="49" fillId="6" borderId="68" xfId="0" applyNumberFormat="1" applyFont="1" applyFill="1" applyBorder="1">
      <alignment vertical="center"/>
    </xf>
    <xf numFmtId="0" fontId="53" fillId="6" borderId="15" xfId="0" applyFont="1" applyFill="1" applyBorder="1" applyAlignment="1">
      <alignment horizontal="center" vertical="center" wrapText="1"/>
    </xf>
    <xf numFmtId="0" fontId="118" fillId="0" borderId="0" xfId="5" applyFont="1">
      <alignment vertical="center"/>
    </xf>
    <xf numFmtId="0" fontId="98" fillId="0" borderId="0" xfId="5">
      <alignment vertical="center"/>
    </xf>
    <xf numFmtId="0" fontId="118" fillId="0" borderId="0" xfId="5" applyFont="1" applyAlignment="1">
      <alignment vertical="top" wrapText="1"/>
    </xf>
    <xf numFmtId="0" fontId="62" fillId="6" borderId="1" xfId="1" applyFont="1" applyFill="1" applyBorder="1" applyAlignment="1"/>
    <xf numFmtId="0" fontId="50" fillId="6" borderId="1" xfId="1" applyFont="1" applyFill="1" applyBorder="1" applyAlignment="1">
      <alignment horizontal="center" vertical="center"/>
    </xf>
    <xf numFmtId="0" fontId="48" fillId="0" borderId="2" xfId="7" applyFont="1" applyBorder="1" applyAlignment="1">
      <alignment horizontal="center" vertical="center" wrapText="1"/>
    </xf>
    <xf numFmtId="0" fontId="48" fillId="0" borderId="1" xfId="7" applyFont="1" applyBorder="1" applyAlignment="1">
      <alignment horizontal="center" vertical="center" wrapText="1"/>
    </xf>
    <xf numFmtId="0" fontId="64" fillId="0" borderId="1" xfId="7" applyFont="1" applyBorder="1" applyAlignment="1">
      <alignment horizontal="center" vertical="center" wrapText="1"/>
    </xf>
    <xf numFmtId="0" fontId="48" fillId="0" borderId="3" xfId="7" applyFont="1" applyBorder="1" applyAlignment="1">
      <alignment horizontal="center" vertical="center" wrapText="1"/>
    </xf>
    <xf numFmtId="0" fontId="64" fillId="0" borderId="1" xfId="0" applyFont="1" applyBorder="1" applyAlignment="1">
      <alignment horizontal="center" vertical="center" wrapText="1"/>
    </xf>
    <xf numFmtId="0" fontId="47" fillId="6" borderId="24" xfId="0" applyFont="1" applyFill="1" applyBorder="1" applyAlignment="1">
      <alignment horizontal="center" vertical="center"/>
    </xf>
    <xf numFmtId="183" fontId="50" fillId="0" borderId="1" xfId="0" applyNumberFormat="1" applyFont="1" applyBorder="1" applyAlignment="1" applyProtection="1">
      <alignment horizontal="center" vertical="center" shrinkToFit="1"/>
      <protection locked="0"/>
    </xf>
    <xf numFmtId="183" fontId="50" fillId="6" borderId="1" xfId="0" applyNumberFormat="1" applyFont="1" applyFill="1" applyBorder="1" applyAlignment="1">
      <alignment horizontal="center" vertical="center"/>
    </xf>
    <xf numFmtId="177" fontId="50" fillId="6" borderId="23" xfId="1" applyNumberFormat="1" applyFont="1" applyFill="1" applyBorder="1" applyAlignment="1">
      <alignment horizontal="center" vertical="center"/>
    </xf>
    <xf numFmtId="0" fontId="64" fillId="0" borderId="3" xfId="7" applyFont="1" applyBorder="1" applyAlignment="1">
      <alignment horizontal="center" vertical="center" wrapText="1"/>
    </xf>
    <xf numFmtId="0" fontId="64" fillId="0" borderId="78" xfId="7" applyFont="1" applyBorder="1" applyAlignment="1">
      <alignment horizontal="center" vertical="center" wrapText="1"/>
    </xf>
    <xf numFmtId="181" fontId="47" fillId="6" borderId="8" xfId="0" applyNumberFormat="1" applyFont="1" applyFill="1" applyBorder="1">
      <alignment vertical="center"/>
    </xf>
    <xf numFmtId="181" fontId="55" fillId="6" borderId="59" xfId="0" applyNumberFormat="1" applyFont="1" applyFill="1" applyBorder="1" applyAlignment="1">
      <alignment horizontal="center" vertical="center"/>
    </xf>
    <xf numFmtId="0" fontId="101" fillId="6" borderId="28" xfId="0" applyFont="1" applyFill="1" applyBorder="1">
      <alignment vertical="center"/>
    </xf>
    <xf numFmtId="0" fontId="101" fillId="6" borderId="5" xfId="0" applyFont="1" applyFill="1" applyBorder="1">
      <alignment vertical="center"/>
    </xf>
    <xf numFmtId="0" fontId="101" fillId="6" borderId="33" xfId="0" applyFont="1" applyFill="1" applyBorder="1">
      <alignment vertical="center"/>
    </xf>
    <xf numFmtId="10" fontId="56" fillId="6" borderId="1" xfId="0" applyNumberFormat="1" applyFont="1" applyFill="1" applyBorder="1" applyAlignment="1">
      <alignment vertical="center" wrapText="1"/>
    </xf>
    <xf numFmtId="0" fontId="61" fillId="6" borderId="41" xfId="0" applyFont="1" applyFill="1" applyBorder="1" applyAlignment="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6" fontId="61" fillId="6" borderId="8" xfId="0" applyNumberFormat="1" applyFont="1" applyFill="1" applyBorder="1" applyAlignment="1">
      <alignment horizontal="center" vertical="center"/>
    </xf>
    <xf numFmtId="0" fontId="61" fillId="6" borderId="23" xfId="0" applyFont="1" applyFill="1" applyBorder="1" applyAlignment="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lignment horizontal="center" vertical="center"/>
    </xf>
    <xf numFmtId="178" fontId="61" fillId="6" borderId="24" xfId="0" applyNumberFormat="1" applyFont="1" applyFill="1" applyBorder="1" applyAlignment="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Border="1" applyAlignment="1" applyProtection="1">
      <alignment horizontal="center" vertical="center"/>
      <protection locked="0"/>
    </xf>
    <xf numFmtId="0" fontId="61" fillId="6" borderId="32" xfId="0" applyFont="1" applyFill="1" applyBorder="1" applyAlignment="1">
      <alignment horizontal="center" vertical="center"/>
    </xf>
    <xf numFmtId="0" fontId="61" fillId="6" borderId="47" xfId="0" applyFont="1" applyFill="1" applyBorder="1" applyAlignment="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lignment horizontal="center" vertical="center"/>
    </xf>
    <xf numFmtId="177" fontId="56" fillId="6" borderId="5" xfId="1" applyNumberFormat="1" applyFont="1" applyFill="1" applyBorder="1" applyAlignment="1">
      <alignment horizontal="center"/>
    </xf>
    <xf numFmtId="0" fontId="75" fillId="6" borderId="1" xfId="0" applyFont="1" applyFill="1" applyBorder="1" applyAlignment="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lignment horizontal="center" vertical="center"/>
    </xf>
    <xf numFmtId="0" fontId="102" fillId="6" borderId="24" xfId="0" applyFont="1" applyFill="1" applyBorder="1" applyAlignment="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lignment horizontal="center" vertical="center"/>
    </xf>
    <xf numFmtId="0" fontId="102" fillId="6" borderId="86" xfId="0" applyFont="1" applyFill="1" applyBorder="1" applyAlignment="1">
      <alignment horizontal="center" vertical="center"/>
    </xf>
    <xf numFmtId="0" fontId="102" fillId="0" borderId="86" xfId="0" applyFont="1" applyBorder="1" applyAlignment="1" applyProtection="1">
      <alignment horizontal="center" vertical="center"/>
      <protection locked="0"/>
    </xf>
    <xf numFmtId="0" fontId="102" fillId="0" borderId="96" xfId="0" applyFont="1" applyBorder="1" applyAlignment="1" applyProtection="1">
      <alignment horizontal="center" vertical="center"/>
      <protection locked="0"/>
    </xf>
    <xf numFmtId="0" fontId="75" fillId="6" borderId="32" xfId="0" applyFont="1" applyFill="1" applyBorder="1" applyAlignment="1">
      <alignment horizontal="center" vertical="center"/>
    </xf>
    <xf numFmtId="0" fontId="50" fillId="0" borderId="2" xfId="0" applyFont="1" applyBorder="1" applyAlignment="1" applyProtection="1">
      <alignment horizontal="center" vertical="center" wrapText="1"/>
      <protection locked="0"/>
    </xf>
    <xf numFmtId="0" fontId="50" fillId="6" borderId="97" xfId="0" applyFont="1" applyFill="1" applyBorder="1" applyAlignment="1">
      <alignment horizontal="center" vertical="center" wrapText="1"/>
    </xf>
    <xf numFmtId="0" fontId="56" fillId="0" borderId="98" xfId="0" applyFont="1" applyBorder="1" applyAlignment="1" applyProtection="1">
      <alignment horizontal="center" vertical="center" wrapText="1"/>
      <protection locked="0"/>
    </xf>
    <xf numFmtId="0" fontId="56" fillId="6" borderId="99" xfId="0" applyFont="1" applyFill="1" applyBorder="1" applyAlignment="1">
      <alignment horizontal="center" vertical="center" wrapText="1"/>
    </xf>
    <xf numFmtId="0" fontId="56" fillId="6" borderId="98"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0" fillId="0" borderId="41" xfId="0" applyFont="1" applyBorder="1" applyAlignment="1" applyProtection="1">
      <alignment horizontal="center" vertical="center" wrapText="1"/>
      <protection locked="0"/>
    </xf>
    <xf numFmtId="0" fontId="50" fillId="6" borderId="100" xfId="0" applyFont="1" applyFill="1" applyBorder="1" applyAlignment="1">
      <alignment horizontal="center" vertical="center" wrapText="1"/>
    </xf>
    <xf numFmtId="0" fontId="54" fillId="0" borderId="58" xfId="0" applyFont="1" applyBorder="1" applyAlignment="1" applyProtection="1">
      <alignment horizontal="center" vertical="center"/>
      <protection locked="0"/>
    </xf>
    <xf numFmtId="0" fontId="60" fillId="6" borderId="0" xfId="0" applyFont="1" applyFill="1" applyProtection="1">
      <alignment vertical="center"/>
      <protection locked="0"/>
    </xf>
    <xf numFmtId="0" fontId="65" fillId="6" borderId="0" xfId="0" applyFont="1" applyFill="1" applyProtection="1">
      <alignment vertical="center"/>
      <protection locked="0"/>
    </xf>
    <xf numFmtId="0" fontId="68" fillId="6" borderId="0" xfId="0" applyFont="1" applyFill="1" applyProtection="1">
      <alignment vertical="center"/>
      <protection locked="0"/>
    </xf>
    <xf numFmtId="188" fontId="65" fillId="6" borderId="0" xfId="0" applyNumberFormat="1" applyFont="1" applyFill="1" applyAlignment="1" applyProtection="1">
      <alignment horizontal="center" vertical="center"/>
      <protection locked="0"/>
    </xf>
    <xf numFmtId="181" fontId="65" fillId="6" borderId="0" xfId="0" applyNumberFormat="1" applyFont="1" applyFill="1" applyProtection="1">
      <alignment vertical="center"/>
      <protection locked="0"/>
    </xf>
    <xf numFmtId="0" fontId="65" fillId="6" borderId="0" xfId="0" applyFont="1" applyFill="1" applyAlignment="1" applyProtection="1">
      <alignment horizontal="center" vertical="center"/>
      <protection locked="0"/>
    </xf>
    <xf numFmtId="181" fontId="47" fillId="6" borderId="0" xfId="0" applyNumberFormat="1" applyFont="1" applyFill="1" applyAlignment="1" applyProtection="1">
      <alignment vertical="center" wrapText="1"/>
      <protection locked="0"/>
    </xf>
    <xf numFmtId="0" fontId="54" fillId="6" borderId="0" xfId="0" applyFont="1" applyFill="1" applyAlignment="1" applyProtection="1">
      <alignment horizontal="center" vertical="center"/>
      <protection locked="0"/>
    </xf>
    <xf numFmtId="181" fontId="47" fillId="6" borderId="0" xfId="0" applyNumberFormat="1" applyFont="1" applyFill="1" applyAlignment="1" applyProtection="1">
      <alignment horizontal="center" vertical="center" wrapText="1"/>
      <protection locked="0"/>
    </xf>
    <xf numFmtId="0" fontId="47" fillId="6" borderId="0" xfId="0" applyFont="1" applyFill="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70" fillId="6" borderId="0" xfId="0" applyFont="1" applyFill="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Alignment="1" applyProtection="1">
      <alignment vertical="center" wrapText="1"/>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71" fillId="6" borderId="0" xfId="0" applyFont="1" applyFill="1" applyAlignment="1" applyProtection="1">
      <alignment horizontal="center" vertical="center" wrapText="1"/>
      <protection locked="0"/>
    </xf>
    <xf numFmtId="0" fontId="54"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4" fillId="0" borderId="0" xfId="0" applyFont="1" applyAlignment="1">
      <alignment horizontal="center" vertical="center"/>
    </xf>
    <xf numFmtId="188" fontId="54" fillId="0" borderId="0" xfId="0" applyNumberFormat="1" applyFont="1" applyAlignment="1">
      <alignment horizontal="center" vertical="center"/>
    </xf>
    <xf numFmtId="181" fontId="54" fillId="0" borderId="0" xfId="0" applyNumberFormat="1" applyFont="1" applyAlignment="1">
      <alignment horizontal="center" vertical="center"/>
    </xf>
    <xf numFmtId="0" fontId="56" fillId="6" borderId="0" xfId="0" applyFont="1" applyFill="1" applyAlignment="1" applyProtection="1">
      <protection locked="0"/>
    </xf>
    <xf numFmtId="0" fontId="54" fillId="6" borderId="0" xfId="0" applyFont="1" applyFill="1" applyAlignment="1" applyProtection="1">
      <protection locked="0"/>
    </xf>
    <xf numFmtId="188" fontId="54" fillId="6" borderId="0" xfId="0" applyNumberFormat="1" applyFont="1" applyFill="1" applyAlignment="1" applyProtection="1">
      <alignment horizontal="center"/>
      <protection locked="0"/>
    </xf>
    <xf numFmtId="181" fontId="54" fillId="6" borderId="0" xfId="0" applyNumberFormat="1" applyFont="1" applyFill="1" applyAlignment="1" applyProtection="1">
      <protection locked="0"/>
    </xf>
    <xf numFmtId="0" fontId="47" fillId="0" borderId="43" xfId="0" applyFont="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Protection="1">
      <alignment vertical="center"/>
      <protection locked="0"/>
    </xf>
    <xf numFmtId="49" fontId="55" fillId="6" borderId="41" xfId="0" applyNumberFormat="1" applyFont="1" applyFill="1" applyBorder="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lignment horizontal="left" vertical="center"/>
    </xf>
    <xf numFmtId="0" fontId="50" fillId="6" borderId="32" xfId="0" applyFont="1" applyFill="1" applyBorder="1" applyAlignment="1">
      <alignment horizontal="center" vertical="center"/>
    </xf>
    <xf numFmtId="0" fontId="57" fillId="6" borderId="46" xfId="0" applyFont="1" applyFill="1" applyBorder="1" applyAlignment="1" applyProtection="1">
      <alignment vertical="center" wrapText="1"/>
      <protection locked="0"/>
    </xf>
    <xf numFmtId="0" fontId="50" fillId="6" borderId="21" xfId="0" applyFont="1" applyFill="1" applyBorder="1" applyAlignment="1">
      <alignment horizontal="center" vertical="center" wrapText="1"/>
    </xf>
    <xf numFmtId="0" fontId="63" fillId="6" borderId="58" xfId="0" applyFont="1" applyFill="1" applyBorder="1" applyAlignment="1" applyProtection="1">
      <alignment vertical="center" textRotation="255" wrapText="1"/>
      <protection locked="0"/>
    </xf>
    <xf numFmtId="0" fontId="63" fillId="6" borderId="58" xfId="0" applyFont="1" applyFill="1" applyBorder="1" applyAlignment="1" applyProtection="1">
      <alignment vertical="center" wrapText="1"/>
      <protection locked="0"/>
    </xf>
    <xf numFmtId="0" fontId="50" fillId="6" borderId="18" xfId="0" applyFont="1" applyFill="1" applyBorder="1" applyAlignment="1">
      <alignment horizontal="center" vertical="center" wrapText="1"/>
    </xf>
    <xf numFmtId="0" fontId="50" fillId="0" borderId="11"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56" fillId="0" borderId="46" xfId="0" applyFont="1" applyBorder="1" applyAlignment="1" applyProtection="1">
      <alignment horizontal="center" vertical="center" wrapText="1"/>
      <protection locked="0"/>
    </xf>
    <xf numFmtId="0" fontId="56" fillId="0" borderId="59" xfId="0" applyFont="1" applyBorder="1" applyAlignment="1" applyProtection="1">
      <alignment horizontal="center" vertical="center" wrapText="1"/>
      <protection locked="0"/>
    </xf>
    <xf numFmtId="0" fontId="56" fillId="6" borderId="56" xfId="0" applyFont="1" applyFill="1" applyBorder="1" applyAlignment="1">
      <alignment horizontal="center" vertical="center" wrapText="1"/>
    </xf>
    <xf numFmtId="0" fontId="50" fillId="0" borderId="109" xfId="0" applyFont="1" applyBorder="1" applyAlignment="1" applyProtection="1">
      <alignment horizontal="center" vertical="center" wrapText="1"/>
      <protection locked="0"/>
    </xf>
    <xf numFmtId="0" fontId="50" fillId="0" borderId="110" xfId="0" applyFont="1" applyBorder="1" applyAlignment="1" applyProtection="1">
      <alignment horizontal="center" vertical="center" wrapText="1"/>
      <protection locked="0"/>
    </xf>
    <xf numFmtId="0" fontId="50" fillId="0" borderId="111" xfId="0" applyFont="1" applyBorder="1" applyAlignment="1" applyProtection="1">
      <alignment horizontal="center" vertical="center" wrapText="1"/>
      <protection locked="0"/>
    </xf>
    <xf numFmtId="0" fontId="50" fillId="0" borderId="113" xfId="0" applyFont="1" applyBorder="1" applyAlignment="1" applyProtection="1">
      <alignment horizontal="center" vertical="center" wrapText="1"/>
      <protection locked="0"/>
    </xf>
    <xf numFmtId="0" fontId="50" fillId="6" borderId="11" xfId="0" applyFont="1" applyFill="1" applyBorder="1" applyAlignment="1">
      <alignment horizontal="center" vertical="center" wrapText="1"/>
    </xf>
    <xf numFmtId="0" fontId="50" fillId="0" borderId="116" xfId="0" applyFont="1" applyBorder="1" applyAlignment="1" applyProtection="1">
      <alignment horizontal="center" vertical="center"/>
      <protection locked="0"/>
    </xf>
    <xf numFmtId="0" fontId="50" fillId="0" borderId="117" xfId="0" applyFont="1" applyBorder="1" applyAlignment="1" applyProtection="1">
      <alignment horizontal="center" vertical="center" wrapText="1"/>
      <protection locked="0"/>
    </xf>
    <xf numFmtId="9" fontId="50" fillId="0" borderId="117" xfId="0" applyNumberFormat="1" applyFont="1" applyBorder="1" applyAlignment="1" applyProtection="1">
      <alignment horizontal="center" vertical="center" wrapText="1"/>
      <protection locked="0"/>
    </xf>
    <xf numFmtId="0" fontId="50" fillId="0" borderId="117" xfId="0" applyFont="1" applyBorder="1" applyAlignment="1" applyProtection="1">
      <alignment horizontal="center" vertical="center"/>
      <protection locked="0"/>
    </xf>
    <xf numFmtId="0" fontId="50" fillId="0" borderId="113" xfId="0" applyFont="1" applyBorder="1" applyAlignment="1" applyProtection="1">
      <alignment horizontal="center" vertical="center"/>
      <protection locked="0"/>
    </xf>
    <xf numFmtId="0" fontId="50" fillId="6" borderId="113" xfId="0" applyFont="1" applyFill="1" applyBorder="1" applyAlignment="1">
      <alignment horizontal="center" vertical="center" wrapText="1"/>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0" fillId="10" borderId="6"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left" vertical="center" wrapText="1"/>
      <protection locked="0"/>
    </xf>
    <xf numFmtId="0" fontId="50" fillId="10" borderId="28" xfId="0"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Font="1" applyFill="1" applyBorder="1" applyAlignment="1" applyProtection="1">
      <alignment vertical="center" wrapText="1"/>
      <protection locked="0"/>
    </xf>
    <xf numFmtId="0" fontId="50" fillId="10" borderId="42" xfId="0" applyFont="1" applyFill="1" applyBorder="1" applyAlignment="1">
      <alignment horizontal="center" vertical="center" wrapText="1"/>
    </xf>
    <xf numFmtId="0" fontId="50" fillId="10" borderId="25" xfId="0" applyFont="1" applyFill="1" applyBorder="1" applyAlignment="1" applyProtection="1">
      <alignment horizontal="center" vertical="center" wrapText="1"/>
      <protection locked="0"/>
    </xf>
    <xf numFmtId="0" fontId="56" fillId="10" borderId="32" xfId="0" applyFont="1" applyFill="1" applyBorder="1" applyAlignment="1" applyProtection="1">
      <alignment horizontal="center" vertical="center" wrapText="1"/>
      <protection locked="0"/>
    </xf>
    <xf numFmtId="0" fontId="56" fillId="10" borderId="33" xfId="0" applyFont="1" applyFill="1" applyBorder="1" applyAlignment="1" applyProtection="1">
      <alignment horizontal="center" vertical="center" wrapText="1"/>
      <protection locked="0"/>
    </xf>
    <xf numFmtId="0" fontId="56" fillId="10" borderId="68" xfId="0" applyFont="1" applyFill="1" applyBorder="1" applyAlignment="1" applyProtection="1">
      <alignment horizontal="center" vertical="center" wrapText="1"/>
      <protection locked="0"/>
    </xf>
    <xf numFmtId="0" fontId="47" fillId="6" borderId="1" xfId="0" applyFont="1" applyFill="1" applyBorder="1" applyAlignment="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lignment horizontal="center"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9" fontId="47" fillId="6" borderId="5" xfId="0" applyNumberFormat="1" applyFont="1" applyFill="1" applyBorder="1" applyAlignment="1">
      <alignment horizontal="center" vertical="center"/>
    </xf>
    <xf numFmtId="179" fontId="47" fillId="6" borderId="25" xfId="1" applyNumberFormat="1" applyFont="1" applyFill="1" applyBorder="1" applyAlignment="1">
      <alignment horizontal="center" vertical="center"/>
    </xf>
    <xf numFmtId="181" fontId="47" fillId="6" borderId="1" xfId="0" applyNumberFormat="1" applyFont="1" applyFill="1" applyBorder="1">
      <alignment vertical="center"/>
    </xf>
    <xf numFmtId="181" fontId="47" fillId="6" borderId="5" xfId="0" applyNumberFormat="1" applyFont="1" applyFill="1" applyBorder="1">
      <alignment vertical="center"/>
    </xf>
    <xf numFmtId="181" fontId="47" fillId="6" borderId="24" xfId="0" applyNumberFormat="1" applyFont="1" applyFill="1" applyBorder="1">
      <alignment vertical="center"/>
    </xf>
    <xf numFmtId="181" fontId="47" fillId="6" borderId="1" xfId="0" applyNumberFormat="1" applyFont="1" applyFill="1" applyBorder="1" applyAlignment="1">
      <alignment horizontal="center" vertical="center"/>
    </xf>
    <xf numFmtId="181" fontId="47" fillId="6" borderId="5" xfId="0" applyNumberFormat="1" applyFont="1" applyFill="1" applyBorder="1" applyAlignment="1">
      <alignment horizontal="center" vertical="center"/>
    </xf>
    <xf numFmtId="0" fontId="47" fillId="6" borderId="23" xfId="0" applyFont="1" applyFill="1" applyBorder="1" applyAlignment="1">
      <alignment horizontal="center" vertical="center"/>
    </xf>
    <xf numFmtId="10" fontId="47" fillId="6" borderId="1" xfId="0" applyNumberFormat="1" applyFont="1" applyFill="1" applyBorder="1" applyAlignment="1">
      <alignment horizontal="center" vertical="center"/>
    </xf>
    <xf numFmtId="182" fontId="47" fillId="6" borderId="1"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4" fontId="47" fillId="6" borderId="67" xfId="0" applyNumberFormat="1" applyFont="1" applyFill="1" applyBorder="1" applyAlignment="1">
      <alignment horizontal="center" vertical="center"/>
    </xf>
    <xf numFmtId="0" fontId="47" fillId="6" borderId="6" xfId="0" applyFont="1" applyFill="1" applyBorder="1" applyAlignment="1">
      <alignment horizontal="center" vertical="center" wrapText="1"/>
    </xf>
    <xf numFmtId="0" fontId="50" fillId="6" borderId="46" xfId="0" applyFont="1" applyFill="1" applyBorder="1" applyAlignment="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horizontal="center" vertical="center" wrapText="1"/>
      <protection locked="0"/>
    </xf>
    <xf numFmtId="179" fontId="47" fillId="6" borderId="2" xfId="0" applyNumberFormat="1" applyFont="1" applyFill="1" applyBorder="1">
      <alignment vertical="center"/>
    </xf>
    <xf numFmtId="181" fontId="55" fillId="0" borderId="24" xfId="0" applyNumberFormat="1" applyFont="1" applyBorder="1" applyAlignment="1" applyProtection="1">
      <alignment horizontal="center" vertical="center"/>
      <protection locked="0"/>
    </xf>
    <xf numFmtId="0" fontId="50" fillId="6" borderId="46" xfId="0" applyFont="1" applyFill="1" applyBorder="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lignment horizontal="center" vertical="center"/>
    </xf>
    <xf numFmtId="0" fontId="61" fillId="6" borderId="0" xfId="0" applyFont="1" applyFill="1" applyAlignment="1">
      <alignment horizontal="center"/>
    </xf>
    <xf numFmtId="10" fontId="101"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xf>
    <xf numFmtId="0" fontId="15" fillId="6" borderId="24" xfId="0" applyFont="1" applyFill="1" applyBorder="1">
      <alignment vertical="center"/>
    </xf>
    <xf numFmtId="0" fontId="55" fillId="6" borderId="4" xfId="0" applyFont="1" applyFill="1" applyBorder="1" applyAlignment="1">
      <alignment horizontal="center" vertical="center"/>
    </xf>
    <xf numFmtId="49" fontId="50" fillId="6" borderId="11" xfId="0" applyNumberFormat="1" applyFont="1" applyFill="1" applyBorder="1" applyAlignment="1">
      <alignment horizontal="left" vertical="center"/>
    </xf>
    <xf numFmtId="0" fontId="50" fillId="6" borderId="15" xfId="0" applyFont="1" applyFill="1" applyBorder="1" applyAlignment="1">
      <alignment horizontal="center" vertical="center"/>
    </xf>
    <xf numFmtId="0" fontId="50" fillId="6" borderId="4" xfId="0" applyFont="1" applyFill="1" applyBorder="1" applyAlignment="1">
      <alignment horizontal="right" vertical="center"/>
    </xf>
    <xf numFmtId="0" fontId="50" fillId="6" borderId="71" xfId="0" applyFont="1" applyFill="1" applyBorder="1" applyAlignment="1">
      <alignment horizontal="center" vertical="center"/>
    </xf>
    <xf numFmtId="49" fontId="50" fillId="6" borderId="35" xfId="0" applyNumberFormat="1" applyFont="1" applyFill="1" applyBorder="1" applyAlignment="1">
      <alignment horizontal="left" vertical="center"/>
    </xf>
    <xf numFmtId="0" fontId="55" fillId="6" borderId="22" xfId="0" applyFont="1" applyFill="1" applyBorder="1" applyAlignment="1">
      <alignment horizontal="center" vertical="center"/>
    </xf>
    <xf numFmtId="0" fontId="55" fillId="6" borderId="0" xfId="0" applyFont="1" applyFill="1" applyAlignment="1">
      <alignment horizontal="center" vertical="center"/>
    </xf>
    <xf numFmtId="0" fontId="50" fillId="6" borderId="3" xfId="0" applyFont="1" applyFill="1" applyBorder="1" applyAlignment="1">
      <alignment horizontal="left" vertical="center"/>
    </xf>
    <xf numFmtId="49" fontId="55" fillId="6" borderId="69" xfId="0" applyNumberFormat="1" applyFont="1" applyFill="1" applyBorder="1">
      <alignment vertical="center"/>
    </xf>
    <xf numFmtId="10" fontId="50" fillId="6" borderId="61" xfId="0" applyNumberFormat="1" applyFont="1" applyFill="1" applyBorder="1" applyAlignment="1">
      <alignment horizontal="center" vertical="center"/>
    </xf>
    <xf numFmtId="49" fontId="55" fillId="6" borderId="41" xfId="0" applyNumberFormat="1" applyFont="1" applyFill="1" applyBorder="1" applyAlignment="1">
      <alignment horizontal="left" vertical="center"/>
    </xf>
    <xf numFmtId="0" fontId="55" fillId="6" borderId="2" xfId="0" applyFont="1" applyFill="1" applyBorder="1" applyAlignment="1">
      <alignment horizontal="left" vertical="center"/>
    </xf>
    <xf numFmtId="0" fontId="50" fillId="6" borderId="15" xfId="0" applyFont="1" applyFill="1" applyBorder="1" applyAlignment="1">
      <alignment horizontal="left" vertical="center"/>
    </xf>
    <xf numFmtId="181" fontId="50" fillId="6" borderId="53" xfId="0" applyNumberFormat="1" applyFont="1" applyFill="1" applyBorder="1" applyAlignment="1">
      <alignment horizontal="center" vertical="center"/>
    </xf>
    <xf numFmtId="49" fontId="50" fillId="6" borderId="91" xfId="0" applyNumberFormat="1" applyFont="1" applyFill="1" applyBorder="1">
      <alignment vertical="center"/>
    </xf>
    <xf numFmtId="0" fontId="55" fillId="0" borderId="78" xfId="0" applyFont="1" applyBorder="1" applyAlignment="1" applyProtection="1">
      <alignment horizontal="center" vertical="center"/>
      <protection locked="0"/>
    </xf>
    <xf numFmtId="0" fontId="50" fillId="6" borderId="78" xfId="0" applyFont="1" applyFill="1" applyBorder="1">
      <alignment vertical="center"/>
    </xf>
    <xf numFmtId="181" fontId="55" fillId="6" borderId="79" xfId="0" applyNumberFormat="1" applyFont="1" applyFill="1" applyBorder="1" applyAlignment="1">
      <alignment horizontal="center" vertical="center"/>
    </xf>
    <xf numFmtId="0" fontId="50" fillId="6" borderId="4" xfId="0" applyFont="1" applyFill="1" applyBorder="1" applyAlignment="1">
      <alignment horizontal="left" vertical="center"/>
    </xf>
    <xf numFmtId="0" fontId="50" fillId="6" borderId="60" xfId="0" applyFont="1" applyFill="1" applyBorder="1" applyAlignment="1">
      <alignment horizontal="center" vertical="center"/>
    </xf>
    <xf numFmtId="49" fontId="50" fillId="6" borderId="91" xfId="0" applyNumberFormat="1" applyFont="1" applyFill="1" applyBorder="1" applyAlignment="1">
      <alignment horizontal="left" vertical="center"/>
    </xf>
    <xf numFmtId="0" fontId="50" fillId="6" borderId="78" xfId="0" applyFont="1" applyFill="1" applyBorder="1" applyAlignment="1">
      <alignment horizontal="left" vertical="center"/>
    </xf>
    <xf numFmtId="0" fontId="50" fillId="6" borderId="78" xfId="0" applyFont="1" applyFill="1" applyBorder="1" applyAlignment="1">
      <alignment horizontal="center" vertical="center"/>
    </xf>
    <xf numFmtId="0" fontId="50" fillId="6" borderId="78" xfId="0" applyFont="1" applyFill="1" applyBorder="1" applyAlignment="1">
      <alignment horizontal="left" vertical="center" wrapText="1"/>
    </xf>
    <xf numFmtId="181" fontId="50" fillId="6" borderId="79"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0" fontId="50" fillId="6" borderId="4" xfId="0" applyFont="1" applyFill="1" applyBorder="1" applyAlignment="1">
      <alignment horizontal="left" vertical="center" wrapText="1"/>
    </xf>
    <xf numFmtId="0" fontId="50" fillId="6" borderId="60" xfId="0" applyFont="1" applyFill="1" applyBorder="1" applyAlignment="1">
      <alignment horizontal="center" vertical="center" wrapText="1"/>
    </xf>
    <xf numFmtId="0" fontId="50" fillId="6" borderId="71" xfId="0" applyFont="1" applyFill="1" applyBorder="1" applyAlignment="1">
      <alignment horizontal="center" vertical="center" wrapText="1"/>
    </xf>
    <xf numFmtId="0" fontId="50" fillId="6" borderId="85" xfId="0" applyFont="1" applyFill="1" applyBorder="1">
      <alignment vertical="center"/>
    </xf>
    <xf numFmtId="181" fontId="55" fillId="6" borderId="78" xfId="0" applyNumberFormat="1" applyFont="1" applyFill="1" applyBorder="1" applyAlignment="1">
      <alignment horizontal="center" vertical="center"/>
    </xf>
    <xf numFmtId="0" fontId="50" fillId="6" borderId="85" xfId="0" applyFont="1" applyFill="1" applyBorder="1" applyAlignment="1">
      <alignment horizontal="left" vertical="center"/>
    </xf>
    <xf numFmtId="0" fontId="50" fillId="6" borderId="7" xfId="0" applyFont="1" applyFill="1" applyBorder="1">
      <alignment vertical="center"/>
    </xf>
    <xf numFmtId="49" fontId="50" fillId="6" borderId="41" xfId="0" applyNumberFormat="1" applyFont="1" applyFill="1" applyBorder="1" applyAlignment="1">
      <alignment horizontal="left" vertical="center"/>
    </xf>
    <xf numFmtId="49" fontId="50" fillId="6" borderId="7" xfId="0" applyNumberFormat="1" applyFont="1" applyFill="1" applyBorder="1">
      <alignment vertical="center"/>
    </xf>
    <xf numFmtId="178" fontId="57" fillId="6" borderId="1" xfId="0" applyNumberFormat="1" applyFont="1" applyFill="1" applyBorder="1" applyAlignment="1">
      <alignment horizontal="center" vertical="center"/>
    </xf>
    <xf numFmtId="178" fontId="56" fillId="6" borderId="1"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186" fontId="50" fillId="6" borderId="3" xfId="0" applyNumberFormat="1" applyFont="1" applyFill="1" applyBorder="1" applyAlignment="1">
      <alignment horizontal="center" vertical="center"/>
    </xf>
    <xf numFmtId="177" fontId="50" fillId="6" borderId="0" xfId="0" applyNumberFormat="1" applyFont="1" applyFill="1" applyAlignment="1">
      <alignment horizontal="center" vertical="center"/>
    </xf>
    <xf numFmtId="0" fontId="49" fillId="6" borderId="39" xfId="0" applyFont="1" applyFill="1" applyBorder="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lignment horizontal="center" vertical="center"/>
    </xf>
    <xf numFmtId="0" fontId="60" fillId="6" borderId="0" xfId="0" applyFont="1" applyFill="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lignment horizontal="center" vertical="center"/>
    </xf>
    <xf numFmtId="0" fontId="55" fillId="6" borderId="58" xfId="0" applyFont="1" applyFill="1" applyBorder="1" applyAlignment="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lignment horizontal="center" vertical="center" wrapText="1"/>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Alignment="1">
      <alignment horizontal="right" vertical="center"/>
    </xf>
    <xf numFmtId="0" fontId="54" fillId="6" borderId="45" xfId="0" applyFont="1" applyFill="1" applyBorder="1" applyAlignment="1">
      <alignment horizontal="center" vertical="center" wrapText="1"/>
    </xf>
    <xf numFmtId="0" fontId="61" fillId="6" borderId="1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7" fillId="0" borderId="5"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protection locked="0"/>
    </xf>
    <xf numFmtId="0" fontId="52" fillId="0" borderId="33" xfId="0" applyFont="1" applyBorder="1" applyAlignment="1" applyProtection="1">
      <alignment horizontal="center" vertical="center"/>
      <protection locked="0"/>
    </xf>
    <xf numFmtId="0" fontId="54" fillId="6" borderId="37" xfId="0" applyFont="1" applyFill="1" applyBorder="1" applyAlignment="1">
      <alignment horizontal="center" vertical="center" wrapText="1"/>
    </xf>
    <xf numFmtId="0" fontId="142" fillId="3" borderId="3" xfId="0" applyFont="1" applyFill="1" applyBorder="1" applyProtection="1">
      <alignment vertical="center"/>
      <protection locked="0"/>
    </xf>
    <xf numFmtId="0" fontId="47" fillId="6" borderId="0" xfId="0" applyFont="1" applyFill="1" applyProtection="1">
      <alignment vertical="center"/>
      <protection locked="0"/>
    </xf>
    <xf numFmtId="176" fontId="49" fillId="6" borderId="1" xfId="0" applyNumberFormat="1" applyFont="1" applyFill="1" applyBorder="1">
      <alignment vertical="center"/>
    </xf>
    <xf numFmtId="176" fontId="49" fillId="6" borderId="1" xfId="0" applyNumberFormat="1" applyFont="1" applyFill="1" applyBorder="1" applyAlignment="1">
      <alignment horizontal="center" vertical="center"/>
    </xf>
    <xf numFmtId="176" fontId="49" fillId="6" borderId="24" xfId="0" applyNumberFormat="1" applyFont="1" applyFill="1" applyBorder="1">
      <alignment vertical="center"/>
    </xf>
    <xf numFmtId="176" fontId="49" fillId="6" borderId="25" xfId="0" applyNumberFormat="1" applyFont="1" applyFill="1" applyBorder="1">
      <alignment vertical="center"/>
    </xf>
    <xf numFmtId="176" fontId="49" fillId="6" borderId="76" xfId="0" applyNumberFormat="1" applyFont="1" applyFill="1" applyBorder="1">
      <alignment vertical="center"/>
    </xf>
    <xf numFmtId="0" fontId="49" fillId="6" borderId="25" xfId="0" applyFont="1" applyFill="1" applyBorder="1">
      <alignment vertical="center"/>
    </xf>
    <xf numFmtId="0" fontId="49" fillId="6" borderId="49" xfId="0" applyFont="1" applyFill="1" applyBorder="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Font="1" applyFill="1" applyBorder="1" applyAlignment="1">
      <alignment horizontal="right" vertical="center" wrapText="1"/>
    </xf>
    <xf numFmtId="0" fontId="53" fillId="6" borderId="38" xfId="0" applyFont="1" applyFill="1" applyBorder="1" applyAlignment="1">
      <alignment vertical="center" wrapText="1"/>
    </xf>
    <xf numFmtId="0" fontId="53" fillId="6" borderId="52" xfId="0" applyFont="1" applyFill="1" applyBorder="1" applyAlignment="1">
      <alignment vertical="center" wrapText="1"/>
    </xf>
    <xf numFmtId="0" fontId="53" fillId="6" borderId="47" xfId="0" applyFont="1" applyFill="1" applyBorder="1" applyAlignment="1" applyProtection="1">
      <alignment vertical="center" wrapText="1"/>
      <protection locked="0"/>
    </xf>
    <xf numFmtId="0" fontId="60" fillId="6" borderId="2" xfId="0" applyFont="1" applyFill="1" applyBorder="1" applyAlignment="1">
      <alignment horizontal="right" vertical="center"/>
    </xf>
    <xf numFmtId="0" fontId="65" fillId="6" borderId="58" xfId="0" applyFont="1" applyFill="1" applyBorder="1" applyAlignment="1">
      <alignment horizontal="center" vertical="center"/>
    </xf>
    <xf numFmtId="0" fontId="59" fillId="6" borderId="0" xfId="0" applyFont="1" applyFill="1" applyAlignment="1" applyProtection="1">
      <protection locked="0"/>
    </xf>
    <xf numFmtId="0" fontId="54" fillId="6" borderId="0" xfId="0" applyFont="1" applyFill="1" applyAlignment="1" applyProtection="1">
      <alignment horizontal="center"/>
      <protection locked="0"/>
    </xf>
    <xf numFmtId="0" fontId="60" fillId="6" borderId="5" xfId="1" applyFont="1" applyFill="1" applyBorder="1" applyAlignment="1">
      <alignment horizontal="right" vertical="center"/>
    </xf>
    <xf numFmtId="0" fontId="49" fillId="6" borderId="33" xfId="0" applyFont="1" applyFill="1" applyBorder="1" applyAlignment="1">
      <alignment horizontal="center" vertical="center"/>
    </xf>
    <xf numFmtId="181" fontId="47" fillId="6" borderId="49" xfId="0" applyNumberFormat="1" applyFont="1" applyFill="1" applyBorder="1">
      <alignment vertical="center"/>
    </xf>
    <xf numFmtId="0" fontId="47" fillId="6" borderId="24" xfId="1" applyFont="1" applyFill="1" applyBorder="1" applyAlignment="1">
      <alignment horizontal="center" vertical="center"/>
    </xf>
    <xf numFmtId="10" fontId="54" fillId="0" borderId="3" xfId="8" applyNumberFormat="1" applyFont="1" applyBorder="1" applyAlignment="1" applyProtection="1">
      <alignment horizontal="center" vertical="center" wrapText="1"/>
      <protection locked="0"/>
    </xf>
    <xf numFmtId="10" fontId="56" fillId="6" borderId="24" xfId="8" applyNumberFormat="1" applyFont="1" applyFill="1" applyBorder="1" applyAlignment="1">
      <alignment horizontal="center" vertical="center" wrapText="1"/>
    </xf>
    <xf numFmtId="10" fontId="54" fillId="0" borderId="66" xfId="8" applyNumberFormat="1" applyFont="1" applyBorder="1" applyAlignment="1" applyProtection="1">
      <alignment horizontal="center" vertical="center" wrapText="1"/>
      <protection locked="0"/>
    </xf>
    <xf numFmtId="10" fontId="56" fillId="6" borderId="49" xfId="8" applyNumberFormat="1" applyFont="1" applyFill="1" applyBorder="1" applyAlignment="1">
      <alignment horizontal="center" vertical="center" wrapText="1"/>
    </xf>
    <xf numFmtId="0" fontId="47" fillId="6" borderId="22" xfId="0" applyFont="1" applyFill="1" applyBorder="1" applyAlignment="1" applyProtection="1">
      <alignment horizontal="center" vertical="center" wrapText="1"/>
      <protection locked="0"/>
    </xf>
    <xf numFmtId="0" fontId="47" fillId="0" borderId="24" xfId="0" applyFont="1" applyBorder="1" applyAlignment="1" applyProtection="1">
      <alignment horizontal="center" vertical="center" wrapText="1"/>
      <protection locked="0"/>
    </xf>
    <xf numFmtId="49" fontId="47" fillId="0" borderId="18" xfId="0" applyNumberFormat="1" applyFont="1" applyBorder="1" applyAlignment="1" applyProtection="1">
      <alignment horizontal="center" vertical="center"/>
      <protection locked="0"/>
    </xf>
    <xf numFmtId="0" fontId="47" fillId="6" borderId="30" xfId="0" applyFont="1" applyFill="1" applyBorder="1" applyAlignment="1">
      <alignment horizontal="center" vertical="center" wrapText="1"/>
    </xf>
    <xf numFmtId="0" fontId="54" fillId="6" borderId="13" xfId="0" applyFont="1" applyFill="1" applyBorder="1" applyAlignment="1" applyProtection="1">
      <alignment horizontal="center" vertical="center" wrapText="1"/>
      <protection locked="0"/>
    </xf>
    <xf numFmtId="189" fontId="47" fillId="6" borderId="30" xfId="0" applyNumberFormat="1" applyFont="1" applyFill="1" applyBorder="1" applyAlignment="1">
      <alignment horizontal="center" vertical="center" wrapText="1"/>
    </xf>
    <xf numFmtId="189" fontId="47" fillId="6" borderId="9" xfId="0" applyNumberFormat="1" applyFont="1" applyFill="1" applyBorder="1" applyAlignment="1">
      <alignment horizontal="center" vertical="center" wrapText="1"/>
    </xf>
    <xf numFmtId="189" fontId="47" fillId="6" borderId="39" xfId="0" applyNumberFormat="1" applyFont="1" applyFill="1" applyBorder="1" applyAlignment="1">
      <alignment horizontal="center" vertical="center" wrapText="1"/>
    </xf>
    <xf numFmtId="0" fontId="50" fillId="0" borderId="54" xfId="0" applyFont="1" applyBorder="1" applyProtection="1">
      <alignment vertical="center"/>
      <protection locked="0"/>
    </xf>
    <xf numFmtId="0" fontId="50" fillId="6" borderId="36" xfId="0" applyFont="1" applyFill="1" applyBorder="1">
      <alignment vertical="center"/>
    </xf>
    <xf numFmtId="0" fontId="50" fillId="6" borderId="60" xfId="0" applyFont="1" applyFill="1" applyBorder="1" applyAlignment="1">
      <alignment horizontal="left" vertical="center"/>
    </xf>
    <xf numFmtId="0" fontId="48" fillId="5" borderId="3" xfId="1" applyFont="1" applyFill="1" applyBorder="1">
      <alignment vertical="center"/>
    </xf>
    <xf numFmtId="0" fontId="48" fillId="5" borderId="5" xfId="1" applyFont="1" applyFill="1" applyBorder="1" applyAlignment="1" applyProtection="1">
      <alignment horizontal="left" vertical="center"/>
      <protection locked="0"/>
    </xf>
    <xf numFmtId="0" fontId="65" fillId="0" borderId="32" xfId="0" applyFont="1" applyBorder="1" applyProtection="1">
      <alignment vertical="center"/>
      <protection locked="0"/>
    </xf>
    <xf numFmtId="0" fontId="150" fillId="0" borderId="0" xfId="11" applyFont="1" applyAlignment="1">
      <alignment vertical="center" wrapText="1"/>
    </xf>
    <xf numFmtId="0" fontId="127" fillId="0" borderId="78" xfId="0" applyFont="1" applyBorder="1" applyAlignment="1">
      <alignment horizontal="left" vertical="center"/>
    </xf>
    <xf numFmtId="0" fontId="150" fillId="0" borderId="78" xfId="11" applyFont="1" applyBorder="1" applyAlignment="1">
      <alignment horizontal="left" vertical="center" wrapText="1"/>
    </xf>
    <xf numFmtId="0" fontId="150" fillId="0" borderId="87" xfId="0" applyFont="1" applyBorder="1">
      <alignment vertical="center"/>
    </xf>
    <xf numFmtId="0" fontId="150" fillId="0" borderId="44" xfId="11" applyFont="1" applyBorder="1" applyAlignment="1">
      <alignment vertical="center" wrapText="1"/>
    </xf>
    <xf numFmtId="0" fontId="150" fillId="0" borderId="44" xfId="0" applyFont="1" applyBorder="1" applyAlignment="1">
      <alignment horizontal="left" vertical="center"/>
    </xf>
    <xf numFmtId="0" fontId="150" fillId="0" borderId="83" xfId="0" applyFont="1" applyBorder="1">
      <alignment vertical="center"/>
    </xf>
    <xf numFmtId="0" fontId="150" fillId="0" borderId="1" xfId="11" applyFont="1" applyBorder="1" applyAlignment="1">
      <alignment vertical="center" wrapText="1"/>
    </xf>
    <xf numFmtId="0" fontId="150" fillId="0" borderId="1" xfId="0" applyFont="1" applyBorder="1" applyAlignment="1">
      <alignment horizontal="left" vertical="center"/>
    </xf>
    <xf numFmtId="0" fontId="150" fillId="0" borderId="0" xfId="0" applyFont="1">
      <alignment vertical="center"/>
    </xf>
    <xf numFmtId="0" fontId="150" fillId="0" borderId="78" xfId="11" applyFont="1" applyBorder="1" applyAlignment="1">
      <alignment vertical="center" wrapText="1"/>
    </xf>
    <xf numFmtId="0" fontId="150" fillId="0" borderId="78" xfId="0" applyFont="1" applyBorder="1" applyAlignment="1">
      <alignment horizontal="left" vertical="center"/>
    </xf>
    <xf numFmtId="192" fontId="150" fillId="0" borderId="78" xfId="0" applyNumberFormat="1" applyFont="1" applyBorder="1" applyAlignment="1">
      <alignment horizontal="left" vertical="center"/>
    </xf>
    <xf numFmtId="0" fontId="150" fillId="0" borderId="2" xfId="11" applyFont="1" applyBorder="1" applyAlignment="1">
      <alignment vertical="center" wrapText="1"/>
    </xf>
    <xf numFmtId="14" fontId="150" fillId="0" borderId="2" xfId="0" applyNumberFormat="1" applyFont="1" applyBorder="1" applyAlignment="1">
      <alignment horizontal="left" vertical="center"/>
    </xf>
    <xf numFmtId="14" fontId="150" fillId="0" borderId="1" xfId="0" applyNumberFormat="1" applyFont="1" applyBorder="1" applyAlignment="1">
      <alignment horizontal="left" vertical="center"/>
    </xf>
    <xf numFmtId="0" fontId="150" fillId="0" borderId="0" xfId="0" applyFont="1" applyAlignment="1">
      <alignment horizontal="left" vertical="center"/>
    </xf>
    <xf numFmtId="0" fontId="61" fillId="6" borderId="1" xfId="8" applyFont="1" applyFill="1" applyBorder="1" applyAlignment="1">
      <alignment horizontal="center" vertical="center" wrapText="1"/>
    </xf>
    <xf numFmtId="0" fontId="61" fillId="0" borderId="1" xfId="8" applyFont="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lignment horizontal="center" vertical="center" wrapText="1"/>
    </xf>
    <xf numFmtId="0" fontId="56" fillId="0" borderId="0" xfId="8" applyFont="1" applyAlignment="1">
      <alignment horizontal="center" vertical="center" wrapText="1"/>
    </xf>
    <xf numFmtId="0" fontId="102" fillId="6" borderId="1" xfId="8" applyFont="1" applyFill="1" applyBorder="1" applyAlignment="1">
      <alignment horizontal="center" vertical="center"/>
    </xf>
    <xf numFmtId="0" fontId="60" fillId="6" borderId="2" xfId="1" applyFont="1" applyFill="1" applyBorder="1">
      <alignment vertical="center"/>
    </xf>
    <xf numFmtId="0" fontId="104" fillId="6" borderId="85" xfId="0" applyFont="1" applyFill="1" applyBorder="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lignment horizontal="center" vertical="center"/>
    </xf>
    <xf numFmtId="0" fontId="65" fillId="2" borderId="88" xfId="0" applyFont="1" applyFill="1" applyBorder="1" applyProtection="1">
      <alignment vertical="center"/>
      <protection locked="0"/>
    </xf>
    <xf numFmtId="0" fontId="65" fillId="6" borderId="88" xfId="0" applyFont="1" applyFill="1" applyBorder="1" applyProtection="1">
      <alignment vertical="center"/>
      <protection locked="0"/>
    </xf>
    <xf numFmtId="0" fontId="68" fillId="6" borderId="88" xfId="0" applyFont="1" applyFill="1" applyBorder="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lignment horizontal="center" vertical="center"/>
    </xf>
    <xf numFmtId="0" fontId="66" fillId="6" borderId="87" xfId="0" applyFont="1" applyFill="1" applyBorder="1" applyAlignment="1">
      <alignment horizontal="center" vertical="center"/>
    </xf>
    <xf numFmtId="0" fontId="66" fillId="0" borderId="87" xfId="0" applyFont="1" applyBorder="1" applyAlignment="1" applyProtection="1">
      <alignment horizontal="center" vertical="center"/>
      <protection locked="0"/>
    </xf>
    <xf numFmtId="0" fontId="65" fillId="6" borderId="88" xfId="0" applyFont="1" applyFill="1" applyBorder="1">
      <alignment vertical="center"/>
    </xf>
    <xf numFmtId="0" fontId="68" fillId="6" borderId="88" xfId="0" applyFont="1" applyFill="1" applyBorder="1">
      <alignment vertical="center"/>
    </xf>
    <xf numFmtId="188" fontId="65" fillId="6" borderId="88" xfId="0" applyNumberFormat="1" applyFont="1" applyFill="1" applyBorder="1" applyAlignment="1">
      <alignment horizontal="center" vertical="center"/>
    </xf>
    <xf numFmtId="181" fontId="65" fillId="6" borderId="88" xfId="0" applyNumberFormat="1" applyFont="1" applyFill="1" applyBorder="1">
      <alignment vertical="center"/>
    </xf>
    <xf numFmtId="0" fontId="65"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22" fillId="6" borderId="0" xfId="2" applyFont="1" applyFill="1"/>
    <xf numFmtId="0" fontId="22" fillId="6" borderId="6" xfId="2" applyFont="1" applyFill="1" applyBorder="1"/>
    <xf numFmtId="0" fontId="125" fillId="6" borderId="9" xfId="2" applyFont="1" applyFill="1" applyBorder="1" applyAlignment="1">
      <alignment horizontal="center" vertical="center" wrapText="1"/>
    </xf>
    <xf numFmtId="0" fontId="22"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2" fillId="6" borderId="9" xfId="2" applyFont="1" applyFill="1" applyBorder="1" applyAlignment="1">
      <alignment horizontal="center"/>
    </xf>
    <xf numFmtId="0" fontId="22" fillId="0" borderId="0" xfId="2" applyFont="1"/>
    <xf numFmtId="0" fontId="22" fillId="6" borderId="23" xfId="2" applyFont="1" applyFill="1" applyBorder="1"/>
    <xf numFmtId="0" fontId="125" fillId="6" borderId="1" xfId="2" applyFont="1" applyFill="1" applyBorder="1" applyAlignment="1">
      <alignment horizontal="center" vertical="center" wrapText="1"/>
    </xf>
    <xf numFmtId="0" fontId="22"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2" fillId="6" borderId="1" xfId="2" applyFont="1" applyFill="1" applyBorder="1" applyAlignment="1">
      <alignment horizontal="center"/>
    </xf>
    <xf numFmtId="0" fontId="22" fillId="6" borderId="25" xfId="2" applyFont="1" applyFill="1" applyBorder="1"/>
    <xf numFmtId="0" fontId="125" fillId="6" borderId="32" xfId="2" applyFont="1" applyFill="1" applyBorder="1" applyAlignment="1">
      <alignment horizontal="center" vertical="center" wrapText="1"/>
    </xf>
    <xf numFmtId="0" fontId="22"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2" fillId="6" borderId="32" xfId="2" applyFont="1" applyFill="1" applyBorder="1" applyAlignment="1">
      <alignment horizontal="center"/>
    </xf>
    <xf numFmtId="0" fontId="22" fillId="6" borderId="0" xfId="2"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55" fillId="6" borderId="0" xfId="2" applyFont="1" applyFill="1" applyAlignment="1">
      <alignment horizontal="center"/>
    </xf>
    <xf numFmtId="0" fontId="156" fillId="6" borderId="0" xfId="2" applyFont="1" applyFill="1" applyAlignment="1">
      <alignment horizontal="left"/>
    </xf>
    <xf numFmtId="14" fontId="155" fillId="6" borderId="0" xfId="2" applyNumberFormat="1" applyFont="1" applyFill="1" applyAlignment="1">
      <alignment horizontal="center"/>
    </xf>
    <xf numFmtId="0" fontId="155" fillId="6" borderId="0" xfId="2" applyFont="1" applyFill="1"/>
    <xf numFmtId="0" fontId="155" fillId="0" borderId="0" xfId="2" applyFont="1"/>
    <xf numFmtId="0" fontId="155" fillId="0" borderId="0" xfId="0" applyFont="1" applyAlignment="1"/>
    <xf numFmtId="0" fontId="157" fillId="6" borderId="0" xfId="2" applyFont="1" applyFill="1"/>
    <xf numFmtId="0" fontId="158" fillId="6" borderId="0" xfId="2" applyFont="1" applyFill="1"/>
    <xf numFmtId="0" fontId="157" fillId="0" borderId="0" xfId="2" applyFont="1"/>
    <xf numFmtId="0" fontId="125" fillId="6" borderId="0" xfId="2" applyFont="1" applyFill="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2" fillId="6" borderId="1" xfId="2" applyFont="1" applyFill="1" applyBorder="1"/>
    <xf numFmtId="0" fontId="139" fillId="6" borderId="1" xfId="2" applyFont="1" applyFill="1" applyBorder="1" applyAlignment="1">
      <alignment horizontal="center" vertical="center" wrapText="1"/>
    </xf>
    <xf numFmtId="0" fontId="160" fillId="6" borderId="0" xfId="2" applyFont="1" applyFill="1" applyAlignment="1">
      <alignment vertical="center"/>
    </xf>
    <xf numFmtId="0" fontId="160" fillId="6" borderId="1" xfId="2" applyFont="1" applyFill="1" applyBorder="1" applyAlignment="1">
      <alignment horizontal="left" vertical="center" wrapText="1"/>
    </xf>
    <xf numFmtId="0" fontId="160" fillId="6" borderId="1" xfId="2" applyFont="1" applyFill="1" applyBorder="1" applyAlignment="1">
      <alignment horizontal="center" vertical="center" wrapText="1"/>
    </xf>
    <xf numFmtId="14" fontId="160" fillId="6" borderId="1" xfId="2" applyNumberFormat="1" applyFont="1" applyFill="1" applyBorder="1" applyAlignment="1">
      <alignment horizontal="center" vertical="center" wrapText="1"/>
    </xf>
    <xf numFmtId="0" fontId="160" fillId="5" borderId="0" xfId="2" applyFont="1" applyFill="1" applyAlignment="1">
      <alignment vertical="center"/>
    </xf>
    <xf numFmtId="0" fontId="161"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2" fillId="6" borderId="0" xfId="2" applyFont="1" applyFill="1" applyAlignment="1">
      <alignment horizontal="center" wrapText="1"/>
    </xf>
    <xf numFmtId="14" fontId="22" fillId="6" borderId="0" xfId="2" applyNumberFormat="1" applyFont="1" applyFill="1" applyAlignment="1">
      <alignment horizontal="center" wrapText="1"/>
    </xf>
    <xf numFmtId="0" fontId="141" fillId="6" borderId="87" xfId="2" applyFont="1" applyFill="1" applyBorder="1"/>
    <xf numFmtId="14" fontId="141" fillId="6" borderId="78" xfId="2" applyNumberFormat="1" applyFont="1" applyFill="1" applyBorder="1" applyAlignment="1">
      <alignment horizontal="center"/>
    </xf>
    <xf numFmtId="0" fontId="141" fillId="6" borderId="78" xfId="2" applyFont="1" applyFill="1" applyBorder="1" applyAlignment="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Border="1" applyAlignment="1">
      <alignment horizontal="left" vertical="center"/>
    </xf>
    <xf numFmtId="0" fontId="102" fillId="0" borderId="1" xfId="0" applyFont="1" applyBorder="1" applyAlignment="1" applyProtection="1">
      <alignment horizontal="center" vertical="center" wrapText="1"/>
      <protection locked="0"/>
    </xf>
    <xf numFmtId="0" fontId="102" fillId="0" borderId="1" xfId="0" applyFont="1" applyBorder="1" applyAlignment="1" applyProtection="1">
      <alignment horizontal="left" vertical="center" wrapText="1"/>
      <protection locked="0"/>
    </xf>
    <xf numFmtId="0" fontId="102" fillId="0" borderId="5" xfId="0" applyFont="1" applyBorder="1" applyAlignment="1" applyProtection="1">
      <alignment horizontal="center" vertical="center" wrapText="1"/>
      <protection locked="0"/>
    </xf>
    <xf numFmtId="0" fontId="102" fillId="0" borderId="48"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102" fillId="0" borderId="46" xfId="0" applyFont="1" applyBorder="1" applyAlignment="1" applyProtection="1">
      <alignment horizontal="center" vertical="center" wrapText="1"/>
      <protection locked="0"/>
    </xf>
    <xf numFmtId="0" fontId="102" fillId="0" borderId="59" xfId="0" applyFont="1" applyBorder="1" applyAlignment="1" applyProtection="1">
      <alignment horizontal="center" vertical="center" wrapText="1"/>
      <protection locked="0"/>
    </xf>
    <xf numFmtId="0" fontId="102" fillId="0" borderId="110" xfId="0" applyFont="1" applyBorder="1" applyAlignment="1" applyProtection="1">
      <alignment horizontal="center" vertical="center" wrapText="1"/>
      <protection locked="0"/>
    </xf>
    <xf numFmtId="0" fontId="102" fillId="0" borderId="110" xfId="0" applyFont="1" applyBorder="1" applyAlignment="1" applyProtection="1">
      <alignment horizontal="left" vertical="center" wrapText="1"/>
      <protection locked="0"/>
    </xf>
    <xf numFmtId="0" fontId="102" fillId="0" borderId="111" xfId="0" applyFont="1" applyBorder="1" applyAlignment="1" applyProtection="1">
      <alignment horizontal="center" vertical="center" wrapText="1"/>
      <protection locked="0"/>
    </xf>
    <xf numFmtId="0" fontId="102" fillId="0" borderId="112" xfId="0" applyFont="1" applyBorder="1" applyAlignment="1" applyProtection="1">
      <alignment horizontal="center" vertical="center" wrapText="1"/>
      <protection locked="0"/>
    </xf>
    <xf numFmtId="0" fontId="102" fillId="6" borderId="98"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102" fillId="0" borderId="58" xfId="0" applyFont="1" applyBorder="1" applyAlignment="1" applyProtection="1">
      <alignment horizontal="center" vertical="center"/>
      <protection locked="0"/>
    </xf>
    <xf numFmtId="0" fontId="102" fillId="0" borderId="15" xfId="0" applyFont="1" applyBorder="1" applyAlignment="1" applyProtection="1">
      <alignment horizontal="center" vertical="center" wrapText="1"/>
      <protection locked="0"/>
    </xf>
    <xf numFmtId="9" fontId="102" fillId="0" borderId="15" xfId="0" applyNumberFormat="1" applyFont="1" applyBorder="1" applyAlignment="1" applyProtection="1">
      <alignment horizontal="center" vertical="center" wrapText="1"/>
      <protection locked="0"/>
    </xf>
    <xf numFmtId="0" fontId="102" fillId="0" borderId="15" xfId="0" applyFont="1" applyBorder="1" applyAlignment="1" applyProtection="1">
      <alignment horizontal="center" vertical="center"/>
      <protection locked="0"/>
    </xf>
    <xf numFmtId="0" fontId="102" fillId="0" borderId="56" xfId="0" applyFont="1" applyBorder="1" applyAlignment="1" applyProtection="1">
      <alignment horizontal="center" vertical="center"/>
      <protection locked="0"/>
    </xf>
    <xf numFmtId="0" fontId="102" fillId="0" borderId="2" xfId="0" applyFont="1" applyBorder="1" applyAlignment="1" applyProtection="1">
      <alignment horizontal="left" vertical="center" wrapText="1"/>
      <protection locked="0"/>
    </xf>
    <xf numFmtId="0" fontId="102" fillId="6" borderId="13"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49" xfId="0" applyFont="1" applyFill="1" applyBorder="1" applyAlignment="1">
      <alignment horizontal="center" vertical="center" wrapText="1"/>
    </xf>
    <xf numFmtId="0" fontId="50" fillId="0" borderId="24" xfId="0" applyFont="1" applyBorder="1" applyProtection="1">
      <alignment vertical="center"/>
      <protection locked="0"/>
    </xf>
    <xf numFmtId="0" fontId="163" fillId="0" borderId="1" xfId="12" applyFont="1" applyBorder="1" applyAlignment="1" applyProtection="1">
      <alignment horizontal="left" vertical="center" wrapText="1"/>
      <protection locked="0"/>
    </xf>
    <xf numFmtId="0" fontId="167" fillId="6" borderId="1" xfId="0" applyFont="1" applyFill="1" applyBorder="1" applyAlignment="1">
      <alignment horizontal="left" vertical="center" wrapText="1"/>
    </xf>
    <xf numFmtId="0" fontId="101" fillId="6" borderId="9" xfId="0" applyFont="1" applyFill="1" applyBorder="1" applyAlignment="1">
      <alignment horizontal="center" vertical="center" wrapText="1"/>
    </xf>
    <xf numFmtId="0" fontId="101" fillId="6" borderId="10" xfId="0" applyFont="1" applyFill="1" applyBorder="1" applyAlignment="1">
      <alignment horizontal="center" vertical="center" wrapText="1"/>
    </xf>
    <xf numFmtId="10" fontId="56" fillId="6" borderId="17" xfId="0" applyNumberFormat="1" applyFont="1" applyFill="1" applyBorder="1" applyAlignment="1">
      <alignment horizontal="center" vertical="center" wrapText="1"/>
    </xf>
    <xf numFmtId="0" fontId="171" fillId="0" borderId="108" xfId="0" applyFont="1" applyBorder="1" applyAlignment="1" applyProtection="1">
      <alignment horizontal="center" vertical="center" wrapText="1"/>
      <protection locked="0"/>
    </xf>
    <xf numFmtId="0" fontId="171" fillId="0" borderId="18" xfId="0" applyFont="1" applyBorder="1" applyAlignment="1" applyProtection="1">
      <alignment horizontal="center" vertical="center" wrapText="1"/>
      <protection locked="0"/>
    </xf>
    <xf numFmtId="0" fontId="116" fillId="6" borderId="24" xfId="0" applyFont="1" applyFill="1" applyBorder="1" applyAlignment="1">
      <alignment horizontal="left" vertical="center"/>
    </xf>
    <xf numFmtId="0" fontId="172" fillId="6" borderId="32" xfId="0" applyFont="1" applyFill="1" applyBorder="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102" fillId="6" borderId="2" xfId="0" applyFont="1" applyFill="1" applyBorder="1" applyAlignment="1">
      <alignment horizontal="center" vertical="center" wrapText="1"/>
    </xf>
    <xf numFmtId="0" fontId="102" fillId="6" borderId="1"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54" fillId="6" borderId="1" xfId="0" applyFont="1" applyFill="1" applyBorder="1" applyAlignment="1">
      <alignment horizontal="center" vertical="center"/>
    </xf>
    <xf numFmtId="0" fontId="54" fillId="6" borderId="15" xfId="0" applyFont="1" applyFill="1" applyBorder="1" applyAlignment="1">
      <alignment horizontal="center" vertical="center"/>
    </xf>
    <xf numFmtId="0" fontId="47" fillId="6" borderId="3" xfId="0" applyFont="1" applyFill="1" applyBorder="1" applyAlignment="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Alignment="1">
      <alignment horizontal="center"/>
    </xf>
    <xf numFmtId="0" fontId="56" fillId="6" borderId="13" xfId="0" applyFont="1" applyFill="1" applyBorder="1">
      <alignment vertical="center"/>
    </xf>
    <xf numFmtId="0" fontId="50" fillId="6" borderId="22" xfId="0" applyFont="1" applyFill="1" applyBorder="1" applyAlignment="1">
      <alignment vertical="center" wrapText="1"/>
    </xf>
    <xf numFmtId="0" fontId="174" fillId="6" borderId="1" xfId="0" applyFont="1" applyFill="1" applyBorder="1" applyAlignment="1">
      <alignment horizontal="right" vertical="center" wrapText="1"/>
    </xf>
    <xf numFmtId="0" fontId="116" fillId="6" borderId="15" xfId="0" applyFont="1" applyFill="1" applyBorder="1">
      <alignment vertical="center"/>
    </xf>
    <xf numFmtId="0" fontId="50" fillId="6" borderId="118" xfId="0" applyFont="1" applyFill="1" applyBorder="1" applyAlignment="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lignment vertical="center" wrapText="1"/>
    </xf>
    <xf numFmtId="0" fontId="50" fillId="6" borderId="36" xfId="0" applyFont="1" applyFill="1" applyBorder="1" applyAlignment="1">
      <alignment horizontal="left" vertical="center"/>
    </xf>
    <xf numFmtId="49" fontId="67" fillId="6" borderId="60" xfId="0" applyNumberFormat="1" applyFont="1" applyFill="1" applyBorder="1" applyAlignment="1"/>
    <xf numFmtId="0" fontId="80" fillId="6" borderId="13" xfId="0" applyFont="1" applyFill="1" applyBorder="1">
      <alignment vertical="center"/>
    </xf>
    <xf numFmtId="0" fontId="80" fillId="6" borderId="22" xfId="0" applyFont="1" applyFill="1" applyBorder="1">
      <alignment vertical="center"/>
    </xf>
    <xf numFmtId="177" fontId="60" fillId="6" borderId="60" xfId="0" applyNumberFormat="1" applyFont="1" applyFill="1" applyBorder="1" applyAlignment="1"/>
    <xf numFmtId="49" fontId="60" fillId="2" borderId="27" xfId="0" applyNumberFormat="1" applyFont="1" applyFill="1" applyBorder="1" applyAlignment="1" applyProtection="1">
      <alignment horizontal="right"/>
      <protection locked="0"/>
    </xf>
    <xf numFmtId="0" fontId="56" fillId="6" borderId="0" xfId="0" applyFont="1" applyFill="1" applyAlignment="1">
      <alignment horizontal="center" vertical="center"/>
    </xf>
    <xf numFmtId="0" fontId="56" fillId="6" borderId="0" xfId="0" applyFont="1" applyFill="1">
      <alignment vertical="center"/>
    </xf>
    <xf numFmtId="49" fontId="57" fillId="6" borderId="0" xfId="0" applyNumberFormat="1" applyFont="1" applyFill="1" applyAlignment="1">
      <alignment horizontal="center"/>
    </xf>
    <xf numFmtId="49" fontId="57" fillId="6" borderId="0" xfId="0" applyNumberFormat="1" applyFont="1" applyFill="1" applyAlignment="1">
      <alignment horizontal="left"/>
    </xf>
    <xf numFmtId="0" fontId="56" fillId="7" borderId="0" xfId="0" applyFont="1" applyFill="1" applyProtection="1">
      <alignment vertical="center"/>
      <protection locked="0"/>
    </xf>
    <xf numFmtId="0" fontId="57" fillId="6" borderId="1" xfId="1" applyFont="1" applyFill="1" applyBorder="1">
      <alignment vertical="center"/>
    </xf>
    <xf numFmtId="0" fontId="55" fillId="6" borderId="1" xfId="0" applyFont="1" applyFill="1" applyBorder="1" applyAlignment="1">
      <alignment horizontal="right" vertical="center"/>
    </xf>
    <xf numFmtId="49" fontId="56" fillId="6" borderId="0" xfId="0" applyNumberFormat="1" applyFont="1" applyFill="1" applyAlignment="1"/>
    <xf numFmtId="49" fontId="57" fillId="6" borderId="0" xfId="0" applyNumberFormat="1" applyFont="1" applyFill="1" applyAlignment="1"/>
    <xf numFmtId="0" fontId="57" fillId="6" borderId="32" xfId="1" applyFont="1" applyFill="1" applyBorder="1">
      <alignment vertical="center"/>
    </xf>
    <xf numFmtId="0" fontId="55" fillId="6" borderId="32" xfId="0" applyFont="1" applyFill="1" applyBorder="1" applyAlignment="1">
      <alignment horizontal="right" vertical="center"/>
    </xf>
    <xf numFmtId="0" fontId="50" fillId="6" borderId="60" xfId="0" applyFont="1" applyFill="1" applyBorder="1">
      <alignment vertical="center"/>
    </xf>
    <xf numFmtId="0" fontId="50" fillId="6" borderId="71" xfId="0" applyFont="1" applyFill="1" applyBorder="1">
      <alignment vertical="center"/>
    </xf>
    <xf numFmtId="0" fontId="50" fillId="6" borderId="88" xfId="0" applyFont="1" applyFill="1" applyBorder="1">
      <alignment vertical="center"/>
    </xf>
    <xf numFmtId="0" fontId="50" fillId="6" borderId="90" xfId="0" applyFont="1" applyFill="1" applyBorder="1">
      <alignment vertical="center"/>
    </xf>
    <xf numFmtId="0" fontId="51" fillId="7" borderId="0" xfId="0" applyFont="1" applyFill="1" applyProtection="1">
      <alignment vertical="center"/>
      <protection locked="0"/>
    </xf>
    <xf numFmtId="0" fontId="51" fillId="0" borderId="0" xfId="0" applyFont="1" applyProtection="1">
      <alignment vertical="center"/>
      <protection locked="0"/>
    </xf>
    <xf numFmtId="0" fontId="57" fillId="6" borderId="0" xfId="0" applyFont="1" applyFill="1" applyAlignment="1" applyProtection="1">
      <alignment horizontal="left" vertical="center"/>
      <protection locked="0"/>
    </xf>
    <xf numFmtId="0" fontId="63" fillId="6" borderId="0" xfId="0" applyFont="1" applyFill="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lignment vertical="center"/>
    </xf>
    <xf numFmtId="0" fontId="142" fillId="7" borderId="0" xfId="0" applyFont="1" applyFill="1" applyAlignment="1" applyProtection="1">
      <protection locked="0"/>
    </xf>
    <xf numFmtId="0" fontId="56" fillId="6" borderId="16" xfId="0" applyFont="1" applyFill="1" applyBorder="1" applyAlignment="1">
      <alignment horizontal="center" vertical="center"/>
    </xf>
    <xf numFmtId="0" fontId="50" fillId="6" borderId="31" xfId="0" applyFont="1" applyFill="1" applyBorder="1" applyAlignment="1"/>
    <xf numFmtId="0" fontId="142" fillId="7" borderId="63" xfId="0" applyFont="1" applyFill="1" applyBorder="1" applyProtection="1">
      <alignment vertical="center"/>
      <protection locked="0"/>
    </xf>
    <xf numFmtId="0" fontId="56" fillId="7" borderId="64" xfId="0" applyFont="1" applyFill="1" applyBorder="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lignment horizontal="center" vertical="center"/>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56" fillId="6" borderId="6" xfId="0" applyFont="1" applyFill="1" applyBorder="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lignment horizontal="center" vertical="center"/>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0" fontId="56" fillId="6" borderId="23" xfId="0" applyFont="1" applyFill="1" applyBorder="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lignment horizontal="center" vertical="center"/>
    </xf>
    <xf numFmtId="0" fontId="56" fillId="7" borderId="24" xfId="0" applyFont="1" applyFill="1" applyBorder="1" applyAlignment="1" applyProtection="1">
      <alignment horizontal="center" vertical="center"/>
      <protection locked="0"/>
    </xf>
    <xf numFmtId="0" fontId="56" fillId="0" borderId="24" xfId="0" applyFont="1" applyBorder="1" applyAlignment="1" applyProtection="1">
      <alignment horizontal="center" vertical="center"/>
      <protection locked="0"/>
    </xf>
    <xf numFmtId="0" fontId="102" fillId="6" borderId="81" xfId="0" applyFont="1" applyFill="1" applyBorder="1" applyAlignment="1">
      <alignment horizontal="right" vertical="center" wrapText="1"/>
    </xf>
    <xf numFmtId="0" fontId="102" fillId="6" borderId="24" xfId="0" applyFont="1" applyFill="1" applyBorder="1" applyAlignment="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lignment vertical="center" wrapText="1"/>
    </xf>
    <xf numFmtId="49" fontId="56" fillId="6" borderId="23" xfId="0" applyNumberFormat="1" applyFont="1" applyFill="1" applyBorder="1" applyAlignment="1">
      <alignment horizontal="left" vertical="center"/>
    </xf>
    <xf numFmtId="0" fontId="56" fillId="6" borderId="23" xfId="0" applyFont="1" applyFill="1" applyBorder="1" applyProtection="1">
      <alignment vertical="center"/>
      <protection locked="0"/>
    </xf>
    <xf numFmtId="193" fontId="56" fillId="6" borderId="24" xfId="0" applyNumberFormat="1" applyFont="1" applyFill="1" applyBorder="1" applyAlignment="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lignment vertical="center"/>
    </xf>
    <xf numFmtId="10" fontId="56" fillId="0" borderId="49" xfId="0" applyNumberFormat="1" applyFont="1" applyBorder="1" applyAlignment="1" applyProtection="1">
      <alignment horizontal="center" vertical="center"/>
      <protection locked="0"/>
    </xf>
    <xf numFmtId="0" fontId="56" fillId="6" borderId="26" xfId="0" applyFont="1" applyFill="1" applyBorder="1" applyAlignment="1">
      <alignment vertical="center" wrapText="1"/>
    </xf>
    <xf numFmtId="0" fontId="56" fillId="6" borderId="48" xfId="0" applyFont="1" applyFill="1" applyBorder="1" applyProtection="1">
      <alignment vertical="center"/>
      <protection locked="0"/>
    </xf>
    <xf numFmtId="0" fontId="116" fillId="6" borderId="0" xfId="0" applyFont="1" applyFill="1" applyProtection="1">
      <alignment vertical="center"/>
      <protection locked="0"/>
    </xf>
    <xf numFmtId="0" fontId="116" fillId="6" borderId="47" xfId="0" applyFont="1" applyFill="1" applyBorder="1" applyAlignment="1">
      <alignment vertical="center" wrapText="1"/>
    </xf>
    <xf numFmtId="0" fontId="57" fillId="6" borderId="51" xfId="0" applyFont="1" applyFill="1" applyBorder="1" applyAlignment="1">
      <alignment horizontal="left" vertical="center" wrapText="1"/>
    </xf>
    <xf numFmtId="181" fontId="56" fillId="6" borderId="9" xfId="0" applyNumberFormat="1" applyFont="1" applyFill="1" applyBorder="1" applyAlignment="1">
      <alignment horizontal="center" vertical="center"/>
    </xf>
    <xf numFmtId="0" fontId="57" fillId="6" borderId="16" xfId="0" applyFont="1" applyFill="1" applyBorder="1" applyAlignment="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Protection="1">
      <alignment vertical="center"/>
      <protection locked="0"/>
    </xf>
    <xf numFmtId="0" fontId="56" fillId="6" borderId="54" xfId="0" applyFont="1" applyFill="1" applyBorder="1" applyProtection="1">
      <alignment vertical="center"/>
      <protection locked="0"/>
    </xf>
    <xf numFmtId="0" fontId="56" fillId="6" borderId="41" xfId="0" applyFont="1" applyFill="1" applyBorder="1" applyAlignment="1">
      <alignment vertical="center" wrapText="1"/>
    </xf>
    <xf numFmtId="0" fontId="56" fillId="5" borderId="0" xfId="0" applyFont="1" applyFill="1" applyAlignment="1" applyProtection="1">
      <alignment horizontal="center" vertical="center"/>
      <protection locked="0"/>
    </xf>
    <xf numFmtId="0" fontId="56" fillId="6" borderId="18" xfId="0" applyFont="1" applyFill="1" applyBorder="1" applyProtection="1">
      <alignment vertical="center"/>
      <protection locked="0"/>
    </xf>
    <xf numFmtId="0" fontId="56" fillId="6" borderId="4" xfId="0" applyFont="1" applyFill="1" applyBorder="1" applyProtection="1">
      <alignment vertical="center"/>
      <protection locked="0"/>
    </xf>
    <xf numFmtId="0" fontId="56" fillId="6" borderId="60" xfId="0" applyFont="1" applyFill="1" applyBorder="1" applyProtection="1">
      <alignment vertical="center"/>
      <protection locked="0"/>
    </xf>
    <xf numFmtId="0" fontId="56" fillId="6" borderId="71" xfId="0" applyFont="1" applyFill="1" applyBorder="1" applyProtection="1">
      <alignment vertical="center"/>
      <protection locked="0"/>
    </xf>
    <xf numFmtId="0" fontId="56" fillId="6" borderId="23" xfId="0" applyFont="1" applyFill="1" applyBorder="1" applyAlignment="1">
      <alignment vertical="center" wrapText="1"/>
    </xf>
    <xf numFmtId="0" fontId="56" fillId="6" borderId="5" xfId="0" applyFont="1" applyFill="1" applyBorder="1" applyAlignment="1">
      <alignment horizontal="center" vertical="center"/>
    </xf>
    <xf numFmtId="181" fontId="56" fillId="6" borderId="5" xfId="0" applyNumberFormat="1" applyFont="1" applyFill="1" applyBorder="1" applyAlignment="1">
      <alignment horizontal="center" vertical="center"/>
    </xf>
    <xf numFmtId="49" fontId="57" fillId="6" borderId="25" xfId="0" applyNumberFormat="1" applyFont="1" applyFill="1" applyBorder="1" applyAlignment="1">
      <alignment horizontal="left" vertical="center"/>
    </xf>
    <xf numFmtId="0" fontId="56" fillId="6" borderId="49" xfId="0" applyFont="1" applyFill="1" applyBorder="1" applyAlignment="1">
      <alignment horizontal="center" vertical="center"/>
    </xf>
    <xf numFmtId="0" fontId="57" fillId="6" borderId="25" xfId="0" applyFont="1" applyFill="1" applyBorder="1" applyAlignment="1">
      <alignment horizontal="center" vertical="center"/>
    </xf>
    <xf numFmtId="0" fontId="56" fillId="6" borderId="0" xfId="0" applyFont="1" applyFill="1" applyProtection="1">
      <alignment vertical="center"/>
      <protection locked="0"/>
    </xf>
    <xf numFmtId="0" fontId="56" fillId="6" borderId="1" xfId="0" applyFont="1" applyFill="1" applyBorder="1" applyAlignment="1"/>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3" fontId="102" fillId="6" borderId="43" xfId="0" applyNumberFormat="1" applyFont="1" applyFill="1" applyBorder="1" applyAlignment="1">
      <alignment vertical="center" wrapText="1"/>
    </xf>
    <xf numFmtId="0" fontId="167" fillId="6" borderId="43" xfId="0" applyFont="1" applyFill="1" applyBorder="1">
      <alignment vertical="center"/>
    </xf>
    <xf numFmtId="0" fontId="56" fillId="0" borderId="0" xfId="0" applyFont="1" applyAlignment="1" applyProtection="1">
      <alignment horizontal="left" vertical="center"/>
      <protection locked="0"/>
    </xf>
    <xf numFmtId="0" fontId="50" fillId="6" borderId="1" xfId="0" applyFont="1" applyFill="1" applyBorder="1" applyAlignment="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lignment vertical="center"/>
    </xf>
    <xf numFmtId="0" fontId="50" fillId="6" borderId="0" xfId="0" applyFont="1" applyFill="1" applyAlignment="1"/>
    <xf numFmtId="0" fontId="174" fillId="6" borderId="3" xfId="0" applyFont="1" applyFill="1" applyBorder="1" applyAlignment="1">
      <alignment horizontal="right" vertical="center" wrapText="1"/>
    </xf>
    <xf numFmtId="0" fontId="189" fillId="0" borderId="0" xfId="5" applyFont="1">
      <alignment vertical="center"/>
    </xf>
    <xf numFmtId="0" fontId="98" fillId="0" borderId="0" xfId="0" applyFont="1" applyProtection="1">
      <alignment vertical="center"/>
      <protection locked="0"/>
    </xf>
    <xf numFmtId="0" fontId="198" fillId="0" borderId="0" xfId="0" applyFont="1" applyAlignment="1">
      <alignment horizontal="center" vertical="center"/>
    </xf>
    <xf numFmtId="0" fontId="199" fillId="0" borderId="0" xfId="0" applyFont="1">
      <alignment vertical="center"/>
    </xf>
    <xf numFmtId="0" fontId="133" fillId="0" borderId="0" xfId="0" applyFont="1" applyAlignment="1">
      <alignment vertical="center" wrapText="1"/>
    </xf>
    <xf numFmtId="0" fontId="200" fillId="0" borderId="0" xfId="0" applyFont="1">
      <alignment vertical="center"/>
    </xf>
    <xf numFmtId="0" fontId="201" fillId="0" borderId="0" xfId="0" applyFont="1">
      <alignment vertical="center"/>
    </xf>
    <xf numFmtId="0" fontId="202" fillId="0" borderId="0" xfId="0" applyFont="1" applyAlignment="1" applyProtection="1">
      <alignment vertical="center" wrapText="1"/>
      <protection locked="0"/>
    </xf>
    <xf numFmtId="183" fontId="133" fillId="0" borderId="0" xfId="0" applyNumberFormat="1" applyFont="1" applyAlignment="1">
      <alignment horizontal="left" vertical="center"/>
    </xf>
    <xf numFmtId="0" fontId="133" fillId="0" borderId="0" xfId="0" applyFont="1">
      <alignment vertical="center"/>
    </xf>
    <xf numFmtId="0" fontId="203" fillId="5" borderId="0" xfId="0" applyFont="1" applyFill="1" applyProtection="1">
      <alignment vertical="center"/>
      <protection locked="0"/>
    </xf>
    <xf numFmtId="0" fontId="199" fillId="0" borderId="0" xfId="7" applyFont="1">
      <alignment vertical="center"/>
    </xf>
    <xf numFmtId="0" fontId="101" fillId="0" borderId="0" xfId="7" applyFont="1">
      <alignment vertical="center"/>
    </xf>
    <xf numFmtId="0" fontId="199" fillId="0" borderId="0" xfId="7" applyFont="1" applyAlignment="1">
      <alignment horizontal="center" vertical="center"/>
    </xf>
    <xf numFmtId="0" fontId="127" fillId="0" borderId="2" xfId="7" applyFont="1" applyBorder="1" applyAlignment="1">
      <alignment horizontal="left" vertical="center" wrapText="1"/>
    </xf>
    <xf numFmtId="0" fontId="128" fillId="0" borderId="1" xfId="7" applyFont="1" applyBorder="1" applyAlignment="1">
      <alignment horizontal="left" vertical="center" wrapText="1"/>
    </xf>
    <xf numFmtId="0" fontId="206" fillId="0" borderId="1" xfId="7" applyFont="1" applyBorder="1" applyAlignment="1">
      <alignment horizontal="left" vertical="center" wrapText="1"/>
    </xf>
    <xf numFmtId="0" fontId="64" fillId="0" borderId="5" xfId="7" applyFont="1" applyBorder="1" applyAlignment="1">
      <alignment vertical="center" wrapText="1"/>
    </xf>
    <xf numFmtId="0" fontId="107" fillId="0" borderId="1" xfId="7" applyFont="1" applyBorder="1" applyAlignment="1">
      <alignment horizontal="left" vertical="center" wrapText="1"/>
    </xf>
    <xf numFmtId="0" fontId="127" fillId="0" borderId="1" xfId="7" applyFont="1" applyBorder="1" applyAlignment="1">
      <alignment horizontal="left" vertical="center" wrapText="1"/>
    </xf>
    <xf numFmtId="0" fontId="207" fillId="0" borderId="1" xfId="7" applyFont="1" applyBorder="1" applyAlignment="1">
      <alignment horizontal="center" vertical="center"/>
    </xf>
    <xf numFmtId="0" fontId="128" fillId="0" borderId="78" xfId="7" applyFont="1" applyBorder="1" applyAlignment="1">
      <alignment horizontal="left" vertical="center" wrapText="1"/>
    </xf>
    <xf numFmtId="0" fontId="102" fillId="0" borderId="0" xfId="7" applyFont="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Border="1" applyAlignment="1">
      <alignment horizontal="left" vertical="center" wrapText="1"/>
    </xf>
    <xf numFmtId="0" fontId="133" fillId="0" borderId="0" xfId="0" applyFont="1" applyProtection="1">
      <alignment vertical="center"/>
      <protection locked="0"/>
    </xf>
    <xf numFmtId="0" fontId="98" fillId="0" borderId="0" xfId="0" applyFont="1">
      <alignment vertical="center"/>
    </xf>
    <xf numFmtId="0" fontId="196" fillId="0" borderId="0" xfId="0" applyFont="1" applyAlignment="1">
      <alignment horizontal="left" vertical="center"/>
    </xf>
    <xf numFmtId="0" fontId="214" fillId="0" borderId="0" xfId="0" applyFont="1" applyAlignment="1">
      <alignment horizontal="center" vertical="center" wrapText="1"/>
    </xf>
    <xf numFmtId="14" fontId="133" fillId="0" borderId="0" xfId="0" applyNumberFormat="1" applyFont="1" applyAlignment="1">
      <alignment horizontal="center" vertical="center" wrapText="1"/>
    </xf>
    <xf numFmtId="0" fontId="133" fillId="0" borderId="0" xfId="0" applyFont="1" applyAlignment="1">
      <alignment horizontal="center" vertical="center" wrapText="1"/>
    </xf>
    <xf numFmtId="0" fontId="214" fillId="0" borderId="60" xfId="0" applyFont="1" applyBorder="1" applyAlignment="1">
      <alignment horizontal="justify" vertical="center" wrapText="1"/>
    </xf>
    <xf numFmtId="0" fontId="214" fillId="0" borderId="0" xfId="0" applyFont="1" applyAlignment="1">
      <alignment horizontal="right" vertical="center" wrapText="1"/>
    </xf>
    <xf numFmtId="0" fontId="214" fillId="0" borderId="54" xfId="0" applyFont="1" applyBorder="1" applyAlignment="1">
      <alignment horizontal="justify" vertical="center" wrapText="1"/>
    </xf>
    <xf numFmtId="0" fontId="215" fillId="0" borderId="0" xfId="0" applyFont="1" applyAlignment="1" applyProtection="1">
      <alignment horizontal="center" vertical="center" wrapText="1"/>
      <protection locked="0"/>
    </xf>
    <xf numFmtId="0" fontId="199" fillId="0" borderId="0" xfId="0" applyFont="1" applyAlignment="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197" fillId="0" borderId="0" xfId="0" applyFont="1" applyProtection="1">
      <alignment vertical="center"/>
      <protection locked="0"/>
    </xf>
    <xf numFmtId="0" fontId="218" fillId="0" borderId="0" xfId="0" applyFont="1">
      <alignment vertical="center"/>
    </xf>
    <xf numFmtId="0" fontId="197" fillId="0" borderId="0" xfId="0" applyFont="1">
      <alignment vertical="center"/>
    </xf>
    <xf numFmtId="0" fontId="205" fillId="0" borderId="1" xfId="0" applyFont="1" applyBorder="1" applyAlignment="1">
      <alignment horizontal="center" vertical="center" wrapText="1"/>
    </xf>
    <xf numFmtId="0" fontId="98" fillId="0" borderId="0" xfId="0" applyFont="1" applyAlignment="1">
      <alignment horizontal="left" vertical="center"/>
    </xf>
    <xf numFmtId="0" fontId="205" fillId="0" borderId="0" xfId="0" applyFont="1">
      <alignment vertical="center"/>
    </xf>
    <xf numFmtId="0" fontId="205" fillId="2" borderId="1" xfId="0" applyFont="1" applyFill="1" applyBorder="1" applyAlignment="1">
      <alignment horizontal="center" vertical="center" wrapText="1"/>
    </xf>
    <xf numFmtId="0" fontId="205" fillId="6" borderId="1" xfId="0" applyFont="1" applyFill="1" applyBorder="1" applyAlignment="1">
      <alignment horizontal="center" vertical="center" wrapText="1"/>
    </xf>
    <xf numFmtId="0" fontId="221" fillId="4" borderId="1" xfId="0" applyFont="1" applyFill="1" applyBorder="1" applyAlignment="1">
      <alignment horizontal="center" vertical="center"/>
    </xf>
    <xf numFmtId="0" fontId="222" fillId="0" borderId="1" xfId="0" applyFont="1" applyBorder="1" applyAlignment="1">
      <alignment horizontal="center" vertical="center"/>
    </xf>
    <xf numFmtId="0" fontId="220" fillId="0" borderId="0" xfId="0" applyFont="1">
      <alignment vertical="center"/>
    </xf>
    <xf numFmtId="0" fontId="119"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23" fillId="0" borderId="0" xfId="0" applyFont="1">
      <alignment vertical="center"/>
    </xf>
    <xf numFmtId="0" fontId="220" fillId="0" borderId="0" xfId="0" applyFont="1" applyAlignment="1">
      <alignment horizontal="left" vertical="center"/>
    </xf>
    <xf numFmtId="176" fontId="220" fillId="0" borderId="0" xfId="0" applyNumberFormat="1" applyFont="1" applyAlignment="1">
      <alignment horizontal="left" vertical="center"/>
    </xf>
    <xf numFmtId="0" fontId="220"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0"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0" fillId="0" borderId="1" xfId="0" applyFont="1" applyBorder="1" applyAlignment="1" applyProtection="1">
      <alignment horizontal="left" vertical="center"/>
      <protection locked="0"/>
    </xf>
    <xf numFmtId="0" fontId="98" fillId="6" borderId="0" xfId="0" applyFont="1" applyFill="1">
      <alignment vertical="center"/>
    </xf>
    <xf numFmtId="0" fontId="220"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7" fillId="6" borderId="0" xfId="0" applyFont="1" applyFill="1" applyAlignment="1">
      <alignment vertical="center" wrapText="1"/>
    </xf>
    <xf numFmtId="0" fontId="47" fillId="6" borderId="0" xfId="0" applyFont="1" applyFill="1" applyAlignment="1">
      <alignment horizontal="center" vertical="center" wrapText="1"/>
    </xf>
    <xf numFmtId="0" fontId="47" fillId="0" borderId="0" xfId="0" applyFont="1">
      <alignment vertical="center"/>
    </xf>
    <xf numFmtId="0" fontId="47" fillId="0" borderId="0" xfId="0" applyFont="1" applyAlignment="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lignment vertical="center" wrapText="1"/>
    </xf>
    <xf numFmtId="0" fontId="50" fillId="5" borderId="76" xfId="0" applyFont="1" applyFill="1" applyBorder="1" applyAlignment="1" applyProtection="1">
      <alignment horizontal="center" vertical="center" wrapText="1"/>
      <protection locked="0"/>
    </xf>
    <xf numFmtId="0" fontId="171" fillId="0" borderId="23" xfId="0" applyFont="1" applyBorder="1" applyAlignment="1" applyProtection="1">
      <alignment vertical="center" wrapText="1"/>
      <protection locked="0"/>
    </xf>
    <xf numFmtId="0" fontId="50" fillId="6" borderId="58" xfId="0" applyFont="1" applyFill="1" applyBorder="1" applyAlignment="1">
      <alignment horizontal="center" vertical="center" wrapText="1"/>
    </xf>
    <xf numFmtId="0" fontId="50" fillId="0" borderId="1" xfId="0" applyFont="1" applyBorder="1" applyAlignment="1" applyProtection="1">
      <alignment vertical="center" wrapText="1"/>
      <protection locked="0"/>
    </xf>
    <xf numFmtId="0" fontId="47" fillId="0" borderId="0" xfId="0" applyFont="1" applyAlignment="1">
      <alignment horizontal="center" vertical="center" wrapText="1"/>
    </xf>
    <xf numFmtId="0" fontId="106" fillId="6" borderId="0" xfId="0" applyFont="1" applyFill="1" applyAlignment="1">
      <alignment horizontal="left" vertical="center"/>
    </xf>
    <xf numFmtId="0" fontId="104" fillId="6" borderId="0" xfId="0" applyFont="1" applyFill="1" applyAlignment="1">
      <alignment horizontal="left" vertical="center"/>
    </xf>
    <xf numFmtId="0" fontId="50" fillId="6" borderId="0" xfId="0" applyFont="1" applyFill="1" applyAlignment="1">
      <alignment horizontal="center" vertical="center" wrapText="1"/>
    </xf>
    <xf numFmtId="0" fontId="50" fillId="6" borderId="0" xfId="0" applyFont="1" applyFill="1" applyAlignment="1">
      <alignment horizontal="center" vertical="center"/>
    </xf>
    <xf numFmtId="0" fontId="50" fillId="0" borderId="0" xfId="0" applyFont="1" applyAlignment="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lignment horizontal="left" vertical="center"/>
    </xf>
    <xf numFmtId="179" fontId="50" fillId="6" borderId="0" xfId="0" applyNumberFormat="1" applyFont="1" applyFill="1" applyAlignment="1">
      <alignment horizontal="center" vertical="center" wrapText="1"/>
    </xf>
    <xf numFmtId="179" fontId="51" fillId="6" borderId="0" xfId="0" applyNumberFormat="1" applyFont="1" applyFill="1" applyAlignment="1">
      <alignment horizontal="center" vertical="center" wrapText="1"/>
    </xf>
    <xf numFmtId="176" fontId="50" fillId="6" borderId="0" xfId="0" applyNumberFormat="1" applyFont="1" applyFill="1" applyAlignment="1">
      <alignment horizontal="center" vertical="center" wrapText="1"/>
    </xf>
    <xf numFmtId="176" fontId="50" fillId="6" borderId="54" xfId="0" applyNumberFormat="1" applyFont="1" applyFill="1" applyBorder="1" applyAlignment="1">
      <alignment horizontal="center" vertical="center" wrapText="1"/>
    </xf>
    <xf numFmtId="176" fontId="50" fillId="6" borderId="3" xfId="0" applyNumberFormat="1" applyFont="1" applyFill="1" applyBorder="1" applyAlignment="1">
      <alignment horizontal="center" vertical="center" wrapText="1"/>
    </xf>
    <xf numFmtId="176" fontId="50" fillId="6" borderId="5" xfId="0" applyNumberFormat="1" applyFont="1" applyFill="1" applyBorder="1" applyAlignment="1">
      <alignment horizontal="center" vertical="center" wrapText="1"/>
    </xf>
    <xf numFmtId="176" fontId="50" fillId="0" borderId="0" xfId="0" applyNumberFormat="1" applyFont="1" applyAlignment="1">
      <alignment horizontal="center" vertical="center" wrapText="1"/>
    </xf>
    <xf numFmtId="0" fontId="50" fillId="6" borderId="46"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36"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6" borderId="58" xfId="0" applyFont="1" applyFill="1" applyBorder="1" applyAlignment="1">
      <alignment horizontal="center" vertical="center"/>
    </xf>
    <xf numFmtId="0" fontId="50" fillId="6" borderId="46" xfId="0" applyFont="1" applyFill="1" applyBorder="1" applyAlignment="1">
      <alignment horizontal="center" vertical="center"/>
    </xf>
    <xf numFmtId="179" fontId="50" fillId="6" borderId="5" xfId="0" applyNumberFormat="1" applyFont="1" applyFill="1" applyBorder="1" applyAlignment="1">
      <alignment horizontal="left" vertical="center"/>
    </xf>
    <xf numFmtId="0" fontId="51" fillId="6" borderId="54" xfId="0" applyFont="1" applyFill="1" applyBorder="1" applyAlignment="1">
      <alignment horizontal="center" vertical="center"/>
    </xf>
    <xf numFmtId="179" fontId="50" fillId="6" borderId="54" xfId="0" applyNumberFormat="1" applyFont="1" applyFill="1" applyBorder="1" applyAlignment="1">
      <alignment horizontal="center" vertical="center"/>
    </xf>
    <xf numFmtId="179" fontId="50" fillId="6" borderId="3" xfId="0" applyNumberFormat="1" applyFont="1" applyFill="1" applyBorder="1" applyAlignment="1">
      <alignment horizontal="center" vertical="center"/>
    </xf>
    <xf numFmtId="0" fontId="51" fillId="6" borderId="36" xfId="0" applyFont="1" applyFill="1" applyBorder="1" applyAlignment="1">
      <alignment horizontal="center" vertical="center"/>
    </xf>
    <xf numFmtId="0" fontId="50" fillId="0" borderId="0" xfId="0" applyFont="1" applyAlignment="1">
      <alignment horizontal="center" vertical="center"/>
    </xf>
    <xf numFmtId="179" fontId="50" fillId="6" borderId="0" xfId="0" applyNumberFormat="1" applyFont="1" applyFill="1" applyAlignment="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lignment horizontal="left" vertical="center"/>
    </xf>
    <xf numFmtId="0" fontId="50" fillId="6" borderId="7" xfId="0" applyFont="1" applyFill="1" applyBorder="1" applyAlignment="1">
      <alignment horizontal="left" vertical="center"/>
    </xf>
    <xf numFmtId="179" fontId="50" fillId="6" borderId="4" xfId="0" applyNumberFormat="1" applyFont="1" applyFill="1" applyBorder="1" applyAlignment="1">
      <alignment horizontal="center" vertical="center"/>
    </xf>
    <xf numFmtId="0" fontId="51" fillId="6" borderId="60" xfId="0" applyFont="1" applyFill="1" applyBorder="1" applyAlignment="1">
      <alignment horizontal="center" vertical="center"/>
    </xf>
    <xf numFmtId="179" fontId="50" fillId="6" borderId="7" xfId="0" applyNumberFormat="1" applyFont="1" applyFill="1" applyBorder="1" applyAlignment="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lignment horizontal="right" vertical="center"/>
    </xf>
    <xf numFmtId="179" fontId="50" fillId="6" borderId="35" xfId="0" applyNumberFormat="1" applyFont="1" applyFill="1" applyBorder="1" applyAlignment="1">
      <alignment horizontal="center" vertical="center"/>
    </xf>
    <xf numFmtId="0" fontId="50" fillId="6" borderId="7" xfId="0" applyFont="1" applyFill="1" applyBorder="1" applyAlignment="1">
      <alignment horizontal="center" vertical="center"/>
    </xf>
    <xf numFmtId="0" fontId="50" fillId="6" borderId="8" xfId="0" applyFont="1" applyFill="1" applyBorder="1" applyAlignment="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lignment horizontal="left" vertical="center"/>
    </xf>
    <xf numFmtId="0" fontId="116" fillId="6" borderId="5" xfId="0" applyFont="1" applyFill="1" applyBorder="1" applyAlignment="1">
      <alignment horizontal="left" vertical="center"/>
    </xf>
    <xf numFmtId="0" fontId="226" fillId="6" borderId="3" xfId="0" applyFont="1" applyFill="1" applyBorder="1" applyAlignment="1">
      <alignment horizontal="right" vertical="center"/>
    </xf>
    <xf numFmtId="0" fontId="50" fillId="6" borderId="61" xfId="0" applyFont="1" applyFill="1" applyBorder="1" applyAlignment="1">
      <alignment horizontal="center" vertical="center"/>
    </xf>
    <xf numFmtId="0" fontId="50" fillId="6" borderId="4" xfId="0" applyFont="1" applyFill="1" applyBorder="1" applyAlignment="1">
      <alignment horizontal="center" vertical="center" wrapText="1"/>
    </xf>
    <xf numFmtId="179" fontId="50" fillId="6" borderId="7" xfId="0" applyNumberFormat="1" applyFont="1" applyFill="1" applyBorder="1" applyAlignment="1">
      <alignment horizontal="center" vertical="center" wrapText="1"/>
    </xf>
    <xf numFmtId="179" fontId="50" fillId="6" borderId="2" xfId="0" applyNumberFormat="1" applyFont="1" applyFill="1" applyBorder="1" applyAlignment="1">
      <alignment horizontal="center" vertical="center" wrapText="1"/>
    </xf>
    <xf numFmtId="179" fontId="50" fillId="6" borderId="4" xfId="0" applyNumberFormat="1" applyFont="1" applyFill="1" applyBorder="1" applyAlignment="1">
      <alignment horizontal="center" vertical="center" wrapText="1"/>
    </xf>
    <xf numFmtId="0" fontId="50" fillId="6" borderId="35" xfId="0" applyFont="1" applyFill="1" applyBorder="1" applyAlignment="1">
      <alignment horizontal="center" vertical="center" wrapText="1"/>
    </xf>
    <xf numFmtId="179" fontId="50" fillId="6" borderId="1" xfId="0" applyNumberFormat="1" applyFont="1" applyFill="1" applyBorder="1" applyAlignment="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176" fontId="47" fillId="0" borderId="0" xfId="0" applyNumberFormat="1"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0" fontId="106" fillId="6" borderId="0" xfId="0" applyFont="1" applyFill="1">
      <alignment vertical="center"/>
    </xf>
    <xf numFmtId="0" fontId="47" fillId="0" borderId="0" xfId="0" applyFont="1" applyProtection="1">
      <alignment vertical="center"/>
      <protection locked="0"/>
    </xf>
    <xf numFmtId="176" fontId="53" fillId="6" borderId="1" xfId="1" applyNumberFormat="1" applyFont="1" applyFill="1" applyBorder="1" applyAlignment="1">
      <alignment horizontal="center" vertical="center"/>
    </xf>
    <xf numFmtId="0" fontId="49" fillId="6" borderId="9" xfId="0" applyFont="1" applyFill="1" applyBorder="1" applyAlignment="1">
      <alignment horizontal="center" vertical="center"/>
    </xf>
    <xf numFmtId="176" fontId="53" fillId="6" borderId="10" xfId="1" applyNumberFormat="1" applyFont="1" applyFill="1" applyBorder="1" applyAlignment="1">
      <alignment horizontal="center" vertical="center"/>
    </xf>
    <xf numFmtId="0" fontId="47" fillId="6" borderId="2" xfId="0" applyFont="1" applyFill="1" applyBorder="1">
      <alignment vertical="center"/>
    </xf>
    <xf numFmtId="0" fontId="47" fillId="6" borderId="12" xfId="0" applyFont="1" applyFill="1" applyBorder="1">
      <alignment vertical="center"/>
    </xf>
    <xf numFmtId="176" fontId="49" fillId="6" borderId="10" xfId="1" applyNumberFormat="1" applyFont="1" applyFill="1" applyBorder="1" applyAlignment="1">
      <alignment horizontal="center" vertical="center"/>
    </xf>
    <xf numFmtId="0" fontId="47" fillId="6" borderId="14" xfId="0" applyFont="1" applyFill="1" applyBorder="1">
      <alignment vertical="center"/>
    </xf>
    <xf numFmtId="0" fontId="47" fillId="6" borderId="15" xfId="0" applyFont="1" applyFill="1" applyBorder="1">
      <alignment vertical="center"/>
    </xf>
    <xf numFmtId="0" fontId="49" fillId="6" borderId="51" xfId="0" applyFont="1" applyFill="1" applyBorder="1">
      <alignment vertical="center"/>
    </xf>
    <xf numFmtId="0" fontId="47" fillId="6" borderId="21" xfId="0" applyFont="1" applyFill="1" applyBorder="1">
      <alignment vertical="center"/>
    </xf>
    <xf numFmtId="0" fontId="47" fillId="6" borderId="16" xfId="0" applyFont="1" applyFill="1" applyBorder="1">
      <alignment vertical="center"/>
    </xf>
    <xf numFmtId="0" fontId="47" fillId="6" borderId="17" xfId="0" applyFont="1" applyFill="1" applyBorder="1">
      <alignment vertical="center"/>
    </xf>
    <xf numFmtId="0" fontId="47" fillId="6" borderId="19" xfId="0" applyFont="1" applyFill="1" applyBorder="1">
      <alignment vertical="center"/>
    </xf>
    <xf numFmtId="0" fontId="49" fillId="6" borderId="17" xfId="0" applyFont="1" applyFill="1" applyBorder="1" applyAlignment="1">
      <alignment horizontal="center" vertical="center"/>
    </xf>
    <xf numFmtId="176" fontId="53" fillId="6" borderId="29" xfId="1" applyNumberFormat="1" applyFont="1" applyFill="1" applyBorder="1" applyAlignment="1">
      <alignment horizontal="center" vertical="center"/>
    </xf>
    <xf numFmtId="176" fontId="53" fillId="6" borderId="20" xfId="1" applyNumberFormat="1" applyFont="1" applyFill="1" applyBorder="1" applyAlignment="1">
      <alignment horizontal="center" vertical="center"/>
    </xf>
    <xf numFmtId="176" fontId="53" fillId="6" borderId="21" xfId="1" applyNumberFormat="1" applyFont="1" applyFill="1" applyBorder="1" applyAlignment="1">
      <alignment horizontal="center" vertical="center"/>
    </xf>
    <xf numFmtId="0" fontId="49" fillId="6" borderId="55" xfId="0" applyFont="1" applyFill="1" applyBorder="1" applyAlignment="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0" xfId="0" applyFont="1" applyFill="1">
      <alignment vertical="center"/>
    </xf>
    <xf numFmtId="0" fontId="49" fillId="6" borderId="2" xfId="0" applyFont="1" applyFill="1" applyBorder="1" applyAlignment="1">
      <alignment horizontal="center" vertical="center"/>
    </xf>
    <xf numFmtId="176" fontId="54" fillId="6" borderId="2" xfId="1"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179" fontId="47" fillId="6" borderId="24" xfId="0" applyNumberFormat="1" applyFont="1" applyFill="1" applyBorder="1" applyAlignment="1">
      <alignment horizontal="center" vertical="center"/>
    </xf>
    <xf numFmtId="0" fontId="47" fillId="6" borderId="1" xfId="0" applyFont="1" applyFill="1" applyBorder="1" applyAlignment="1">
      <alignment horizontal="left" vertical="center"/>
    </xf>
    <xf numFmtId="0" fontId="47" fillId="6" borderId="18" xfId="0" applyFont="1" applyFill="1" applyBorder="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lignment horizontal="left" vertical="center"/>
    </xf>
    <xf numFmtId="0" fontId="47" fillId="6" borderId="3" xfId="0" applyFont="1" applyFill="1" applyBorder="1" applyAlignment="1">
      <alignment horizontal="left" vertical="center"/>
    </xf>
    <xf numFmtId="0" fontId="49" fillId="6" borderId="22" xfId="0" applyFont="1" applyFill="1" applyBorder="1" applyAlignment="1">
      <alignment horizontal="left" vertical="center"/>
    </xf>
    <xf numFmtId="0" fontId="47" fillId="6" borderId="42" xfId="0" applyFont="1" applyFill="1" applyBorder="1">
      <alignment vertical="center"/>
    </xf>
    <xf numFmtId="176" fontId="47" fillId="0" borderId="0" xfId="0" applyNumberFormat="1" applyFont="1" applyProtection="1">
      <alignment vertical="center"/>
      <protection locked="0"/>
    </xf>
    <xf numFmtId="0" fontId="106" fillId="6" borderId="0" xfId="0" applyFont="1" applyFill="1" applyAlignment="1">
      <alignment vertical="center" wrapText="1"/>
    </xf>
    <xf numFmtId="179" fontId="50" fillId="6" borderId="0" xfId="0" applyNumberFormat="1" applyFont="1" applyFill="1" applyProtection="1">
      <alignment vertical="center"/>
      <protection locked="0"/>
    </xf>
    <xf numFmtId="0" fontId="50" fillId="0" borderId="0" xfId="0" applyFont="1">
      <alignment vertical="center"/>
    </xf>
    <xf numFmtId="0" fontId="49" fillId="6" borderId="26" xfId="0" applyFont="1" applyFill="1" applyBorder="1" applyAlignment="1">
      <alignment vertical="center" wrapText="1"/>
    </xf>
    <xf numFmtId="179" fontId="47" fillId="6" borderId="0" xfId="0" applyNumberFormat="1" applyFont="1" applyFill="1" applyProtection="1">
      <alignment vertical="center"/>
      <protection locked="0"/>
    </xf>
    <xf numFmtId="0" fontId="47" fillId="6" borderId="63" xfId="0" applyFont="1" applyFill="1" applyBorder="1">
      <alignment vertical="center"/>
    </xf>
    <xf numFmtId="0" fontId="47" fillId="6" borderId="64" xfId="0" applyFont="1" applyFill="1" applyBorder="1">
      <alignment vertical="center"/>
    </xf>
    <xf numFmtId="179" fontId="47" fillId="6" borderId="64" xfId="0" applyNumberFormat="1" applyFont="1" applyFill="1" applyBorder="1">
      <alignment vertical="center"/>
    </xf>
    <xf numFmtId="0" fontId="47" fillId="6" borderId="65" xfId="0" applyFont="1" applyFill="1" applyBorder="1">
      <alignment vertical="center"/>
    </xf>
    <xf numFmtId="0" fontId="47" fillId="6" borderId="63" xfId="0" applyFont="1" applyFill="1" applyBorder="1" applyAlignment="1">
      <alignment horizontal="center" vertical="center"/>
    </xf>
    <xf numFmtId="0" fontId="47" fillId="6" borderId="64" xfId="0" applyFont="1" applyFill="1" applyBorder="1" applyAlignment="1">
      <alignment horizontal="center" vertical="center"/>
    </xf>
    <xf numFmtId="0" fontId="47" fillId="6" borderId="31" xfId="0" applyFont="1" applyFill="1" applyBorder="1">
      <alignment vertical="center"/>
    </xf>
    <xf numFmtId="0" fontId="47" fillId="6" borderId="6" xfId="1" applyFont="1" applyFill="1" applyBorder="1" applyAlignment="1">
      <alignment vertical="center" wrapText="1"/>
    </xf>
    <xf numFmtId="0" fontId="47" fillId="6" borderId="9" xfId="1" applyFont="1" applyFill="1" applyBorder="1" applyAlignment="1">
      <alignment vertical="center" wrapText="1"/>
    </xf>
    <xf numFmtId="0" fontId="47" fillId="6" borderId="28" xfId="1" applyFont="1" applyFill="1" applyBorder="1" applyAlignment="1">
      <alignment vertical="center" wrapText="1"/>
    </xf>
    <xf numFmtId="180" fontId="54" fillId="6" borderId="6" xfId="1" applyNumberFormat="1" applyFont="1" applyFill="1" applyBorder="1" applyAlignment="1">
      <alignment horizontal="center" vertical="center" wrapText="1"/>
    </xf>
    <xf numFmtId="179" fontId="47" fillId="6" borderId="9" xfId="0" applyNumberFormat="1" applyFont="1" applyFill="1" applyBorder="1" applyAlignment="1">
      <alignment horizontal="center" vertical="center" wrapText="1"/>
    </xf>
    <xf numFmtId="177" fontId="47" fillId="6" borderId="6" xfId="1" applyNumberFormat="1" applyFont="1" applyFill="1" applyBorder="1" applyAlignment="1">
      <alignment horizontal="center" vertical="center" wrapText="1"/>
    </xf>
    <xf numFmtId="0" fontId="47" fillId="6" borderId="9" xfId="1" applyFont="1" applyFill="1" applyBorder="1" applyAlignment="1">
      <alignment horizontal="center" vertical="center" wrapText="1"/>
    </xf>
    <xf numFmtId="179" fontId="47" fillId="6" borderId="9" xfId="1" applyNumberFormat="1" applyFont="1" applyFill="1" applyBorder="1" applyAlignment="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lignment horizontal="center" vertical="center" wrapText="1"/>
    </xf>
    <xf numFmtId="0" fontId="47" fillId="6" borderId="6" xfId="1" applyFont="1" applyFill="1" applyBorder="1" applyAlignment="1">
      <alignment horizontal="center" vertical="center" wrapText="1"/>
    </xf>
    <xf numFmtId="0" fontId="47" fillId="6" borderId="19" xfId="1" applyFont="1" applyFill="1" applyBorder="1" applyAlignment="1">
      <alignment horizontal="center" vertical="center" wrapText="1"/>
    </xf>
    <xf numFmtId="0" fontId="47" fillId="6" borderId="62" xfId="1" applyFont="1" applyFill="1" applyBorder="1" applyAlignment="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lignment horizontal="center" vertical="center" wrapText="1"/>
    </xf>
    <xf numFmtId="177" fontId="50" fillId="6" borderId="23" xfId="1" applyNumberFormat="1" applyFont="1" applyFill="1" applyBorder="1" applyAlignment="1">
      <alignment horizontal="left" vertical="center"/>
    </xf>
    <xf numFmtId="177" fontId="47" fillId="6" borderId="1" xfId="1" applyNumberFormat="1" applyFont="1" applyFill="1" applyBorder="1">
      <alignment vertical="center"/>
    </xf>
    <xf numFmtId="177" fontId="47" fillId="2" borderId="5" xfId="1" applyNumberFormat="1" applyFont="1" applyFill="1" applyBorder="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lignment vertical="center"/>
    </xf>
    <xf numFmtId="0" fontId="49" fillId="6" borderId="25" xfId="1" applyFont="1" applyFill="1" applyBorder="1" applyAlignment="1">
      <alignment vertical="center" wrapText="1"/>
    </xf>
    <xf numFmtId="0" fontId="49" fillId="6" borderId="25" xfId="1" applyFont="1" applyFill="1" applyBorder="1">
      <alignment vertical="center"/>
    </xf>
    <xf numFmtId="0" fontId="55" fillId="6" borderId="0" xfId="0" applyFont="1" applyFill="1" applyAlignment="1">
      <alignment vertical="center" wrapText="1"/>
    </xf>
    <xf numFmtId="176" fontId="54" fillId="6" borderId="6" xfId="1" applyNumberFormat="1" applyFont="1" applyFill="1" applyBorder="1" applyAlignment="1">
      <alignment vertical="center" wrapText="1"/>
    </xf>
    <xf numFmtId="176" fontId="54" fillId="6" borderId="23" xfId="1" applyNumberFormat="1" applyFont="1" applyFill="1" applyBorder="1" applyAlignment="1">
      <alignment vertical="center" wrapText="1"/>
    </xf>
    <xf numFmtId="176" fontId="47" fillId="6" borderId="23" xfId="1" applyNumberFormat="1" applyFont="1" applyFill="1" applyBorder="1" applyAlignment="1">
      <alignment vertical="center" wrapText="1"/>
    </xf>
    <xf numFmtId="176" fontId="54" fillId="6" borderId="25" xfId="1" applyNumberFormat="1" applyFont="1" applyFill="1" applyBorder="1" applyAlignment="1">
      <alignment vertical="center" wrapText="1"/>
    </xf>
    <xf numFmtId="0" fontId="47" fillId="6" borderId="34" xfId="0" applyFont="1" applyFill="1" applyBorder="1" applyAlignment="1">
      <alignment horizontal="center" vertical="center"/>
    </xf>
    <xf numFmtId="0" fontId="47" fillId="6" borderId="6" xfId="0" applyFont="1" applyFill="1" applyBorder="1" applyAlignment="1">
      <alignment vertical="center" wrapText="1"/>
    </xf>
    <xf numFmtId="0" fontId="47" fillId="6" borderId="23" xfId="0" applyFont="1" applyFill="1" applyBorder="1" applyAlignment="1">
      <alignment vertical="center" wrapText="1"/>
    </xf>
    <xf numFmtId="0" fontId="47" fillId="6" borderId="25" xfId="0" applyFont="1" applyFill="1" applyBorder="1" applyAlignment="1">
      <alignment vertical="center" wrapText="1"/>
    </xf>
    <xf numFmtId="0" fontId="47" fillId="6" borderId="41" xfId="0" applyFont="1" applyFill="1" applyBorder="1" applyAlignment="1">
      <alignment vertical="center" wrapText="1"/>
    </xf>
    <xf numFmtId="0" fontId="47" fillId="6" borderId="11" xfId="0" applyFont="1" applyFill="1" applyBorder="1" applyAlignment="1">
      <alignment vertical="center" wrapText="1"/>
    </xf>
    <xf numFmtId="0" fontId="47" fillId="6" borderId="11" xfId="0" applyFont="1" applyFill="1" applyBorder="1" applyAlignment="1">
      <alignment horizontal="left" vertical="center" wrapText="1"/>
    </xf>
    <xf numFmtId="0" fontId="47" fillId="6" borderId="11" xfId="0" applyFont="1" applyFill="1" applyBorder="1" applyAlignment="1">
      <alignment horizontal="right" vertical="center" wrapText="1"/>
    </xf>
    <xf numFmtId="0" fontId="47" fillId="6" borderId="25" xfId="0" applyFont="1" applyFill="1" applyBorder="1" applyAlignment="1">
      <alignment horizontal="right" vertical="center" wrapText="1"/>
    </xf>
    <xf numFmtId="0" fontId="47" fillId="6" borderId="14" xfId="0" applyFont="1" applyFill="1" applyBorder="1" applyAlignment="1">
      <alignment vertical="center" wrapText="1"/>
    </xf>
    <xf numFmtId="0" fontId="47" fillId="6" borderId="40" xfId="0" applyFont="1" applyFill="1" applyBorder="1" applyAlignment="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Protection="1">
      <alignment vertical="center"/>
      <protection locked="0"/>
    </xf>
    <xf numFmtId="0" fontId="50" fillId="0" borderId="0" xfId="0" applyFont="1" applyAlignment="1">
      <alignment vertical="center" wrapText="1"/>
    </xf>
    <xf numFmtId="179" fontId="50" fillId="0" borderId="0" xfId="0" applyNumberFormat="1" applyFont="1">
      <alignment vertical="center"/>
    </xf>
    <xf numFmtId="0" fontId="50" fillId="5" borderId="0" xfId="0" applyFont="1" applyFill="1" applyProtection="1">
      <alignment vertical="center"/>
      <protection locked="0"/>
    </xf>
    <xf numFmtId="0" fontId="64" fillId="6" borderId="13" xfId="0" applyFont="1" applyFill="1" applyBorder="1">
      <alignment vertical="center"/>
    </xf>
    <xf numFmtId="0" fontId="64" fillId="5" borderId="13" xfId="0" applyFont="1" applyFill="1" applyBorder="1" applyAlignment="1" applyProtection="1">
      <alignment horizontal="center" vertical="center"/>
      <protection locked="0"/>
    </xf>
    <xf numFmtId="0" fontId="50" fillId="7" borderId="0" xfId="0" applyFont="1" applyFill="1">
      <alignment vertical="center"/>
    </xf>
    <xf numFmtId="0" fontId="47" fillId="6" borderId="13" xfId="0" applyFont="1" applyFill="1" applyBorder="1" applyAlignment="1">
      <alignment vertical="center" wrapText="1"/>
    </xf>
    <xf numFmtId="0" fontId="47" fillId="6" borderId="13" xfId="0" applyFont="1" applyFill="1" applyBorder="1" applyAlignment="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lignment vertical="center" wrapText="1"/>
    </xf>
    <xf numFmtId="0" fontId="49" fillId="6" borderId="5" xfId="0" applyFont="1" applyFill="1" applyBorder="1" applyAlignment="1">
      <alignment horizontal="right" vertical="center"/>
    </xf>
    <xf numFmtId="0" fontId="49" fillId="6" borderId="58" xfId="0" applyFont="1" applyFill="1" applyBorder="1" applyAlignment="1">
      <alignment horizontal="right" vertical="center"/>
    </xf>
    <xf numFmtId="0" fontId="49" fillId="6" borderId="16" xfId="0" applyFont="1" applyFill="1" applyBorder="1">
      <alignment vertical="center"/>
    </xf>
    <xf numFmtId="0" fontId="47" fillId="6" borderId="9" xfId="0" applyFont="1" applyFill="1" applyBorder="1">
      <alignment vertical="center"/>
    </xf>
    <xf numFmtId="0" fontId="50" fillId="6" borderId="21" xfId="0" applyFont="1" applyFill="1" applyBorder="1">
      <alignment vertical="center"/>
    </xf>
    <xf numFmtId="0" fontId="49" fillId="6" borderId="18" xfId="0" applyFont="1" applyFill="1" applyBorder="1">
      <alignment vertical="center"/>
    </xf>
    <xf numFmtId="0" fontId="50" fillId="6" borderId="68" xfId="0" applyFont="1" applyFill="1" applyBorder="1">
      <alignment vertical="center"/>
    </xf>
    <xf numFmtId="0" fontId="47" fillId="6" borderId="70" xfId="0" applyFont="1" applyFill="1" applyBorder="1">
      <alignment vertical="center"/>
    </xf>
    <xf numFmtId="0" fontId="47" fillId="6" borderId="34" xfId="0" applyFont="1" applyFill="1" applyBorder="1">
      <alignment vertical="center"/>
    </xf>
    <xf numFmtId="0" fontId="47" fillId="6" borderId="21" xfId="0" applyFont="1" applyFill="1" applyBorder="1" applyAlignment="1">
      <alignment horizontal="center" vertical="center"/>
    </xf>
    <xf numFmtId="0" fontId="47" fillId="6" borderId="48" xfId="0" applyFont="1" applyFill="1" applyBorder="1" applyAlignment="1">
      <alignment horizontal="center" vertical="center"/>
    </xf>
    <xf numFmtId="0" fontId="103" fillId="0" borderId="23" xfId="0" applyFont="1" applyBorder="1" applyAlignment="1" applyProtection="1">
      <alignment horizontal="center" vertical="center"/>
      <protection locked="0"/>
    </xf>
    <xf numFmtId="0" fontId="49" fillId="6" borderId="16" xfId="0" applyFont="1" applyFill="1" applyBorder="1" applyAlignment="1">
      <alignment horizontal="left" vertical="center"/>
    </xf>
    <xf numFmtId="0" fontId="49" fillId="5" borderId="62" xfId="0" applyFont="1" applyFill="1" applyBorder="1" applyAlignment="1" applyProtection="1">
      <alignment horizontal="right" vertical="center"/>
      <protection locked="0"/>
    </xf>
    <xf numFmtId="0" fontId="49" fillId="5" borderId="1" xfId="0" applyFont="1" applyFill="1" applyBorder="1" applyAlignment="1" applyProtection="1">
      <alignment horizontal="center" vertical="center"/>
      <protection locked="0"/>
    </xf>
    <xf numFmtId="0" fontId="207" fillId="2" borderId="24" xfId="0" applyFont="1" applyFill="1" applyBorder="1" applyAlignment="1" applyProtection="1">
      <alignment horizontal="center" vertical="center"/>
      <protection locked="0"/>
    </xf>
    <xf numFmtId="0" fontId="50" fillId="6" borderId="30" xfId="0" applyFont="1" applyFill="1" applyBorder="1">
      <alignment vertical="center"/>
    </xf>
    <xf numFmtId="0" fontId="50" fillId="6" borderId="10" xfId="0" applyFont="1" applyFill="1" applyBorder="1" applyAlignment="1">
      <alignment horizontal="center" vertical="center"/>
    </xf>
    <xf numFmtId="0" fontId="49" fillId="6" borderId="69" xfId="0" applyFont="1" applyFill="1" applyBorder="1" applyAlignment="1">
      <alignment horizontal="left" vertical="center"/>
    </xf>
    <xf numFmtId="0" fontId="47" fillId="6" borderId="7" xfId="0" applyFont="1" applyFill="1" applyBorder="1" applyAlignment="1">
      <alignment horizontal="right" vertical="center"/>
    </xf>
    <xf numFmtId="0" fontId="50" fillId="6" borderId="3" xfId="0" applyFont="1" applyFill="1" applyBorder="1">
      <alignment vertical="center"/>
    </xf>
    <xf numFmtId="0" fontId="49" fillId="6" borderId="38" xfId="0" applyFont="1" applyFill="1" applyBorder="1" applyAlignment="1">
      <alignment horizontal="left" vertical="center"/>
    </xf>
    <xf numFmtId="0" fontId="47" fillId="6" borderId="66" xfId="0" applyFont="1" applyFill="1" applyBorder="1" applyAlignment="1">
      <alignment horizontal="right" vertical="center"/>
    </xf>
    <xf numFmtId="0" fontId="50" fillId="6" borderId="66" xfId="0" applyFont="1" applyFill="1" applyBorder="1">
      <alignment vertical="center"/>
    </xf>
    <xf numFmtId="0" fontId="47" fillId="6" borderId="30" xfId="0" applyFont="1" applyFill="1" applyBorder="1" applyAlignment="1">
      <alignment horizontal="left" vertical="center"/>
    </xf>
    <xf numFmtId="0" fontId="47" fillId="5" borderId="63" xfId="0" applyFont="1" applyFill="1" applyBorder="1" applyProtection="1">
      <alignment vertical="center"/>
      <protection locked="0"/>
    </xf>
    <xf numFmtId="0" fontId="47" fillId="6" borderId="0" xfId="0" applyFont="1" applyFill="1" applyAlignment="1" applyProtection="1">
      <alignment horizontal="left" vertical="center"/>
      <protection locked="0"/>
    </xf>
    <xf numFmtId="0" fontId="47" fillId="6" borderId="66" xfId="0" applyFont="1" applyFill="1" applyBorder="1" applyAlignment="1">
      <alignment horizontal="left" vertical="center"/>
    </xf>
    <xf numFmtId="0" fontId="47" fillId="0" borderId="65" xfId="0" applyFont="1" applyBorder="1" applyProtection="1">
      <alignment vertical="center"/>
      <protection locked="0"/>
    </xf>
    <xf numFmtId="0" fontId="103" fillId="0" borderId="6" xfId="0" applyFont="1" applyBorder="1" applyAlignment="1" applyProtection="1">
      <alignment horizontal="center" vertical="center"/>
      <protection locked="0"/>
    </xf>
    <xf numFmtId="0" fontId="103" fillId="0" borderId="9" xfId="0" applyFont="1" applyBorder="1" applyAlignment="1" applyProtection="1">
      <alignment horizontal="center" vertical="center"/>
      <protection locked="0"/>
    </xf>
    <xf numFmtId="0" fontId="103" fillId="0" borderId="10" xfId="0" applyFont="1" applyBorder="1" applyAlignment="1" applyProtection="1">
      <alignment horizontal="center" vertical="center"/>
      <protection locked="0"/>
    </xf>
    <xf numFmtId="0" fontId="50" fillId="6" borderId="18" xfId="0" applyFont="1" applyFill="1" applyBorder="1">
      <alignment vertical="center"/>
    </xf>
    <xf numFmtId="0" fontId="50" fillId="6" borderId="42" xfId="0" applyFont="1" applyFill="1" applyBorder="1">
      <alignment vertical="center"/>
    </xf>
    <xf numFmtId="0" fontId="116" fillId="6" borderId="0" xfId="0" applyFont="1" applyFill="1" applyAlignment="1">
      <alignment horizontal="center" vertical="center"/>
    </xf>
    <xf numFmtId="0" fontId="116" fillId="6" borderId="0" xfId="0" applyFont="1" applyFill="1">
      <alignment vertical="center"/>
    </xf>
    <xf numFmtId="0" fontId="208" fillId="6" borderId="0" xfId="0" applyFont="1" applyFill="1" applyAlignment="1">
      <alignment horizontal="left" vertical="center"/>
    </xf>
    <xf numFmtId="0" fontId="228" fillId="6" borderId="0" xfId="0" applyFont="1" applyFill="1">
      <alignment vertical="center"/>
    </xf>
    <xf numFmtId="0" fontId="228" fillId="6" borderId="0" xfId="0" applyFont="1" applyFill="1" applyAlignment="1">
      <alignment horizontal="center" vertical="center"/>
    </xf>
    <xf numFmtId="0" fontId="105" fillId="6" borderId="0" xfId="0" applyFont="1" applyFill="1" applyAlignment="1">
      <alignment horizontal="lef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Alignment="1" applyProtection="1">
      <alignment horizontal="center" vertical="center" wrapText="1"/>
      <protection locked="0"/>
    </xf>
    <xf numFmtId="0" fontId="50" fillId="6" borderId="0" xfId="0" applyFont="1" applyFill="1" applyAlignment="1">
      <alignment horizontal="left" vertical="center" wrapText="1"/>
    </xf>
    <xf numFmtId="49" fontId="55" fillId="6" borderId="18" xfId="0" applyNumberFormat="1" applyFont="1" applyFill="1" applyBorder="1" applyAlignment="1">
      <alignment horizontal="left" vertical="center" wrapText="1"/>
    </xf>
    <xf numFmtId="0" fontId="57" fillId="6" borderId="0" xfId="0" applyFont="1" applyFill="1" applyAlignment="1">
      <alignment horizontal="left" vertical="center" wrapText="1"/>
    </xf>
    <xf numFmtId="177" fontId="57" fillId="6" borderId="0" xfId="0" applyNumberFormat="1" applyFont="1" applyFill="1" applyAlignment="1">
      <alignment horizontal="center" vertical="center" wrapText="1"/>
    </xf>
    <xf numFmtId="10" fontId="56" fillId="6" borderId="0" xfId="0" applyNumberFormat="1" applyFont="1" applyFill="1" applyAlignment="1">
      <alignment horizontal="center" vertical="center" wrapText="1"/>
    </xf>
    <xf numFmtId="0" fontId="50" fillId="6" borderId="0" xfId="0" applyFont="1" applyFill="1" applyAlignment="1">
      <alignment horizontal="left" vertical="center"/>
    </xf>
    <xf numFmtId="0" fontId="50" fillId="6" borderId="0" xfId="2" applyFont="1" applyFill="1" applyAlignment="1">
      <alignment horizontal="left" vertical="center" wrapText="1"/>
    </xf>
    <xf numFmtId="0" fontId="101" fillId="7" borderId="0" xfId="0" applyFont="1" applyFill="1" applyProtection="1">
      <alignment vertical="center"/>
      <protection locked="0"/>
    </xf>
    <xf numFmtId="0" fontId="101" fillId="7" borderId="0" xfId="0" applyFont="1" applyFill="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Border="1" applyProtection="1">
      <alignment vertical="center"/>
      <protection locked="0"/>
    </xf>
    <xf numFmtId="0" fontId="128" fillId="6" borderId="1" xfId="0" applyFont="1" applyFill="1" applyBorder="1" applyAlignment="1">
      <alignment vertical="center" wrapText="1"/>
    </xf>
    <xf numFmtId="0" fontId="107" fillId="6" borderId="1" xfId="0" applyFont="1" applyFill="1" applyBorder="1" applyAlignment="1">
      <alignment vertical="center" wrapText="1"/>
    </xf>
    <xf numFmtId="0" fontId="47" fillId="6" borderId="23" xfId="0" applyFont="1" applyFill="1" applyBorder="1" applyAlignment="1">
      <alignment horizontal="left" vertical="center"/>
    </xf>
    <xf numFmtId="0" fontId="128" fillId="6" borderId="32" xfId="0" applyFont="1" applyFill="1" applyBorder="1" applyAlignment="1">
      <alignment vertical="center" wrapText="1"/>
    </xf>
    <xf numFmtId="0" fontId="134" fillId="0" borderId="46" xfId="0" applyFont="1" applyBorder="1" applyAlignment="1">
      <alignment horizontal="left" vertical="center"/>
    </xf>
    <xf numFmtId="0" fontId="50" fillId="0" borderId="36" xfId="0" applyFont="1" applyBorder="1" applyAlignment="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lignment horizontal="center" vertical="center" wrapText="1"/>
    </xf>
    <xf numFmtId="0" fontId="50" fillId="7" borderId="36" xfId="0" applyFont="1" applyFill="1" applyBorder="1" applyAlignment="1">
      <alignment horizontal="center" vertical="center"/>
    </xf>
    <xf numFmtId="0" fontId="50" fillId="7" borderId="22" xfId="0" applyFont="1" applyFill="1" applyBorder="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Alignment="1" applyProtection="1">
      <alignment horizontal="left" vertical="center" wrapText="1"/>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Protection="1">
      <alignment vertical="center"/>
      <protection locked="0"/>
    </xf>
    <xf numFmtId="0" fontId="60" fillId="6" borderId="3" xfId="1" applyFont="1" applyFill="1" applyBorder="1">
      <alignment vertical="center"/>
    </xf>
    <xf numFmtId="0" fontId="60" fillId="5" borderId="1" xfId="1" applyFont="1" applyFill="1" applyBorder="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Protection="1">
      <alignment vertical="center"/>
      <protection locked="0"/>
    </xf>
    <xf numFmtId="0" fontId="134" fillId="6" borderId="19" xfId="1" applyFont="1" applyFill="1" applyBorder="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lignment vertical="center"/>
    </xf>
    <xf numFmtId="0" fontId="50" fillId="6" borderId="5" xfId="0" applyFont="1" applyFill="1" applyBorder="1" applyAlignment="1"/>
    <xf numFmtId="0" fontId="49" fillId="6" borderId="1" xfId="1" applyFont="1" applyFill="1" applyBorder="1" applyAlignment="1">
      <alignment vertical="center" wrapText="1"/>
    </xf>
    <xf numFmtId="49" fontId="50" fillId="6" borderId="25" xfId="0" applyNumberFormat="1" applyFont="1" applyFill="1" applyBorder="1" applyAlignment="1">
      <alignment horizontal="center" vertical="center"/>
    </xf>
    <xf numFmtId="49" fontId="104" fillId="6" borderId="51" xfId="0" applyNumberFormat="1" applyFont="1" applyFill="1" applyBorder="1" applyAlignment="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lignment vertical="center"/>
    </xf>
    <xf numFmtId="0" fontId="101" fillId="6" borderId="3" xfId="0" applyFont="1" applyFill="1" applyBorder="1">
      <alignment vertical="center"/>
    </xf>
    <xf numFmtId="0" fontId="207" fillId="6" borderId="1" xfId="0" applyFont="1" applyFill="1" applyBorder="1">
      <alignment vertical="center"/>
    </xf>
    <xf numFmtId="0" fontId="207" fillId="6" borderId="5"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lignment horizontal="center" vertical="center"/>
    </xf>
    <xf numFmtId="0" fontId="57" fillId="5" borderId="4" xfId="1" applyFont="1" applyFill="1" applyBorder="1" applyProtection="1">
      <alignment vertical="center"/>
      <protection locked="0"/>
    </xf>
    <xf numFmtId="0" fontId="60" fillId="6" borderId="7" xfId="1" applyFont="1" applyFill="1" applyBorder="1" applyProtection="1">
      <alignment vertical="center"/>
      <protection locked="0"/>
    </xf>
    <xf numFmtId="0" fontId="60" fillId="5" borderId="2" xfId="1" applyFont="1" applyFill="1" applyBorder="1" applyProtection="1">
      <alignment vertical="center"/>
      <protection locked="0"/>
    </xf>
    <xf numFmtId="188" fontId="60" fillId="6" borderId="0" xfId="0" applyNumberFormat="1" applyFont="1" applyFill="1" applyAlignment="1" applyProtection="1">
      <alignment horizontal="center" vertical="center"/>
      <protection locked="0"/>
    </xf>
    <xf numFmtId="0" fontId="60" fillId="6" borderId="18" xfId="0" applyFont="1" applyFill="1" applyBorder="1" applyAlignment="1">
      <alignment horizontal="center" vertical="center"/>
    </xf>
    <xf numFmtId="0" fontId="60" fillId="6" borderId="0" xfId="0" applyFont="1" applyFill="1" applyAlignment="1">
      <alignment horizontal="center" vertical="center"/>
    </xf>
    <xf numFmtId="0" fontId="233" fillId="6" borderId="0" xfId="0" applyFont="1" applyFill="1" applyProtection="1">
      <alignment vertical="center"/>
      <protection locked="0"/>
    </xf>
    <xf numFmtId="188" fontId="47" fillId="6" borderId="21" xfId="0" applyNumberFormat="1" applyFont="1" applyFill="1" applyBorder="1" applyAlignment="1">
      <alignment horizontal="center" vertical="center" wrapText="1"/>
    </xf>
    <xf numFmtId="188" fontId="47" fillId="6" borderId="48" xfId="0" applyNumberFormat="1" applyFont="1" applyFill="1" applyBorder="1" applyAlignment="1">
      <alignment horizontal="center" vertical="center" wrapText="1"/>
    </xf>
    <xf numFmtId="0" fontId="47" fillId="6" borderId="48" xfId="0" applyFont="1" applyFill="1" applyBorder="1" applyAlignment="1">
      <alignment horizontal="center" vertical="center" wrapText="1"/>
    </xf>
    <xf numFmtId="0" fontId="61" fillId="6" borderId="48" xfId="0" applyFont="1" applyFill="1" applyBorder="1" applyAlignment="1">
      <alignment horizontal="center" vertical="center" wrapText="1"/>
    </xf>
    <xf numFmtId="0" fontId="47" fillId="0" borderId="33" xfId="0" applyFont="1" applyBorder="1" applyAlignment="1" applyProtection="1">
      <alignment horizontal="center" vertical="center" wrapText="1"/>
      <protection locked="0"/>
    </xf>
    <xf numFmtId="49" fontId="54" fillId="6" borderId="40" xfId="0" applyNumberFormat="1" applyFont="1" applyFill="1" applyBorder="1" applyAlignment="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Font="1" applyFill="1" applyBorder="1" applyAlignment="1">
      <alignment horizontal="center" vertical="center" wrapText="1"/>
    </xf>
    <xf numFmtId="0" fontId="54" fillId="6" borderId="11"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61" fillId="6" borderId="80" xfId="0" applyFont="1" applyFill="1" applyBorder="1" applyAlignment="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Font="1" applyBorder="1" applyAlignment="1" applyProtection="1">
      <alignment horizontal="center" vertical="center" wrapText="1"/>
      <protection locked="0"/>
    </xf>
    <xf numFmtId="0" fontId="54" fillId="0" borderId="52" xfId="0" applyFont="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188" fontId="54" fillId="6" borderId="48" xfId="0" applyNumberFormat="1" applyFont="1" applyFill="1" applyBorder="1" applyAlignment="1">
      <alignment horizontal="center" vertical="center"/>
    </xf>
    <xf numFmtId="188" fontId="54" fillId="6" borderId="49" xfId="0" applyNumberFormat="1" applyFont="1" applyFill="1" applyBorder="1" applyAlignment="1">
      <alignment horizontal="center" vertical="center" wrapText="1"/>
    </xf>
    <xf numFmtId="0" fontId="54" fillId="0" borderId="18" xfId="0" applyFont="1" applyBorder="1" applyAlignment="1" applyProtection="1">
      <alignment horizontal="center" vertical="center"/>
      <protection locked="0"/>
    </xf>
    <xf numFmtId="0" fontId="71" fillId="0" borderId="18" xfId="0" applyFont="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Font="1" applyFill="1" applyAlignment="1">
      <alignment vertical="center" wrapText="1"/>
    </xf>
    <xf numFmtId="9" fontId="47" fillId="0" borderId="18" xfId="0" applyNumberFormat="1" applyFont="1" applyBorder="1" applyAlignment="1" applyProtection="1">
      <alignment horizontal="center" vertical="center" wrapText="1"/>
      <protection locked="0"/>
    </xf>
    <xf numFmtId="0" fontId="101" fillId="0" borderId="18" xfId="0" applyFont="1" applyBorder="1" applyProtection="1">
      <alignment vertical="center"/>
      <protection locked="0"/>
    </xf>
    <xf numFmtId="0" fontId="47"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52" fillId="0" borderId="18" xfId="0" applyFont="1" applyBorder="1" applyAlignment="1" applyProtection="1">
      <alignment vertical="center" wrapText="1"/>
      <protection locked="0"/>
    </xf>
    <xf numFmtId="0" fontId="47" fillId="0" borderId="18" xfId="0" applyFont="1" applyBorder="1" applyAlignment="1" applyProtection="1">
      <alignment vertical="center" wrapText="1"/>
      <protection locked="0"/>
    </xf>
    <xf numFmtId="0" fontId="47" fillId="0" borderId="83" xfId="0" applyFont="1" applyBorder="1" applyAlignment="1" applyProtection="1">
      <alignment horizontal="center" vertical="center"/>
      <protection locked="0"/>
    </xf>
    <xf numFmtId="0" fontId="103" fillId="0" borderId="0" xfId="0" applyFont="1" applyAlignment="1" applyProtection="1">
      <alignment horizontal="left" vertical="center"/>
      <protection locked="0"/>
    </xf>
    <xf numFmtId="0" fontId="101" fillId="6" borderId="16" xfId="0" applyFont="1" applyFill="1" applyBorder="1" applyAlignment="1">
      <alignment horizontal="center" vertical="center"/>
    </xf>
    <xf numFmtId="0" fontId="61" fillId="6" borderId="19" xfId="0" applyFont="1" applyFill="1" applyBorder="1" applyAlignment="1">
      <alignment horizontal="center" vertical="center"/>
    </xf>
    <xf numFmtId="0" fontId="54" fillId="6" borderId="19" xfId="0" applyFont="1" applyFill="1" applyBorder="1" applyAlignment="1">
      <alignment horizontal="center" vertical="center"/>
    </xf>
    <xf numFmtId="0" fontId="54" fillId="6" borderId="31" xfId="0" applyFont="1" applyFill="1" applyBorder="1" applyAlignment="1">
      <alignment horizontal="center" vertical="center"/>
    </xf>
    <xf numFmtId="0" fontId="101" fillId="6" borderId="19" xfId="0" applyFont="1" applyFill="1" applyBorder="1" applyAlignment="1">
      <alignment horizontal="center" vertical="center"/>
    </xf>
    <xf numFmtId="0" fontId="61" fillId="6" borderId="31" xfId="0" applyFont="1" applyFill="1" applyBorder="1" applyAlignment="1">
      <alignment horizontal="center" vertical="center"/>
    </xf>
    <xf numFmtId="0" fontId="61" fillId="6" borderId="69" xfId="0" applyFont="1" applyFill="1" applyBorder="1">
      <alignment vertical="center"/>
    </xf>
    <xf numFmtId="0" fontId="101" fillId="6" borderId="5" xfId="0" applyFont="1" applyFill="1" applyBorder="1" applyAlignment="1">
      <alignment horizontal="center" vertical="center"/>
    </xf>
    <xf numFmtId="0" fontId="101" fillId="6" borderId="92" xfId="0" applyFont="1" applyFill="1" applyBorder="1" applyAlignment="1">
      <alignment horizontal="center" vertical="center"/>
    </xf>
    <xf numFmtId="0" fontId="61" fillId="6" borderId="60" xfId="0" applyFont="1" applyFill="1" applyBorder="1" applyAlignment="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lignment horizontal="center" vertical="center"/>
    </xf>
    <xf numFmtId="0" fontId="101" fillId="6" borderId="3"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lignment horizontal="center" vertical="center"/>
    </xf>
    <xf numFmtId="0" fontId="61" fillId="6" borderId="94" xfId="0" applyFont="1" applyFill="1" applyBorder="1" applyAlignment="1">
      <alignment horizontal="left" vertical="center"/>
    </xf>
    <xf numFmtId="0" fontId="54" fillId="6" borderId="47" xfId="0" applyFont="1" applyFill="1" applyBorder="1" applyAlignment="1">
      <alignment horizontal="center" vertical="center"/>
    </xf>
    <xf numFmtId="0" fontId="54" fillId="6" borderId="43" xfId="0" applyFont="1" applyFill="1" applyBorder="1" applyAlignment="1">
      <alignment horizontal="center" vertical="center"/>
    </xf>
    <xf numFmtId="0" fontId="101" fillId="6" borderId="66" xfId="0" applyFont="1" applyFill="1" applyBorder="1" applyAlignment="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lignment horizontal="center" vertical="center" wrapText="1"/>
    </xf>
    <xf numFmtId="0" fontId="47" fillId="2" borderId="41" xfId="0" applyFont="1" applyFill="1" applyBorder="1" applyAlignment="1" applyProtection="1">
      <alignment horizontal="center" vertical="center" wrapText="1"/>
      <protection locked="0"/>
    </xf>
    <xf numFmtId="0" fontId="65" fillId="6" borderId="88" xfId="0" applyFont="1" applyFill="1" applyBorder="1" applyAlignment="1">
      <alignment horizontal="right" vertical="center"/>
    </xf>
    <xf numFmtId="0" fontId="54" fillId="6" borderId="17" xfId="0" applyFont="1" applyFill="1" applyBorder="1" applyAlignment="1">
      <alignment horizontal="center" vertical="center"/>
    </xf>
    <xf numFmtId="0" fontId="47" fillId="0" borderId="7" xfId="0" applyFont="1" applyBorder="1" applyAlignment="1" applyProtection="1">
      <alignment horizontal="center" vertical="center" wrapText="1"/>
      <protection locked="0"/>
    </xf>
    <xf numFmtId="49" fontId="54" fillId="6" borderId="39" xfId="0" applyNumberFormat="1" applyFont="1" applyFill="1" applyBorder="1" applyAlignment="1">
      <alignment horizontal="center" vertical="center" wrapText="1"/>
    </xf>
    <xf numFmtId="0" fontId="54" fillId="6" borderId="24" xfId="0" applyFont="1" applyFill="1" applyBorder="1" applyAlignment="1">
      <alignment horizontal="center" vertical="center"/>
    </xf>
    <xf numFmtId="0" fontId="54" fillId="6" borderId="22" xfId="0" applyFont="1" applyFill="1" applyBorder="1" applyAlignment="1">
      <alignment horizontal="center" vertical="center" wrapText="1"/>
    </xf>
    <xf numFmtId="0" fontId="54" fillId="2" borderId="35"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54" fillId="0" borderId="44" xfId="0" applyFont="1" applyBorder="1" applyAlignment="1" applyProtection="1">
      <alignment horizontal="left" vertical="center" wrapText="1"/>
      <protection locked="0"/>
    </xf>
    <xf numFmtId="0" fontId="54" fillId="0" borderId="45" xfId="0" applyFont="1" applyBorder="1" applyAlignment="1" applyProtection="1">
      <alignment horizontal="center" vertical="center" wrapText="1"/>
      <protection locked="0"/>
    </xf>
    <xf numFmtId="0" fontId="47" fillId="0" borderId="54" xfId="0" applyFont="1" applyBorder="1" applyAlignment="1" applyProtection="1">
      <alignment horizontal="center" vertical="center" wrapText="1"/>
      <protection locked="0"/>
    </xf>
    <xf numFmtId="0" fontId="54" fillId="6" borderId="40" xfId="0" applyFont="1" applyFill="1" applyBorder="1" applyAlignment="1">
      <alignment horizontal="center" vertical="center" wrapText="1"/>
    </xf>
    <xf numFmtId="0" fontId="54" fillId="6" borderId="41" xfId="0" applyFont="1" applyFill="1" applyBorder="1" applyAlignment="1">
      <alignment horizontal="center" vertical="center" wrapText="1"/>
    </xf>
    <xf numFmtId="49" fontId="53" fillId="5" borderId="20" xfId="0" applyNumberFormat="1" applyFont="1" applyFill="1" applyBorder="1" applyProtection="1">
      <alignment vertical="center"/>
      <protection locked="0"/>
    </xf>
    <xf numFmtId="183" fontId="47" fillId="0" borderId="26" xfId="0" applyNumberFormat="1" applyFont="1" applyBorder="1" applyAlignment="1" applyProtection="1">
      <alignment horizontal="center" vertical="center" wrapText="1"/>
      <protection locked="0"/>
    </xf>
    <xf numFmtId="0" fontId="47" fillId="0" borderId="38" xfId="0" applyFont="1" applyBorder="1" applyAlignment="1" applyProtection="1">
      <alignment horizontal="center" vertical="center" wrapText="1"/>
      <protection locked="0"/>
    </xf>
    <xf numFmtId="0" fontId="54" fillId="0" borderId="55" xfId="0" applyFont="1" applyBorder="1" applyAlignment="1" applyProtection="1">
      <alignment horizontal="center" vertical="center" wrapText="1"/>
      <protection locked="0"/>
    </xf>
    <xf numFmtId="0" fontId="47" fillId="2" borderId="51" xfId="0" applyFont="1" applyFill="1" applyBorder="1" applyAlignment="1" applyProtection="1">
      <alignment horizontal="center" vertical="center" wrapText="1"/>
      <protection locked="0"/>
    </xf>
    <xf numFmtId="0" fontId="47" fillId="2" borderId="69" xfId="0" applyFont="1" applyFill="1" applyBorder="1" applyAlignment="1" applyProtection="1">
      <alignment horizontal="center" vertical="center" wrapText="1"/>
      <protection locked="0"/>
    </xf>
    <xf numFmtId="0" fontId="47" fillId="2" borderId="60" xfId="0"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Font="1" applyBorder="1" applyAlignment="1" applyProtection="1">
      <alignment horizontal="center" vertical="center" wrapText="1"/>
      <protection locked="0"/>
    </xf>
    <xf numFmtId="49" fontId="53" fillId="2" borderId="10" xfId="0" applyNumberFormat="1" applyFont="1" applyFill="1" applyBorder="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lignment horizontal="center" vertical="center"/>
    </xf>
    <xf numFmtId="0" fontId="102" fillId="6" borderId="25" xfId="0" applyFont="1" applyFill="1" applyBorder="1" applyAlignment="1">
      <alignment horizontal="center" vertical="center"/>
    </xf>
    <xf numFmtId="0" fontId="49" fillId="5" borderId="23" xfId="0" applyFont="1" applyFill="1" applyBorder="1" applyAlignment="1" applyProtection="1">
      <alignment horizontal="center" vertical="center" wrapText="1"/>
      <protection locked="0"/>
    </xf>
    <xf numFmtId="0" fontId="54" fillId="6" borderId="14" xfId="0" applyFont="1" applyFill="1" applyBorder="1" applyAlignment="1">
      <alignment horizontal="center" vertical="center" wrapText="1"/>
    </xf>
    <xf numFmtId="0" fontId="54" fillId="0" borderId="24" xfId="0" applyFont="1" applyBorder="1" applyAlignment="1" applyProtection="1">
      <alignment horizontal="center" vertical="center"/>
      <protection locked="0"/>
    </xf>
    <xf numFmtId="0" fontId="101" fillId="0" borderId="49" xfId="0" applyFont="1" applyBorder="1" applyAlignment="1" applyProtection="1">
      <alignment horizontal="center" vertical="center"/>
      <protection locked="0"/>
    </xf>
    <xf numFmtId="0" fontId="49" fillId="6" borderId="37" xfId="0" applyFont="1" applyFill="1" applyBorder="1" applyAlignment="1">
      <alignment horizontal="center" vertical="center" wrapText="1"/>
    </xf>
    <xf numFmtId="0" fontId="56" fillId="6" borderId="0" xfId="0" applyFont="1" applyFill="1" applyAlignment="1">
      <alignment vertical="center" wrapText="1"/>
    </xf>
    <xf numFmtId="0" fontId="101" fillId="6" borderId="6" xfId="0" applyFont="1" applyFill="1" applyBorder="1" applyAlignment="1">
      <alignment horizontal="center" vertical="center"/>
    </xf>
    <xf numFmtId="0" fontId="56" fillId="0" borderId="0" xfId="0" applyFont="1" applyAlignment="1" applyProtection="1">
      <alignment vertical="center" wrapText="1"/>
      <protection locked="0"/>
    </xf>
    <xf numFmtId="0" fontId="56" fillId="0" borderId="0" xfId="0" applyFont="1" applyAlignment="1">
      <alignment vertical="center" wrapText="1"/>
    </xf>
    <xf numFmtId="0" fontId="60" fillId="6" borderId="5" xfId="1" applyFont="1" applyFill="1" applyBorder="1">
      <alignment vertical="center"/>
    </xf>
    <xf numFmtId="0" fontId="101" fillId="6" borderId="23" xfId="0" applyFont="1" applyFill="1" applyBorder="1" applyAlignment="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lignment horizontal="left" vertical="center" wrapText="1"/>
    </xf>
    <xf numFmtId="0" fontId="53" fillId="6" borderId="13" xfId="0" applyFont="1" applyFill="1" applyBorder="1" applyAlignment="1">
      <alignment horizontal="left" vertical="center" wrapText="1"/>
    </xf>
    <xf numFmtId="0" fontId="53" fillId="6" borderId="36" xfId="0" applyFont="1" applyFill="1" applyBorder="1" applyAlignment="1">
      <alignment vertical="center" wrapText="1"/>
    </xf>
    <xf numFmtId="0" fontId="54" fillId="6" borderId="36" xfId="0" applyFont="1" applyFill="1" applyBorder="1" applyAlignment="1">
      <alignment vertical="center" wrapText="1"/>
    </xf>
    <xf numFmtId="0" fontId="54" fillId="6" borderId="22" xfId="0" applyFont="1" applyFill="1" applyBorder="1" applyAlignment="1">
      <alignment vertical="center" wrapText="1"/>
    </xf>
    <xf numFmtId="0" fontId="54" fillId="7" borderId="0" xfId="0" applyFont="1" applyFill="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54" fillId="0" borderId="0" xfId="0" applyFont="1" applyAlignment="1">
      <alignment vertical="center" wrapText="1"/>
    </xf>
    <xf numFmtId="49" fontId="57" fillId="6" borderId="26" xfId="0" applyNumberFormat="1" applyFont="1" applyFill="1" applyBorder="1" applyAlignment="1">
      <alignment horizontal="center" vertical="center" wrapText="1"/>
    </xf>
    <xf numFmtId="0" fontId="57" fillId="6" borderId="64" xfId="0" applyFont="1" applyFill="1" applyBorder="1" applyAlignment="1">
      <alignment horizontal="left" vertical="center" wrapText="1"/>
    </xf>
    <xf numFmtId="0" fontId="116" fillId="6" borderId="34" xfId="0" applyFont="1" applyFill="1" applyBorder="1">
      <alignment vertical="center"/>
    </xf>
    <xf numFmtId="0" fontId="57" fillId="6" borderId="64" xfId="0" applyFont="1" applyFill="1" applyBorder="1" applyAlignment="1">
      <alignment horizontal="center" vertical="center" wrapText="1"/>
    </xf>
    <xf numFmtId="0" fontId="56" fillId="6" borderId="64" xfId="0" applyFont="1" applyFill="1" applyBorder="1" applyAlignment="1">
      <alignment vertical="center" wrapText="1"/>
    </xf>
    <xf numFmtId="0" fontId="56" fillId="6" borderId="65" xfId="0" applyFont="1" applyFill="1" applyBorder="1" applyAlignment="1">
      <alignment vertical="center" wrapText="1"/>
    </xf>
    <xf numFmtId="0" fontId="57" fillId="6" borderId="9" xfId="0" applyFont="1" applyFill="1" applyBorder="1" applyAlignment="1">
      <alignment horizontal="left" vertical="center" wrapText="1"/>
    </xf>
    <xf numFmtId="0" fontId="56" fillId="6" borderId="9" xfId="0" applyFont="1" applyFill="1" applyBorder="1" applyAlignment="1">
      <alignment horizontal="center" vertical="center" wrapText="1"/>
    </xf>
    <xf numFmtId="0" fontId="56" fillId="6" borderId="19" xfId="0" applyFont="1" applyFill="1" applyBorder="1" applyAlignment="1">
      <alignment horizontal="center" vertical="center" wrapText="1"/>
    </xf>
    <xf numFmtId="0" fontId="56" fillId="6" borderId="19" xfId="0" applyFont="1" applyFill="1" applyBorder="1" applyAlignment="1">
      <alignment vertical="center" wrapText="1"/>
    </xf>
    <xf numFmtId="0" fontId="56" fillId="6" borderId="31" xfId="0" applyFont="1" applyFill="1" applyBorder="1" applyAlignment="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lignment vertical="center"/>
    </xf>
    <xf numFmtId="0" fontId="56" fillId="6" borderId="54" xfId="0" applyFont="1" applyFill="1" applyBorder="1" applyAlignment="1">
      <alignment vertical="center" wrapText="1"/>
    </xf>
    <xf numFmtId="0" fontId="56" fillId="6" borderId="48" xfId="0" applyFont="1" applyFill="1" applyBorder="1" applyAlignment="1">
      <alignment vertical="center" wrapText="1"/>
    </xf>
    <xf numFmtId="0" fontId="56" fillId="6" borderId="13" xfId="0" applyFont="1" applyFill="1" applyBorder="1" applyAlignment="1">
      <alignment horizontal="left" vertical="center" wrapText="1"/>
    </xf>
    <xf numFmtId="0" fontId="56" fillId="6" borderId="46" xfId="0" applyFont="1" applyFill="1" applyBorder="1">
      <alignment vertical="center"/>
    </xf>
    <xf numFmtId="0" fontId="56" fillId="6" borderId="36" xfId="0" applyFont="1" applyFill="1" applyBorder="1" applyAlignment="1">
      <alignment vertical="center" wrapText="1"/>
    </xf>
    <xf numFmtId="0" fontId="56" fillId="6" borderId="59" xfId="0" applyFont="1" applyFill="1" applyBorder="1" applyAlignment="1">
      <alignment vertical="center" wrapText="1"/>
    </xf>
    <xf numFmtId="0" fontId="57" fillId="6" borderId="17" xfId="0" applyFont="1" applyFill="1" applyBorder="1" applyAlignment="1">
      <alignment horizontal="left" vertical="center" wrapText="1"/>
    </xf>
    <xf numFmtId="0" fontId="56" fillId="6" borderId="28" xfId="0" applyFont="1" applyFill="1" applyBorder="1">
      <alignment vertical="center"/>
    </xf>
    <xf numFmtId="0" fontId="56" fillId="6" borderId="20" xfId="0" applyFont="1" applyFill="1" applyBorder="1" applyAlignment="1">
      <alignment horizontal="center" vertical="center" wrapText="1"/>
    </xf>
    <xf numFmtId="0" fontId="56" fillId="6" borderId="20" xfId="0" applyFont="1" applyFill="1" applyBorder="1" applyAlignment="1">
      <alignment vertical="center" wrapText="1"/>
    </xf>
    <xf numFmtId="0" fontId="56" fillId="6" borderId="21" xfId="0" applyFont="1" applyFill="1" applyBorder="1" applyAlignment="1">
      <alignment vertical="center" wrapText="1"/>
    </xf>
    <xf numFmtId="0" fontId="102" fillId="6" borderId="13" xfId="0" applyFont="1" applyFill="1" applyBorder="1" applyAlignment="1">
      <alignment horizontal="left" vertical="center" wrapText="1"/>
    </xf>
    <xf numFmtId="0" fontId="102" fillId="6" borderId="3" xfId="0" applyFont="1" applyFill="1" applyBorder="1" applyAlignment="1">
      <alignment horizontal="center" vertical="center" wrapText="1"/>
    </xf>
    <xf numFmtId="0" fontId="102" fillId="6" borderId="2" xfId="0" applyFont="1" applyFill="1" applyBorder="1" applyAlignment="1">
      <alignment horizontal="left" vertical="center" wrapText="1"/>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7" borderId="0" xfId="0" applyFont="1" applyFill="1" applyAlignment="1">
      <alignment vertical="center" wrapText="1"/>
    </xf>
    <xf numFmtId="49" fontId="53" fillId="6" borderId="26" xfId="0" applyNumberFormat="1" applyFont="1" applyFill="1" applyBorder="1" applyAlignment="1">
      <alignment horizontal="left" vertical="center" wrapText="1"/>
    </xf>
    <xf numFmtId="0" fontId="53" fillId="6" borderId="84" xfId="0" applyFont="1" applyFill="1" applyBorder="1" applyAlignment="1">
      <alignment horizontal="left" vertical="center" wrapText="1"/>
    </xf>
    <xf numFmtId="0" fontId="56" fillId="6" borderId="64" xfId="0" applyFont="1" applyFill="1" applyBorder="1">
      <alignment vertical="center"/>
    </xf>
    <xf numFmtId="0" fontId="56" fillId="0" borderId="0" xfId="0" applyFont="1" applyAlignment="1">
      <alignment horizontal="center" vertical="center" wrapText="1"/>
    </xf>
    <xf numFmtId="0" fontId="54" fillId="6" borderId="84" xfId="0" applyFont="1" applyFill="1" applyBorder="1" applyAlignment="1">
      <alignment horizontal="center" vertical="center" wrapText="1"/>
    </xf>
    <xf numFmtId="0" fontId="54" fillId="6" borderId="6" xfId="0" applyFont="1" applyFill="1" applyBorder="1" applyAlignment="1">
      <alignment vertical="center" wrapText="1"/>
    </xf>
    <xf numFmtId="0" fontId="56" fillId="6" borderId="64" xfId="0" applyFont="1" applyFill="1" applyBorder="1" applyAlignment="1">
      <alignment horizontal="center" vertical="center" wrapText="1"/>
    </xf>
    <xf numFmtId="0" fontId="54" fillId="0" borderId="0" xfId="0" applyFont="1" applyAlignment="1">
      <alignment horizontal="center" vertical="center" wrapText="1"/>
    </xf>
    <xf numFmtId="49" fontId="53" fillId="6" borderId="40" xfId="0" applyNumberFormat="1" applyFont="1" applyFill="1" applyBorder="1" applyAlignment="1">
      <alignment horizontal="left" vertical="center" wrapText="1"/>
    </xf>
    <xf numFmtId="0" fontId="53" fillId="6" borderId="17" xfId="0" applyFont="1" applyFill="1" applyBorder="1" applyAlignment="1">
      <alignment horizontal="left" vertical="center" wrapText="1"/>
    </xf>
    <xf numFmtId="0" fontId="56" fillId="6" borderId="17" xfId="0" applyFont="1" applyFill="1" applyBorder="1" applyAlignment="1">
      <alignment horizontal="center" vertical="center" wrapText="1"/>
    </xf>
    <xf numFmtId="0" fontId="54" fillId="6" borderId="25" xfId="0" applyFont="1" applyFill="1" applyBorder="1" applyAlignment="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Protection="1">
      <alignment vertical="center"/>
      <protection locked="0"/>
    </xf>
    <xf numFmtId="49" fontId="53" fillId="6" borderId="6" xfId="0" applyNumberFormat="1" applyFont="1" applyFill="1" applyBorder="1" applyAlignment="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lignment vertical="center" wrapText="1"/>
    </xf>
    <xf numFmtId="0" fontId="54" fillId="6" borderId="10" xfId="0" applyFont="1" applyFill="1" applyBorder="1" applyAlignment="1">
      <alignment vertical="center" wrapText="1"/>
    </xf>
    <xf numFmtId="0" fontId="54" fillId="6" borderId="23" xfId="8" applyFont="1" applyFill="1" applyBorder="1" applyAlignment="1">
      <alignment horizontal="center" vertical="center" wrapText="1"/>
    </xf>
    <xf numFmtId="0" fontId="54" fillId="6" borderId="1" xfId="0" applyFont="1" applyFill="1" applyBorder="1" applyAlignment="1">
      <alignment horizontal="left" vertical="center" wrapText="1"/>
    </xf>
    <xf numFmtId="0" fontId="54" fillId="6" borderId="13" xfId="0" applyFont="1" applyFill="1" applyBorder="1" applyAlignment="1">
      <alignment horizontal="left" vertical="center" wrapText="1"/>
    </xf>
    <xf numFmtId="186" fontId="56" fillId="6" borderId="15" xfId="0" applyNumberFormat="1" applyFont="1" applyFill="1" applyBorder="1" applyAlignment="1">
      <alignment horizontal="center" vertical="center" wrapText="1"/>
    </xf>
    <xf numFmtId="186" fontId="56" fillId="6" borderId="58" xfId="0" applyNumberFormat="1" applyFont="1" applyFill="1" applyBorder="1" applyAlignment="1">
      <alignment horizontal="center" vertical="center" wrapText="1"/>
    </xf>
    <xf numFmtId="0" fontId="56" fillId="6" borderId="22" xfId="0" applyFont="1" applyFill="1" applyBorder="1" applyAlignment="1">
      <alignment vertical="center" wrapText="1"/>
    </xf>
    <xf numFmtId="0" fontId="54" fillId="6" borderId="13" xfId="0" applyFont="1" applyFill="1" applyBorder="1" applyAlignment="1">
      <alignment vertical="center" wrapText="1"/>
    </xf>
    <xf numFmtId="0" fontId="54" fillId="6" borderId="61" xfId="0" applyFont="1" applyFill="1" applyBorder="1" applyAlignment="1">
      <alignment vertical="center" wrapText="1"/>
    </xf>
    <xf numFmtId="0" fontId="54" fillId="6" borderId="84" xfId="0" applyFont="1" applyFill="1" applyBorder="1" applyAlignment="1">
      <alignment vertical="center" wrapText="1"/>
    </xf>
    <xf numFmtId="0" fontId="54" fillId="6" borderId="67" xfId="0" applyFont="1" applyFill="1" applyBorder="1" applyAlignment="1">
      <alignment vertical="center" wrapText="1"/>
    </xf>
    <xf numFmtId="0" fontId="54" fillId="6" borderId="25" xfId="8" applyFont="1" applyFill="1" applyBorder="1" applyAlignment="1">
      <alignment horizontal="center" vertical="center" wrapText="1"/>
    </xf>
    <xf numFmtId="0" fontId="53" fillId="6" borderId="28" xfId="0" applyFont="1" applyFill="1" applyBorder="1" applyAlignment="1">
      <alignment horizontal="left" vertical="center" wrapText="1"/>
    </xf>
    <xf numFmtId="0" fontId="57" fillId="6" borderId="19" xfId="0" applyFont="1" applyFill="1" applyBorder="1" applyAlignment="1">
      <alignment vertical="center" wrapText="1"/>
    </xf>
    <xf numFmtId="49" fontId="53" fillId="6" borderId="14" xfId="0" applyNumberFormat="1" applyFont="1" applyFill="1" applyBorder="1" applyAlignment="1">
      <alignment horizontal="center" vertical="center" wrapText="1"/>
    </xf>
    <xf numFmtId="0" fontId="56" fillId="6" borderId="58" xfId="0" applyFont="1" applyFill="1" applyBorder="1" applyAlignment="1">
      <alignment vertical="center" wrapText="1"/>
    </xf>
    <xf numFmtId="0" fontId="57" fillId="6" borderId="0" xfId="0" applyFont="1" applyFill="1" applyAlignment="1">
      <alignment vertical="center" wrapText="1"/>
    </xf>
    <xf numFmtId="0" fontId="56" fillId="6" borderId="56" xfId="0" applyFont="1" applyFill="1" applyBorder="1" applyAlignment="1">
      <alignment vertical="center" wrapText="1"/>
    </xf>
    <xf numFmtId="0" fontId="54" fillId="6" borderId="0" xfId="0" applyFont="1" applyFill="1" applyAlignment="1">
      <alignment horizontal="left" vertical="center" wrapText="1"/>
    </xf>
    <xf numFmtId="0" fontId="56" fillId="6" borderId="75" xfId="0" applyFont="1" applyFill="1" applyBorder="1" applyAlignment="1">
      <alignment vertical="center" wrapText="1"/>
    </xf>
    <xf numFmtId="0" fontId="56" fillId="6" borderId="47" xfId="0" applyFont="1" applyFill="1" applyBorder="1" applyAlignment="1">
      <alignment vertical="center" wrapText="1"/>
    </xf>
    <xf numFmtId="0" fontId="57" fillId="6" borderId="47" xfId="0" applyFont="1" applyFill="1" applyBorder="1" applyAlignment="1">
      <alignment vertical="center" wrapText="1"/>
    </xf>
    <xf numFmtId="0" fontId="56" fillId="6" borderId="43" xfId="0" applyFont="1" applyFill="1" applyBorder="1" applyAlignment="1">
      <alignment vertical="center" wrapText="1"/>
    </xf>
    <xf numFmtId="49" fontId="53" fillId="6" borderId="40" xfId="0" applyNumberFormat="1" applyFont="1" applyFill="1" applyBorder="1" applyAlignment="1">
      <alignment horizontal="center" vertical="center" wrapText="1"/>
    </xf>
    <xf numFmtId="0" fontId="57" fillId="6" borderId="30" xfId="0" applyFont="1" applyFill="1" applyBorder="1" applyAlignment="1">
      <alignment vertical="center" wrapText="1"/>
    </xf>
    <xf numFmtId="0" fontId="53" fillId="6" borderId="9"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7" fillId="6" borderId="28" xfId="0" applyFont="1" applyFill="1" applyBorder="1" applyAlignment="1">
      <alignment vertical="center" wrapText="1"/>
    </xf>
    <xf numFmtId="0" fontId="56" fillId="6" borderId="14" xfId="0" applyFont="1" applyFill="1" applyBorder="1" applyAlignment="1">
      <alignment horizontal="center" vertical="center" wrapText="1"/>
    </xf>
    <xf numFmtId="0" fontId="56" fillId="6" borderId="3" xfId="0" applyFont="1" applyFill="1" applyBorder="1" applyAlignment="1">
      <alignment horizontal="left" vertical="center" wrapText="1"/>
    </xf>
    <xf numFmtId="0" fontId="56" fillId="0" borderId="1" xfId="0" applyFont="1" applyBorder="1" applyAlignment="1" applyProtection="1">
      <alignment vertical="center" wrapText="1"/>
      <protection locked="0"/>
    </xf>
    <xf numFmtId="0" fontId="102" fillId="6" borderId="54" xfId="0" applyFont="1" applyFill="1" applyBorder="1">
      <alignment vertical="center"/>
    </xf>
    <xf numFmtId="0" fontId="102" fillId="6" borderId="48" xfId="0" applyFont="1" applyFill="1" applyBorder="1">
      <alignment vertical="center"/>
    </xf>
    <xf numFmtId="0" fontId="57" fillId="6" borderId="12" xfId="0" applyFont="1" applyFill="1" applyBorder="1" applyAlignment="1">
      <alignment vertical="center" wrapText="1"/>
    </xf>
    <xf numFmtId="0" fontId="56" fillId="6" borderId="66" xfId="0" applyFont="1" applyFill="1" applyBorder="1" applyAlignment="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lignment vertical="center"/>
    </xf>
    <xf numFmtId="0" fontId="56" fillId="6" borderId="52" xfId="0" applyFont="1" applyFill="1" applyBorder="1" applyAlignment="1">
      <alignment vertical="center" wrapText="1"/>
    </xf>
    <xf numFmtId="0" fontId="56" fillId="6" borderId="68" xfId="0" applyFont="1" applyFill="1" applyBorder="1" applyAlignment="1">
      <alignment vertical="center" wrapText="1"/>
    </xf>
    <xf numFmtId="0" fontId="57" fillId="6" borderId="40" xfId="0" applyFont="1" applyFill="1" applyBorder="1" applyAlignment="1">
      <alignment vertical="center" wrapText="1"/>
    </xf>
    <xf numFmtId="0" fontId="57" fillId="6" borderId="39" xfId="0" applyFont="1" applyFill="1" applyBorder="1" applyAlignment="1">
      <alignment horizontal="left" vertical="center" wrapText="1"/>
    </xf>
    <xf numFmtId="0" fontId="56" fillId="6" borderId="20" xfId="0" applyFont="1" applyFill="1" applyBorder="1">
      <alignment vertical="center"/>
    </xf>
    <xf numFmtId="0" fontId="56" fillId="6" borderId="30" xfId="0" applyFont="1" applyFill="1" applyBorder="1">
      <alignment vertical="center"/>
    </xf>
    <xf numFmtId="0" fontId="57" fillId="6" borderId="7" xfId="0" applyFont="1" applyFill="1" applyBorder="1" applyAlignment="1">
      <alignment vertical="center" wrapText="1"/>
    </xf>
    <xf numFmtId="0" fontId="53" fillId="6" borderId="2" xfId="0" applyFont="1" applyFill="1" applyBorder="1" applyAlignment="1">
      <alignment horizontal="center" vertical="center" wrapText="1"/>
    </xf>
    <xf numFmtId="0" fontId="102" fillId="6" borderId="7" xfId="0" applyFont="1" applyFill="1" applyBorder="1" applyAlignment="1">
      <alignment horizontal="center" vertical="center" wrapText="1"/>
    </xf>
    <xf numFmtId="0" fontId="57" fillId="6" borderId="14" xfId="0" applyFont="1" applyFill="1" applyBorder="1" applyAlignment="1">
      <alignment vertical="center" wrapText="1"/>
    </xf>
    <xf numFmtId="0" fontId="56" fillId="6" borderId="16" xfId="0" applyFont="1" applyFill="1" applyBorder="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lignment horizontal="center" vertical="center"/>
    </xf>
    <xf numFmtId="0" fontId="102" fillId="6" borderId="66" xfId="0" applyFont="1" applyFill="1" applyBorder="1" applyAlignment="1">
      <alignment horizontal="center" vertical="center" wrapText="1"/>
    </xf>
    <xf numFmtId="0" fontId="56" fillId="6" borderId="43" xfId="0" applyFont="1" applyFill="1" applyBorder="1" applyAlignment="1">
      <alignment horizontal="center" vertical="center" wrapText="1"/>
    </xf>
    <xf numFmtId="0" fontId="56" fillId="6" borderId="25" xfId="0" applyFont="1" applyFill="1" applyBorder="1" applyAlignment="1">
      <alignment vertical="center" wrapText="1"/>
    </xf>
    <xf numFmtId="9" fontId="56" fillId="6" borderId="49" xfId="0" applyNumberFormat="1" applyFont="1" applyFill="1" applyBorder="1" applyAlignment="1">
      <alignment horizontal="center" vertical="center" wrapText="1"/>
    </xf>
    <xf numFmtId="0" fontId="56" fillId="7" borderId="0" xfId="0" applyFont="1" applyFill="1" applyAlignment="1" applyProtection="1">
      <alignment horizontal="left" vertical="center" wrapText="1"/>
      <protection locked="0"/>
    </xf>
    <xf numFmtId="0" fontId="112" fillId="6" borderId="0" xfId="0" applyFont="1" applyFill="1">
      <alignment vertical="center"/>
    </xf>
    <xf numFmtId="186" fontId="101" fillId="6" borderId="0" xfId="0" applyNumberFormat="1" applyFont="1" applyFill="1" applyAlignment="1">
      <alignment horizontal="center" vertical="center" wrapText="1"/>
    </xf>
    <xf numFmtId="0" fontId="112" fillId="6" borderId="51" xfId="0" applyFont="1" applyFill="1" applyBorder="1">
      <alignment vertical="center"/>
    </xf>
    <xf numFmtId="186" fontId="207" fillId="6" borderId="19" xfId="0" applyNumberFormat="1" applyFont="1" applyFill="1" applyBorder="1" applyAlignment="1">
      <alignment horizontal="center" vertical="center" wrapText="1"/>
    </xf>
    <xf numFmtId="0" fontId="112" fillId="6" borderId="0" xfId="0" applyFont="1" applyFill="1" applyAlignment="1">
      <alignment horizontal="center" vertical="center"/>
    </xf>
    <xf numFmtId="0" fontId="102" fillId="6" borderId="23" xfId="0" applyFont="1" applyFill="1" applyBorder="1" applyAlignment="1">
      <alignment horizontal="center" vertical="center" wrapText="1"/>
    </xf>
    <xf numFmtId="0" fontId="116" fillId="6" borderId="58" xfId="0" applyFont="1" applyFill="1" applyBorder="1" applyAlignment="1">
      <alignment horizontal="center" vertical="center" wrapText="1"/>
    </xf>
    <xf numFmtId="0" fontId="116" fillId="6" borderId="1" xfId="0" applyFont="1" applyFill="1" applyBorder="1" applyAlignment="1">
      <alignment horizontal="center" vertical="center" wrapText="1"/>
    </xf>
    <xf numFmtId="49" fontId="102" fillId="6" borderId="1" xfId="0" applyNumberFormat="1" applyFont="1" applyFill="1" applyBorder="1" applyAlignment="1">
      <alignment horizontal="center" vertical="center" wrapText="1"/>
    </xf>
    <xf numFmtId="0" fontId="171" fillId="0" borderId="1" xfId="0" applyFont="1" applyBorder="1" applyAlignment="1" applyProtection="1">
      <alignment horizontal="center" vertical="center" wrapText="1"/>
      <protection locked="0"/>
    </xf>
    <xf numFmtId="0" fontId="171" fillId="0" borderId="13" xfId="0" applyFont="1" applyBorder="1" applyAlignment="1" applyProtection="1">
      <alignment horizontal="center" vertical="center" wrapText="1"/>
      <protection locked="0"/>
    </xf>
    <xf numFmtId="0" fontId="102" fillId="6" borderId="37" xfId="0" applyFont="1" applyFill="1" applyBorder="1" applyAlignment="1">
      <alignment horizontal="center" vertical="center" wrapText="1"/>
    </xf>
    <xf numFmtId="0" fontId="102" fillId="6" borderId="25" xfId="0" applyFont="1" applyFill="1" applyBorder="1" applyAlignment="1">
      <alignment horizontal="center" vertical="center" wrapText="1"/>
    </xf>
    <xf numFmtId="49" fontId="102" fillId="6" borderId="74" xfId="0" applyNumberFormat="1" applyFont="1" applyFill="1" applyBorder="1" applyAlignment="1">
      <alignment horizontal="center" vertical="center" wrapText="1"/>
    </xf>
    <xf numFmtId="49" fontId="102" fillId="6" borderId="32" xfId="0" applyNumberFormat="1" applyFont="1" applyFill="1" applyBorder="1" applyAlignment="1">
      <alignment horizontal="center" vertical="center" wrapText="1"/>
    </xf>
    <xf numFmtId="0" fontId="56" fillId="0" borderId="0" xfId="0" applyFont="1" applyAlignment="1" applyProtection="1">
      <alignment horizontal="center" vertical="center" wrapText="1"/>
      <protection locked="0"/>
    </xf>
    <xf numFmtId="0" fontId="171" fillId="0" borderId="32" xfId="0" applyFont="1" applyBorder="1" applyAlignment="1" applyProtection="1">
      <alignment horizontal="center" vertical="center" wrapText="1"/>
      <protection locked="0"/>
    </xf>
    <xf numFmtId="0" fontId="102" fillId="6" borderId="32" xfId="0" applyFont="1" applyFill="1" applyBorder="1" applyAlignment="1">
      <alignment horizontal="center" vertical="center" wrapText="1"/>
    </xf>
    <xf numFmtId="0" fontId="56" fillId="0" borderId="0" xfId="0" applyFont="1" applyAlignment="1">
      <alignment horizontal="left" vertical="center" wrapText="1"/>
    </xf>
    <xf numFmtId="0" fontId="127" fillId="6" borderId="1" xfId="0" applyFont="1" applyFill="1" applyBorder="1">
      <alignment vertical="center"/>
    </xf>
    <xf numFmtId="0" fontId="101" fillId="6" borderId="1" xfId="0" applyFont="1" applyFill="1" applyBorder="1">
      <alignment vertical="center"/>
    </xf>
    <xf numFmtId="0" fontId="55" fillId="6" borderId="95" xfId="0" applyFont="1" applyFill="1" applyBorder="1" applyAlignment="1">
      <alignment horizontal="center" vertical="center" wrapText="1"/>
    </xf>
    <xf numFmtId="0" fontId="50" fillId="10" borderId="16" xfId="0" applyFont="1" applyFill="1" applyBorder="1" applyAlignment="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Protection="1">
      <alignment vertical="center"/>
      <protection locked="0"/>
    </xf>
    <xf numFmtId="0" fontId="60" fillId="5" borderId="49" xfId="1" applyFont="1" applyFill="1" applyBorder="1" applyProtection="1">
      <alignment vertical="center"/>
      <protection locked="0"/>
    </xf>
    <xf numFmtId="181" fontId="102" fillId="6" borderId="1" xfId="0" applyNumberFormat="1" applyFont="1" applyFill="1" applyBorder="1" applyAlignment="1">
      <alignment horizontal="center" vertical="center" wrapText="1"/>
    </xf>
    <xf numFmtId="0" fontId="22" fillId="6" borderId="1" xfId="0" applyFont="1" applyFill="1" applyBorder="1" applyAlignment="1">
      <alignment vertical="center" wrapText="1"/>
    </xf>
    <xf numFmtId="0" fontId="56" fillId="6" borderId="33" xfId="0" applyFont="1" applyFill="1" applyBorder="1" applyAlignment="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lignment horizontal="center" vertical="center" wrapText="1"/>
    </xf>
    <xf numFmtId="49" fontId="53" fillId="6" borderId="12" xfId="0" applyNumberFormat="1" applyFont="1" applyFill="1" applyBorder="1" applyAlignment="1">
      <alignment horizontal="left" vertical="center" wrapText="1"/>
    </xf>
    <xf numFmtId="0" fontId="53" fillId="6" borderId="74" xfId="0" applyFont="1" applyFill="1" applyBorder="1" applyAlignment="1">
      <alignment horizontal="left" vertical="center" wrapText="1"/>
    </xf>
    <xf numFmtId="0" fontId="53" fillId="6" borderId="75" xfId="0" applyFont="1" applyFill="1" applyBorder="1" applyAlignment="1">
      <alignment horizontal="center" vertical="center" wrapText="1"/>
    </xf>
    <xf numFmtId="0" fontId="56" fillId="6" borderId="75" xfId="0" applyFont="1" applyFill="1" applyBorder="1">
      <alignment vertical="center"/>
    </xf>
    <xf numFmtId="0" fontId="53" fillId="6" borderId="47" xfId="0" applyFont="1" applyFill="1" applyBorder="1" applyAlignment="1">
      <alignment horizontal="center" vertical="center" wrapText="1"/>
    </xf>
    <xf numFmtId="0" fontId="54" fillId="6" borderId="43" xfId="0" applyFont="1" applyFill="1" applyBorder="1" applyAlignment="1">
      <alignment vertical="center" wrapText="1"/>
    </xf>
    <xf numFmtId="0" fontId="56" fillId="6" borderId="32" xfId="0" applyFont="1" applyFill="1" applyBorder="1" applyAlignment="1">
      <alignment horizontal="left" vertical="center"/>
    </xf>
    <xf numFmtId="0" fontId="56" fillId="6" borderId="74" xfId="0" applyFont="1" applyFill="1" applyBorder="1" applyAlignment="1">
      <alignment horizontal="center" vertical="center" wrapText="1"/>
    </xf>
    <xf numFmtId="0" fontId="56" fillId="6" borderId="75" xfId="0" applyFont="1" applyFill="1" applyBorder="1" applyAlignment="1">
      <alignment horizontal="center" vertical="center" wrapText="1"/>
    </xf>
    <xf numFmtId="0" fontId="56" fillId="6" borderId="76" xfId="0" applyFont="1" applyFill="1" applyBorder="1" applyAlignment="1">
      <alignment horizontal="center" vertical="center" wrapText="1"/>
    </xf>
    <xf numFmtId="0" fontId="56" fillId="6" borderId="84" xfId="0" applyFont="1" applyFill="1" applyBorder="1" applyAlignment="1">
      <alignment horizontal="center" vertical="center"/>
    </xf>
    <xf numFmtId="0" fontId="146" fillId="12" borderId="126" xfId="16" applyFont="1" applyFill="1" applyBorder="1" applyAlignment="1">
      <alignment horizontal="left" vertical="center" wrapText="1"/>
    </xf>
    <xf numFmtId="0" fontId="146" fillId="12" borderId="130" xfId="16" applyFont="1" applyFill="1" applyBorder="1" applyAlignment="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100" fillId="6" borderId="119" xfId="10" applyFont="1" applyFill="1" applyBorder="1" applyAlignment="1">
      <alignment horizontal="left" vertical="center"/>
    </xf>
    <xf numFmtId="0" fontId="25" fillId="6" borderId="119" xfId="10" applyFont="1" applyFill="1" applyBorder="1" applyAlignment="1">
      <alignment horizontal="left" vertical="center"/>
    </xf>
    <xf numFmtId="0" fontId="105" fillId="0" borderId="120" xfId="9" applyFont="1" applyBorder="1" applyAlignment="1">
      <alignment horizontal="left" vertical="center"/>
    </xf>
    <xf numFmtId="0" fontId="141" fillId="15" borderId="0" xfId="9" applyFont="1" applyFill="1" applyAlignment="1">
      <alignment horizontal="left" vertical="center"/>
    </xf>
    <xf numFmtId="0" fontId="101" fillId="15" borderId="0" xfId="10" applyFont="1" applyFill="1" applyAlignment="1">
      <alignment horizontal="left" vertical="center"/>
    </xf>
    <xf numFmtId="0" fontId="25" fillId="15" borderId="0" xfId="10" applyFont="1" applyFill="1" applyAlignment="1">
      <alignment horizontal="left" vertical="center"/>
    </xf>
    <xf numFmtId="0" fontId="105" fillId="15" borderId="121" xfId="9" applyFont="1" applyFill="1" applyBorder="1" applyAlignment="1">
      <alignment horizontal="left" vertical="center"/>
    </xf>
    <xf numFmtId="0" fontId="105" fillId="15" borderId="0" xfId="9" applyFont="1" applyFill="1" applyAlignment="1">
      <alignment horizontal="left" vertical="center"/>
    </xf>
    <xf numFmtId="0" fontId="147" fillId="15" borderId="0" xfId="9" applyFont="1" applyFill="1" applyAlignment="1" applyProtection="1">
      <alignment horizontal="left" vertical="center"/>
      <protection locked="0"/>
    </xf>
    <xf numFmtId="0" fontId="139"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1" fillId="0" borderId="0" xfId="10" applyFont="1" applyAlignment="1">
      <alignment horizontal="left" vertical="center"/>
    </xf>
    <xf numFmtId="0" fontId="25" fillId="0" borderId="0" xfId="10" applyFont="1" applyAlignment="1">
      <alignment horizontal="left" vertical="center"/>
    </xf>
    <xf numFmtId="0" fontId="105" fillId="0" borderId="121" xfId="9" applyFont="1" applyBorder="1" applyAlignment="1">
      <alignment horizontal="left" vertical="center"/>
    </xf>
    <xf numFmtId="0" fontId="105" fillId="0" borderId="0" xfId="9" applyFont="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49" fontId="56" fillId="13" borderId="1" xfId="9" applyNumberFormat="1" applyFont="1" applyFill="1" applyBorder="1" applyAlignment="1">
      <alignment horizontal="left" vertical="center" wrapText="1"/>
    </xf>
    <xf numFmtId="185" fontId="147" fillId="13" borderId="0" xfId="9" applyNumberFormat="1" applyFont="1" applyFill="1" applyAlignment="1">
      <alignment horizontal="left" vertical="center"/>
    </xf>
    <xf numFmtId="0" fontId="146" fillId="11" borderId="125" xfId="9" applyFont="1" applyFill="1" applyBorder="1" applyAlignment="1">
      <alignment horizontal="left" vertical="center" wrapText="1"/>
    </xf>
    <xf numFmtId="0" fontId="146" fillId="13" borderId="126" xfId="9" applyFont="1" applyFill="1" applyBorder="1" applyAlignment="1">
      <alignment horizontal="left" vertical="center" wrapText="1"/>
    </xf>
    <xf numFmtId="0" fontId="147" fillId="13" borderId="0" xfId="9" applyFont="1" applyFill="1" applyAlignment="1" applyProtection="1">
      <alignment horizontal="left" vertical="center"/>
      <protection locked="0"/>
    </xf>
    <xf numFmtId="0" fontId="105" fillId="13" borderId="0" xfId="9" applyFont="1" applyFill="1" applyAlignment="1">
      <alignment horizontal="left" vertical="center"/>
    </xf>
    <xf numFmtId="10" fontId="147" fillId="13" borderId="128" xfId="9" applyNumberFormat="1" applyFont="1" applyFill="1" applyBorder="1" applyAlignment="1">
      <alignment horizontal="left" vertical="center"/>
    </xf>
    <xf numFmtId="0" fontId="105" fillId="13" borderId="121" xfId="9" applyFont="1" applyFill="1" applyBorder="1" applyAlignment="1">
      <alignment horizontal="left" vertical="center"/>
    </xf>
    <xf numFmtId="0" fontId="116" fillId="5" borderId="0" xfId="9" applyFont="1" applyFill="1" applyAlignment="1">
      <alignment horizontal="left" vertical="center"/>
    </xf>
    <xf numFmtId="0" fontId="102" fillId="13" borderId="0" xfId="9" applyFont="1" applyFill="1" applyAlignment="1">
      <alignment horizontal="left" vertical="center"/>
    </xf>
    <xf numFmtId="10" fontId="102" fillId="13" borderId="0" xfId="9" applyNumberFormat="1" applyFont="1" applyFill="1" applyAlignment="1">
      <alignment horizontal="left" vertical="center"/>
    </xf>
    <xf numFmtId="49" fontId="56" fillId="6" borderId="1" xfId="9" applyNumberFormat="1" applyFont="1" applyFill="1" applyBorder="1" applyAlignment="1">
      <alignment horizontal="left" vertical="center" wrapText="1"/>
    </xf>
    <xf numFmtId="185" fontId="102" fillId="0" borderId="0" xfId="9" applyNumberFormat="1" applyFont="1" applyAlignment="1">
      <alignment horizontal="left" vertical="center"/>
    </xf>
    <xf numFmtId="0" fontId="146" fillId="12" borderId="126" xfId="9" applyFont="1" applyFill="1" applyBorder="1" applyAlignment="1">
      <alignment horizontal="left" vertical="center" wrapText="1"/>
    </xf>
    <xf numFmtId="10" fontId="102" fillId="0" borderId="121" xfId="9" applyNumberFormat="1" applyFont="1" applyBorder="1" applyAlignment="1">
      <alignment horizontal="left" vertical="center"/>
    </xf>
    <xf numFmtId="177" fontId="102" fillId="0" borderId="0" xfId="9" applyNumberFormat="1" applyFont="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lignment horizontal="left" vertical="center" wrapText="1"/>
    </xf>
    <xf numFmtId="0" fontId="146" fillId="11" borderId="123" xfId="9" applyFont="1" applyFill="1" applyBorder="1" applyAlignment="1">
      <alignment horizontal="left" vertical="center" wrapText="1"/>
    </xf>
    <xf numFmtId="0" fontId="146" fillId="11" borderId="124" xfId="9" applyFont="1" applyFill="1" applyBorder="1" applyAlignment="1">
      <alignment horizontal="left" vertical="center" wrapText="1"/>
    </xf>
    <xf numFmtId="185" fontId="105" fillId="11" borderId="123" xfId="9" applyNumberFormat="1" applyFont="1" applyFill="1" applyBorder="1" applyAlignment="1">
      <alignment horizontal="left" vertical="center" wrapText="1"/>
    </xf>
    <xf numFmtId="185" fontId="105" fillId="11" borderId="129" xfId="9" applyNumberFormat="1" applyFont="1" applyFill="1" applyBorder="1" applyAlignment="1">
      <alignment horizontal="left" vertical="center" wrapText="1"/>
    </xf>
    <xf numFmtId="0" fontId="146" fillId="11" borderId="126" xfId="9" applyFont="1" applyFill="1" applyBorder="1" applyAlignment="1">
      <alignment horizontal="left" vertical="center" wrapText="1"/>
    </xf>
    <xf numFmtId="0" fontId="146" fillId="11" borderId="130" xfId="9"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lignment horizontal="left" vertical="center" wrapText="1"/>
    </xf>
    <xf numFmtId="0" fontId="146" fillId="11" borderId="133" xfId="9" applyFont="1" applyFill="1" applyBorder="1" applyAlignment="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lignment horizontal="left" vertical="center" wrapText="1"/>
    </xf>
    <xf numFmtId="0" fontId="146" fillId="12" borderId="124" xfId="9" applyFont="1" applyFill="1" applyBorder="1" applyAlignment="1">
      <alignment horizontal="left" vertical="center" wrapText="1"/>
    </xf>
    <xf numFmtId="185" fontId="105" fillId="11" borderId="126" xfId="9" applyNumberFormat="1" applyFont="1" applyFill="1" applyBorder="1" applyAlignment="1">
      <alignment horizontal="left" vertical="center" wrapText="1"/>
    </xf>
    <xf numFmtId="185" fontId="105" fillId="11" borderId="135" xfId="9" applyNumberFormat="1" applyFont="1" applyFill="1" applyBorder="1" applyAlignment="1">
      <alignment horizontal="left" vertical="center" wrapText="1"/>
    </xf>
    <xf numFmtId="0" fontId="102" fillId="12" borderId="123" xfId="9" applyFont="1" applyFill="1" applyBorder="1" applyAlignment="1">
      <alignment horizontal="left" vertical="center" wrapText="1"/>
    </xf>
    <xf numFmtId="0" fontId="102" fillId="12" borderId="124" xfId="9" applyFont="1" applyFill="1" applyBorder="1" applyAlignment="1">
      <alignment horizontal="left" vertical="center" wrapText="1"/>
    </xf>
    <xf numFmtId="49" fontId="56" fillId="5" borderId="1" xfId="9" applyNumberFormat="1" applyFont="1" applyFill="1" applyBorder="1" applyAlignment="1">
      <alignment horizontal="left" vertical="center" wrapText="1"/>
    </xf>
    <xf numFmtId="185" fontId="102" fillId="5" borderId="0" xfId="9" applyNumberFormat="1" applyFont="1" applyFill="1" applyAlignment="1">
      <alignment horizontal="left" vertical="center"/>
    </xf>
    <xf numFmtId="0" fontId="102" fillId="5" borderId="126" xfId="9" applyFont="1" applyFill="1" applyBorder="1" applyAlignment="1">
      <alignment horizontal="left" vertical="center" wrapText="1"/>
    </xf>
    <xf numFmtId="0" fontId="102" fillId="5" borderId="130" xfId="9" applyFont="1" applyFill="1" applyBorder="1" applyAlignment="1">
      <alignment horizontal="left" vertical="center" wrapText="1"/>
    </xf>
    <xf numFmtId="0" fontId="102" fillId="5" borderId="0" xfId="9" applyFont="1" applyFill="1" applyAlignment="1">
      <alignment horizontal="left" vertical="center"/>
    </xf>
    <xf numFmtId="10" fontId="102" fillId="5" borderId="121" xfId="9" applyNumberFormat="1" applyFont="1" applyFill="1" applyBorder="1" applyAlignment="1">
      <alignment horizontal="left" vertical="center"/>
    </xf>
    <xf numFmtId="10" fontId="102" fillId="5" borderId="0" xfId="9" applyNumberFormat="1" applyFont="1" applyFill="1" applyAlignment="1">
      <alignment horizontal="left" vertical="center"/>
    </xf>
    <xf numFmtId="177" fontId="102" fillId="5" borderId="0" xfId="9" applyNumberFormat="1" applyFont="1" applyFill="1" applyAlignment="1">
      <alignment horizontal="left" vertical="center"/>
    </xf>
    <xf numFmtId="10" fontId="102" fillId="5" borderId="128" xfId="9" applyNumberFormat="1" applyFont="1" applyFill="1" applyBorder="1" applyAlignment="1">
      <alignment horizontal="left" vertical="center"/>
    </xf>
    <xf numFmtId="10" fontId="102" fillId="5" borderId="60" xfId="9" applyNumberFormat="1" applyFont="1" applyFill="1" applyBorder="1" applyAlignment="1">
      <alignment horizontal="left" vertical="center"/>
    </xf>
    <xf numFmtId="0" fontId="125" fillId="5" borderId="0" xfId="9" applyFont="1" applyFill="1" applyAlignment="1">
      <alignment horizontal="left" vertical="center"/>
    </xf>
    <xf numFmtId="0" fontId="102" fillId="11" borderId="132" xfId="9" applyFont="1" applyFill="1" applyBorder="1" applyAlignment="1">
      <alignment horizontal="left" vertical="center" wrapText="1"/>
    </xf>
    <xf numFmtId="0" fontId="102" fillId="11" borderId="133" xfId="9" applyFont="1" applyFill="1" applyBorder="1" applyAlignment="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185" fontId="105" fillId="11" borderId="132" xfId="9" applyNumberFormat="1" applyFont="1" applyFill="1" applyBorder="1" applyAlignment="1">
      <alignment horizontal="left" vertical="center" wrapText="1"/>
    </xf>
    <xf numFmtId="185" fontId="105" fillId="11" borderId="136" xfId="9" applyNumberFormat="1" applyFont="1" applyFill="1" applyBorder="1" applyAlignment="1">
      <alignment horizontal="left" vertical="center" wrapText="1"/>
    </xf>
    <xf numFmtId="185" fontId="102" fillId="13" borderId="0" xfId="9" applyNumberFormat="1" applyFont="1" applyFill="1" applyAlignment="1">
      <alignment horizontal="left" vertical="center"/>
    </xf>
    <xf numFmtId="185" fontId="102" fillId="0" borderId="47" xfId="9" applyNumberFormat="1" applyFont="1" applyBorder="1" applyAlignment="1">
      <alignment horizontal="left" vertical="center"/>
    </xf>
    <xf numFmtId="0" fontId="146" fillId="12" borderId="137" xfId="9" applyFont="1" applyFill="1" applyBorder="1" applyAlignment="1">
      <alignment horizontal="left" vertical="center" wrapText="1"/>
    </xf>
    <xf numFmtId="0" fontId="146" fillId="12" borderId="138" xfId="9" applyFont="1" applyFill="1" applyBorder="1" applyAlignment="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177" fontId="102" fillId="0" borderId="47" xfId="9" applyNumberFormat="1" applyFont="1" applyBorder="1" applyAlignment="1">
      <alignment horizontal="left" vertical="center"/>
    </xf>
    <xf numFmtId="0" fontId="146" fillId="11" borderId="140" xfId="9" applyFont="1" applyFill="1" applyBorder="1" applyAlignment="1">
      <alignment horizontal="left" vertical="center" wrapText="1"/>
    </xf>
    <xf numFmtId="0" fontId="146" fillId="11" borderId="141" xfId="9" applyFont="1" applyFill="1" applyBorder="1" applyAlignment="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46" fillId="12" borderId="147" xfId="9" applyFont="1" applyFill="1" applyBorder="1" applyAlignment="1">
      <alignment horizontal="left" vertical="center" wrapText="1"/>
    </xf>
    <xf numFmtId="0" fontId="146" fillId="11" borderId="148" xfId="9" applyFont="1" applyFill="1" applyBorder="1" applyAlignment="1">
      <alignment horizontal="left" vertical="center" wrapText="1"/>
    </xf>
    <xf numFmtId="0" fontId="146" fillId="12" borderId="148" xfId="9" applyFont="1" applyFill="1" applyBorder="1" applyAlignment="1">
      <alignment horizontal="left" vertical="center" wrapText="1"/>
    </xf>
    <xf numFmtId="0" fontId="146" fillId="11" borderId="149" xfId="9" applyFont="1" applyFill="1" applyBorder="1" applyAlignment="1">
      <alignment horizontal="left" vertical="center" wrapText="1"/>
    </xf>
    <xf numFmtId="0" fontId="132" fillId="6" borderId="0" xfId="0" applyFont="1" applyFill="1" applyAlignment="1">
      <alignment horizontal="left" vertical="center"/>
    </xf>
    <xf numFmtId="0" fontId="180" fillId="6" borderId="154" xfId="0" applyFont="1" applyFill="1" applyBorder="1" applyAlignment="1">
      <alignment horizontal="left"/>
    </xf>
    <xf numFmtId="0" fontId="104" fillId="6" borderId="154" xfId="0" applyFont="1" applyFill="1" applyBorder="1" applyAlignment="1">
      <alignment horizontal="left"/>
    </xf>
    <xf numFmtId="0" fontId="180" fillId="6" borderId="154" xfId="0" applyFont="1" applyFill="1" applyBorder="1" applyAlignment="1">
      <alignment horizontal="right"/>
    </xf>
    <xf numFmtId="0" fontId="104" fillId="7" borderId="154" xfId="0" applyFont="1" applyFill="1" applyBorder="1" applyAlignment="1" applyProtection="1">
      <protection locked="0"/>
    </xf>
    <xf numFmtId="0" fontId="104" fillId="7" borderId="154" xfId="0" applyFont="1" applyFill="1" applyBorder="1" applyAlignment="1"/>
    <xf numFmtId="0" fontId="104" fillId="0" borderId="154" xfId="0" applyFont="1" applyBorder="1" applyAlignment="1"/>
    <xf numFmtId="0" fontId="80" fillId="18" borderId="0" xfId="0" applyFont="1" applyFill="1" applyAlignment="1">
      <alignment horizontal="left" vertical="center"/>
    </xf>
    <xf numFmtId="10" fontId="50" fillId="18" borderId="0" xfId="0" applyNumberFormat="1" applyFont="1" applyFill="1" applyAlignment="1">
      <alignment horizontal="left" vertical="center"/>
    </xf>
    <xf numFmtId="0" fontId="50" fillId="18" borderId="0" xfId="0" applyFont="1" applyFill="1" applyAlignment="1">
      <alignment horizontal="left" vertical="center"/>
    </xf>
    <xf numFmtId="0" fontId="80" fillId="18" borderId="0" xfId="0" applyFont="1" applyFill="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lignment horizontal="center" vertical="center" wrapText="1"/>
    </xf>
    <xf numFmtId="0" fontId="50" fillId="18" borderId="1" xfId="0" applyFont="1" applyFill="1" applyBorder="1" applyAlignment="1">
      <alignment horizontal="center" vertical="center"/>
    </xf>
    <xf numFmtId="0" fontId="57" fillId="18" borderId="68" xfId="0"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lignment horizontal="left" vertical="center" wrapText="1"/>
    </xf>
    <xf numFmtId="176" fontId="54" fillId="6" borderId="48" xfId="0" applyNumberFormat="1" applyFont="1" applyFill="1" applyBorder="1" applyAlignment="1">
      <alignment horizontal="left" vertical="center" wrapText="1"/>
    </xf>
    <xf numFmtId="0" fontId="57" fillId="18" borderId="1" xfId="0" applyFont="1" applyFill="1" applyBorder="1" applyAlignment="1">
      <alignment horizontal="center" vertical="center" wrapText="1"/>
    </xf>
    <xf numFmtId="0" fontId="49" fillId="6" borderId="21" xfId="0" applyFont="1" applyFill="1" applyBorder="1" applyAlignment="1">
      <alignment horizontal="center" vertical="center"/>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10" fontId="50" fillId="6" borderId="48" xfId="0" applyNumberFormat="1" applyFont="1" applyFill="1" applyBorder="1" applyAlignment="1">
      <alignment horizontal="left" vertical="center" wrapText="1"/>
    </xf>
    <xf numFmtId="0" fontId="47" fillId="6" borderId="1" xfId="0" applyFont="1" applyFill="1" applyBorder="1" applyAlignment="1">
      <alignment horizontal="left" vertical="center" wrapText="1"/>
    </xf>
    <xf numFmtId="0" fontId="50" fillId="6" borderId="48"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122" fillId="0" borderId="0" xfId="5" applyFont="1" applyAlignment="1">
      <alignment horizontal="left" vertical="center"/>
    </xf>
    <xf numFmtId="0" fontId="150"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40" fillId="0" borderId="0" xfId="5" applyFont="1" applyAlignment="1">
      <alignment horizontal="left" vertical="center"/>
    </xf>
    <xf numFmtId="0" fontId="120" fillId="5" borderId="13" xfId="5" applyFont="1" applyFill="1" applyBorder="1" applyAlignment="1">
      <alignment horizontal="left" vertical="center"/>
    </xf>
    <xf numFmtId="0" fontId="121" fillId="0" borderId="5" xfId="5" applyFont="1" applyBorder="1" applyAlignment="1">
      <alignment horizontal="left" vertical="center"/>
    </xf>
    <xf numFmtId="0" fontId="120" fillId="5" borderId="155" xfId="5" applyFont="1" applyFill="1" applyBorder="1" applyAlignment="1">
      <alignment horizontal="left" vertical="center"/>
    </xf>
    <xf numFmtId="191" fontId="121" fillId="0" borderId="1" xfId="5" applyNumberFormat="1" applyFont="1" applyBorder="1" applyAlignment="1">
      <alignment horizontal="left" vertical="center"/>
    </xf>
    <xf numFmtId="191" fontId="241" fillId="0" borderId="5" xfId="5" applyNumberFormat="1" applyFont="1" applyBorder="1" applyAlignment="1">
      <alignment horizontal="left" vertical="center"/>
    </xf>
    <xf numFmtId="0" fontId="121" fillId="0" borderId="156" xfId="5" applyFont="1" applyBorder="1" applyAlignment="1">
      <alignment horizontal="left" vertical="center"/>
    </xf>
    <xf numFmtId="183" fontId="121" fillId="0" borderId="1" xfId="5" applyNumberFormat="1" applyFont="1" applyBorder="1" applyAlignment="1">
      <alignment horizontal="left" vertical="center"/>
    </xf>
    <xf numFmtId="0" fontId="241" fillId="0" borderId="1" xfId="5" applyFont="1" applyBorder="1" applyAlignment="1">
      <alignment horizontal="left" vertical="center"/>
    </xf>
    <xf numFmtId="191" fontId="121" fillId="0" borderId="5" xfId="5" applyNumberFormat="1" applyFont="1" applyBorder="1" applyAlignment="1">
      <alignment horizontal="left" vertical="center"/>
    </xf>
    <xf numFmtId="0" fontId="241" fillId="0" borderId="0" xfId="5" applyFont="1" applyAlignment="1">
      <alignment horizontal="left" vertical="center"/>
    </xf>
    <xf numFmtId="0" fontId="120" fillId="0" borderId="1" xfId="5" applyFont="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3" fontId="121" fillId="0" borderId="5" xfId="5" applyNumberFormat="1" applyFont="1" applyBorder="1" applyAlignment="1">
      <alignment horizontal="left" vertical="center"/>
    </xf>
    <xf numFmtId="0" fontId="123" fillId="0" borderId="156" xfId="5" applyFont="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3" fontId="130" fillId="0" borderId="1" xfId="0" applyNumberFormat="1" applyFont="1" applyBorder="1" applyAlignment="1">
      <alignment horizontal="left" vertical="center"/>
    </xf>
    <xf numFmtId="14" fontId="150" fillId="0" borderId="0" xfId="5" applyNumberFormat="1" applyFont="1" applyAlignment="1">
      <alignment horizontal="left" vertical="center"/>
    </xf>
    <xf numFmtId="14" fontId="150" fillId="0" borderId="157" xfId="5" applyNumberFormat="1" applyFont="1" applyBorder="1" applyAlignment="1">
      <alignment horizontal="left" vertical="center"/>
    </xf>
    <xf numFmtId="0" fontId="218" fillId="0" borderId="0" xfId="5" applyFont="1" applyAlignment="1">
      <alignment horizontal="left" vertical="center"/>
    </xf>
    <xf numFmtId="0" fontId="50" fillId="6" borderId="26" xfId="0" applyFont="1" applyFill="1" applyBorder="1" applyAlignment="1">
      <alignment vertical="center" wrapText="1"/>
    </xf>
    <xf numFmtId="0" fontId="50" fillId="6" borderId="0" xfId="0" applyFont="1" applyFill="1" applyAlignment="1">
      <alignment vertical="center" wrapText="1"/>
    </xf>
    <xf numFmtId="0" fontId="50" fillId="6" borderId="58" xfId="0" applyFont="1" applyFill="1" applyBorder="1" applyAlignment="1">
      <alignment vertical="center" wrapText="1"/>
    </xf>
    <xf numFmtId="49" fontId="50" fillId="6" borderId="0" xfId="0" applyNumberFormat="1" applyFont="1" applyFill="1" applyAlignment="1">
      <alignment horizontal="center" vertical="center" wrapText="1"/>
    </xf>
    <xf numFmtId="14" fontId="50" fillId="0" borderId="13" xfId="0" applyNumberFormat="1" applyFont="1" applyBorder="1" applyAlignment="1" applyProtection="1">
      <alignment horizontal="left" vertical="center"/>
      <protection locked="0"/>
    </xf>
    <xf numFmtId="0" fontId="50" fillId="16" borderId="1" xfId="0" applyFont="1" applyFill="1" applyBorder="1" applyAlignment="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lignment horizontal="right" vertical="center" shrinkToFit="1"/>
    </xf>
    <xf numFmtId="0" fontId="50" fillId="6" borderId="58" xfId="0" applyFont="1" applyFill="1" applyBorder="1" applyAlignment="1">
      <alignment horizontal="left" vertical="center"/>
    </xf>
    <xf numFmtId="0" fontId="50" fillId="6" borderId="4" xfId="0" applyFont="1" applyFill="1" applyBorder="1" applyAlignment="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lignment vertical="center" wrapText="1"/>
    </xf>
    <xf numFmtId="0" fontId="50" fillId="7" borderId="7" xfId="0" applyFont="1" applyFill="1" applyBorder="1" applyAlignment="1">
      <alignment vertical="center" wrapText="1"/>
    </xf>
    <xf numFmtId="0" fontId="50" fillId="6" borderId="46" xfId="0" applyFont="1" applyFill="1" applyBorder="1" applyAlignment="1">
      <alignment vertical="center" wrapText="1"/>
    </xf>
    <xf numFmtId="0" fontId="50" fillId="7" borderId="5" xfId="0" applyFont="1" applyFill="1" applyBorder="1" applyProtection="1">
      <alignment vertical="center"/>
      <protection locked="0"/>
    </xf>
    <xf numFmtId="0" fontId="50" fillId="7" borderId="54" xfId="0" applyFont="1" applyFill="1" applyBorder="1" applyAlignment="1">
      <alignment vertical="center" wrapText="1"/>
    </xf>
    <xf numFmtId="0" fontId="50" fillId="7" borderId="22" xfId="0" applyFont="1" applyFill="1" applyBorder="1" applyAlignment="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lignment vertical="center" wrapText="1"/>
    </xf>
    <xf numFmtId="0" fontId="50" fillId="16" borderId="85" xfId="0" applyFont="1" applyFill="1" applyBorder="1" applyAlignment="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lignment vertical="center" wrapText="1"/>
    </xf>
    <xf numFmtId="0" fontId="50" fillId="5" borderId="118" xfId="0" applyFont="1" applyFill="1" applyBorder="1" applyAlignment="1">
      <alignment vertical="center" wrapText="1"/>
    </xf>
    <xf numFmtId="0" fontId="50" fillId="16" borderId="2" xfId="0" applyFont="1" applyFill="1" applyBorder="1" applyAlignment="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lignment horizontal="left" vertical="center" wrapText="1"/>
    </xf>
    <xf numFmtId="0" fontId="50" fillId="16" borderId="46" xfId="0" applyFont="1" applyFill="1" applyBorder="1" applyAlignment="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lignment vertical="center" wrapText="1"/>
    </xf>
    <xf numFmtId="49" fontId="50" fillId="16" borderId="13" xfId="0" applyNumberFormat="1" applyFont="1" applyFill="1" applyBorder="1" applyAlignment="1">
      <alignment horizontal="left" vertical="center" wrapText="1"/>
    </xf>
    <xf numFmtId="49" fontId="50" fillId="6" borderId="1" xfId="0" applyNumberFormat="1" applyFont="1" applyFill="1" applyBorder="1" applyAlignment="1">
      <alignment horizontal="center" vertical="center" wrapText="1"/>
    </xf>
    <xf numFmtId="0" fontId="50" fillId="16" borderId="60" xfId="0" applyFont="1" applyFill="1" applyBorder="1" applyAlignment="1">
      <alignment vertical="center" wrapText="1"/>
    </xf>
    <xf numFmtId="177" fontId="50" fillId="5" borderId="1" xfId="1" applyNumberFormat="1" applyFont="1" applyFill="1" applyBorder="1" applyAlignment="1" applyProtection="1">
      <alignment horizontal="center" vertical="center"/>
      <protection locked="0"/>
    </xf>
    <xf numFmtId="0" fontId="50" fillId="6" borderId="60" xfId="0" applyFont="1" applyFill="1" applyBorder="1" applyAlignment="1">
      <alignment vertical="center" wrapText="1"/>
    </xf>
    <xf numFmtId="179" fontId="50" fillId="6" borderId="1" xfId="0" applyNumberFormat="1" applyFont="1" applyFill="1" applyBorder="1" applyAlignment="1">
      <alignment horizontal="center" vertical="center" wrapText="1"/>
    </xf>
    <xf numFmtId="49" fontId="50" fillId="6" borderId="15" xfId="0" applyNumberFormat="1" applyFont="1" applyFill="1" applyBorder="1" applyAlignment="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lignment horizontal="center" vertical="center" wrapText="1"/>
    </xf>
    <xf numFmtId="0" fontId="50" fillId="2" borderId="4" xfId="0" applyFont="1" applyFill="1" applyBorder="1" applyProtection="1">
      <alignment vertical="center"/>
      <protection locked="0"/>
    </xf>
    <xf numFmtId="0" fontId="50" fillId="2" borderId="7" xfId="0" applyFont="1" applyFill="1" applyBorder="1" applyAlignment="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Protection="1">
      <alignment vertical="center"/>
      <protection locked="0"/>
    </xf>
    <xf numFmtId="0" fontId="50" fillId="2" borderId="3" xfId="0" applyFont="1" applyFill="1" applyBorder="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3" xfId="0" applyFont="1" applyFill="1" applyBorder="1" applyAlignment="1">
      <alignment vertical="center" wrapText="1"/>
    </xf>
    <xf numFmtId="0" fontId="50" fillId="5" borderId="1" xfId="0" applyFont="1" applyFill="1" applyBorder="1" applyAlignment="1" applyProtection="1">
      <alignment horizontal="center" vertical="center" wrapText="1"/>
      <protection locked="0"/>
    </xf>
    <xf numFmtId="0" fontId="50" fillId="5" borderId="78" xfId="0" applyFont="1" applyFill="1" applyBorder="1" applyAlignment="1" applyProtection="1">
      <alignment horizontal="center" vertical="center" wrapText="1"/>
      <protection locked="0"/>
    </xf>
    <xf numFmtId="0" fontId="142" fillId="6" borderId="151" xfId="0" applyFont="1" applyFill="1" applyBorder="1">
      <alignment vertical="center"/>
    </xf>
    <xf numFmtId="0" fontId="55" fillId="6" borderId="151" xfId="0" applyFont="1" applyFill="1" applyBorder="1" applyAlignment="1">
      <alignment vertical="center" wrapText="1"/>
    </xf>
    <xf numFmtId="0" fontId="55" fillId="0" borderId="151" xfId="0" applyFont="1" applyBorder="1" applyAlignment="1">
      <alignment vertical="center" wrapText="1"/>
    </xf>
    <xf numFmtId="0" fontId="55" fillId="6" borderId="5" xfId="0" applyFont="1" applyFill="1" applyBorder="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lignment vertical="center" wrapText="1"/>
    </xf>
    <xf numFmtId="0" fontId="55" fillId="6" borderId="14" xfId="0" applyFont="1" applyFill="1" applyBorder="1" applyAlignment="1">
      <alignment vertical="center" wrapText="1"/>
    </xf>
    <xf numFmtId="0" fontId="55" fillId="6" borderId="12" xfId="0" applyFont="1" applyFill="1" applyBorder="1" applyAlignment="1">
      <alignment vertical="center" wrapText="1"/>
    </xf>
    <xf numFmtId="0" fontId="55" fillId="6" borderId="27" xfId="0" applyFont="1" applyFill="1" applyBorder="1" applyAlignment="1">
      <alignment vertical="center" wrapText="1"/>
    </xf>
    <xf numFmtId="49" fontId="55" fillId="6" borderId="27" xfId="0" applyNumberFormat="1" applyFont="1" applyFill="1" applyBorder="1" applyAlignment="1">
      <alignment vertical="center" wrapText="1"/>
    </xf>
    <xf numFmtId="0" fontId="55" fillId="6" borderId="80" xfId="0" applyFont="1" applyFill="1" applyBorder="1" applyAlignment="1">
      <alignment vertical="center" wrapText="1"/>
    </xf>
    <xf numFmtId="49" fontId="55" fillId="6" borderId="80" xfId="0" applyNumberFormat="1" applyFont="1" applyFill="1" applyBorder="1" applyAlignment="1">
      <alignment vertical="center" wrapText="1"/>
    </xf>
    <xf numFmtId="49" fontId="55" fillId="6" borderId="81" xfId="0" applyNumberFormat="1" applyFont="1" applyFill="1" applyBorder="1" applyAlignment="1">
      <alignment vertical="center" wrapText="1"/>
    </xf>
    <xf numFmtId="0" fontId="55" fillId="6" borderId="81" xfId="0" applyFont="1" applyFill="1" applyBorder="1" applyAlignment="1">
      <alignment vertical="center" wrapText="1"/>
    </xf>
    <xf numFmtId="0" fontId="208" fillId="7" borderId="101" xfId="0" applyFont="1" applyFill="1" applyBorder="1" applyAlignment="1" applyProtection="1">
      <alignment vertical="center" wrapText="1"/>
      <protection locked="0"/>
    </xf>
    <xf numFmtId="0" fontId="208" fillId="7" borderId="102" xfId="0" applyFont="1" applyFill="1" applyBorder="1" applyAlignment="1" applyProtection="1">
      <alignment vertical="center" wrapText="1"/>
      <protection locked="0"/>
    </xf>
    <xf numFmtId="0" fontId="228" fillId="7" borderId="0" xfId="0" applyFont="1" applyFill="1" applyProtection="1">
      <alignment vertical="center"/>
      <protection locked="0"/>
    </xf>
    <xf numFmtId="0" fontId="228" fillId="0" borderId="0" xfId="0" applyFont="1" applyProtection="1">
      <alignment vertical="center"/>
      <protection locked="0"/>
    </xf>
    <xf numFmtId="0" fontId="55" fillId="6" borderId="63" xfId="0" applyFont="1" applyFill="1" applyBorder="1" applyAlignment="1">
      <alignment vertical="center" wrapText="1"/>
    </xf>
    <xf numFmtId="0" fontId="55" fillId="6" borderId="34" xfId="0" applyFont="1" applyFill="1" applyBorder="1" applyAlignment="1">
      <alignment vertical="center" wrapText="1"/>
    </xf>
    <xf numFmtId="0" fontId="55" fillId="6" borderId="65" xfId="0" applyFont="1" applyFill="1" applyBorder="1">
      <alignment vertical="center"/>
    </xf>
    <xf numFmtId="0" fontId="50" fillId="6" borderId="64" xfId="0" applyFont="1" applyFill="1" applyBorder="1">
      <alignment vertical="center"/>
    </xf>
    <xf numFmtId="0" fontId="50" fillId="6" borderId="9" xfId="0" applyFont="1" applyFill="1" applyBorder="1" applyAlignment="1">
      <alignment vertical="center" wrapText="1"/>
    </xf>
    <xf numFmtId="49" fontId="171" fillId="0" borderId="10" xfId="0" applyNumberFormat="1" applyFont="1" applyBorder="1" applyAlignment="1" applyProtection="1">
      <alignment vertical="center" wrapText="1"/>
      <protection locked="0"/>
    </xf>
    <xf numFmtId="49" fontId="50" fillId="6" borderId="0" xfId="0" applyNumberFormat="1" applyFont="1" applyFill="1" applyAlignment="1" applyProtection="1">
      <alignment vertical="center" wrapText="1"/>
      <protection locked="0"/>
    </xf>
    <xf numFmtId="0" fontId="50" fillId="6" borderId="7" xfId="0" applyFont="1" applyFill="1" applyBorder="1" applyAlignment="1">
      <alignment vertical="center" wrapText="1"/>
    </xf>
    <xf numFmtId="0" fontId="171" fillId="0" borderId="8" xfId="0" applyFont="1" applyBorder="1" applyAlignment="1" applyProtection="1">
      <alignment vertical="center" wrapText="1"/>
      <protection locked="0"/>
    </xf>
    <xf numFmtId="49" fontId="171" fillId="0" borderId="24" xfId="0" applyNumberFormat="1" applyFont="1" applyBorder="1" applyAlignment="1" applyProtection="1">
      <alignment vertical="center" wrapText="1"/>
      <protection locked="0"/>
    </xf>
    <xf numFmtId="49" fontId="50" fillId="6" borderId="14" xfId="0" applyNumberFormat="1" applyFont="1" applyFill="1" applyBorder="1" applyAlignment="1">
      <alignment vertical="center" wrapText="1"/>
    </xf>
    <xf numFmtId="0" fontId="171" fillId="0" borderId="24" xfId="0" applyFont="1" applyBorder="1" applyAlignment="1" applyProtection="1">
      <alignment vertical="center" wrapText="1"/>
      <protection locked="0"/>
    </xf>
    <xf numFmtId="49" fontId="50" fillId="6" borderId="12" xfId="0" applyNumberFormat="1" applyFont="1" applyFill="1" applyBorder="1" applyAlignment="1">
      <alignment vertical="center" wrapText="1"/>
    </xf>
    <xf numFmtId="0" fontId="50" fillId="6" borderId="66" xfId="0" applyFont="1" applyFill="1" applyBorder="1" applyAlignment="1">
      <alignment vertical="center" wrapText="1"/>
    </xf>
    <xf numFmtId="0" fontId="171" fillId="0" borderId="49" xfId="0" applyFont="1" applyBorder="1" applyAlignment="1" applyProtection="1">
      <alignment vertical="center" wrapText="1"/>
      <protection locked="0"/>
    </xf>
    <xf numFmtId="0" fontId="50" fillId="6" borderId="32" xfId="0" applyFont="1" applyFill="1" applyBorder="1" applyAlignment="1">
      <alignment vertical="center" wrapText="1"/>
    </xf>
    <xf numFmtId="0" fontId="171" fillId="0" borderId="49" xfId="0" applyFont="1" applyBorder="1" applyProtection="1">
      <alignment vertical="center"/>
      <protection locked="0"/>
    </xf>
    <xf numFmtId="0" fontId="47" fillId="7" borderId="0" xfId="0" applyFont="1" applyFill="1" applyAlignment="1" applyProtection="1">
      <alignment vertical="center" wrapText="1"/>
      <protection locked="0"/>
    </xf>
    <xf numFmtId="49" fontId="47" fillId="7" borderId="0" xfId="0" applyNumberFormat="1" applyFont="1" applyFill="1" applyAlignment="1" applyProtection="1">
      <alignment vertical="center" wrapText="1"/>
      <protection locked="0"/>
    </xf>
    <xf numFmtId="0" fontId="55" fillId="6" borderId="0" xfId="0" applyFont="1" applyFill="1" applyAlignment="1" applyProtection="1">
      <alignment vertical="center" wrapText="1"/>
      <protection locked="0"/>
    </xf>
    <xf numFmtId="0" fontId="63" fillId="6" borderId="0" xfId="0" applyFont="1" applyFill="1">
      <alignment vertical="center"/>
    </xf>
    <xf numFmtId="0" fontId="208" fillId="7" borderId="0" xfId="0" applyFont="1" applyFill="1" applyAlignment="1" applyProtection="1">
      <alignment vertical="center" wrapText="1"/>
      <protection locked="0"/>
    </xf>
    <xf numFmtId="0" fontId="208" fillId="7" borderId="35" xfId="0" applyFont="1" applyFill="1" applyBorder="1" applyAlignment="1" applyProtection="1">
      <alignment vertical="center" wrapText="1"/>
      <protection locked="0"/>
    </xf>
    <xf numFmtId="0" fontId="228" fillId="7" borderId="0" xfId="0" applyFont="1" applyFill="1" applyAlignment="1" applyProtection="1">
      <alignment vertical="center" wrapText="1"/>
      <protection locked="0"/>
    </xf>
    <xf numFmtId="0" fontId="72" fillId="6" borderId="104" xfId="0" applyFont="1" applyFill="1" applyBorder="1">
      <alignment vertical="center"/>
    </xf>
    <xf numFmtId="0" fontId="55" fillId="6" borderId="16" xfId="0" applyFont="1" applyFill="1" applyBorder="1" applyAlignment="1">
      <alignment vertical="center" wrapText="1"/>
    </xf>
    <xf numFmtId="0" fontId="55" fillId="6" borderId="31" xfId="0" applyFont="1" applyFill="1" applyBorder="1" applyAlignment="1">
      <alignment vertical="center" wrapText="1"/>
    </xf>
    <xf numFmtId="0" fontId="55" fillId="6" borderId="82" xfId="0" applyFont="1" applyFill="1" applyBorder="1" applyAlignment="1">
      <alignment vertical="center" wrapText="1"/>
    </xf>
    <xf numFmtId="0" fontId="50" fillId="6" borderId="6" xfId="0" applyFont="1" applyFill="1" applyBorder="1" applyAlignment="1">
      <alignment vertical="center" wrapText="1"/>
    </xf>
    <xf numFmtId="49" fontId="50" fillId="6" borderId="62" xfId="0" applyNumberFormat="1" applyFont="1" applyFill="1" applyBorder="1" applyAlignment="1">
      <alignment vertical="center" wrapText="1"/>
    </xf>
    <xf numFmtId="0" fontId="50" fillId="6" borderId="10" xfId="0" applyFont="1" applyFill="1" applyBorder="1" applyAlignment="1">
      <alignment vertical="center" wrapText="1"/>
    </xf>
    <xf numFmtId="0" fontId="50" fillId="6" borderId="41" xfId="0" applyFont="1" applyFill="1" applyBorder="1" applyAlignment="1">
      <alignment vertical="center" wrapText="1"/>
    </xf>
    <xf numFmtId="49" fontId="50" fillId="6" borderId="24" xfId="0" applyNumberFormat="1" applyFont="1" applyFill="1" applyBorder="1" applyAlignment="1">
      <alignment vertical="center" wrapText="1"/>
    </xf>
    <xf numFmtId="0" fontId="50" fillId="6" borderId="23" xfId="0" applyFont="1" applyFill="1" applyBorder="1" applyAlignment="1">
      <alignment vertical="center" wrapText="1"/>
    </xf>
    <xf numFmtId="0" fontId="50" fillId="6" borderId="24" xfId="0" applyFont="1" applyFill="1" applyBorder="1" applyAlignment="1">
      <alignment vertical="center" wrapText="1"/>
    </xf>
    <xf numFmtId="0" fontId="50" fillId="0" borderId="24" xfId="0" applyFont="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6" borderId="25" xfId="0" applyFont="1" applyFill="1" applyBorder="1" applyAlignment="1">
      <alignment vertical="center" wrapText="1"/>
    </xf>
    <xf numFmtId="0" fontId="50" fillId="0" borderId="49" xfId="0" applyFont="1" applyBorder="1" applyAlignment="1" applyProtection="1">
      <alignment vertical="center" wrapText="1"/>
      <protection locked="0"/>
    </xf>
    <xf numFmtId="0" fontId="50" fillId="6" borderId="49" xfId="0" applyFont="1" applyFill="1" applyBorder="1" applyAlignment="1">
      <alignment vertical="center" wrapText="1"/>
    </xf>
    <xf numFmtId="0" fontId="163" fillId="6" borderId="1" xfId="12" applyFont="1" applyFill="1" applyBorder="1" applyAlignment="1">
      <alignment horizontal="left" vertical="center" wrapText="1"/>
    </xf>
    <xf numFmtId="0" fontId="162" fillId="0" borderId="0" xfId="12" applyAlignment="1" applyProtection="1">
      <alignment horizontal="left"/>
      <protection locked="0"/>
    </xf>
    <xf numFmtId="14" fontId="163" fillId="6" borderId="1" xfId="12" applyNumberFormat="1" applyFont="1" applyFill="1" applyBorder="1" applyAlignment="1">
      <alignment horizontal="left" vertical="center" wrapText="1"/>
    </xf>
    <xf numFmtId="0" fontId="162" fillId="6" borderId="1" xfId="12" applyFill="1" applyBorder="1" applyAlignment="1">
      <alignment horizontal="left" vertical="center"/>
    </xf>
    <xf numFmtId="0" fontId="163"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3" fillId="0" borderId="13" xfId="12" applyFont="1" applyBorder="1" applyAlignment="1" applyProtection="1">
      <alignment horizontal="left" vertical="center" wrapText="1"/>
      <protection locked="0"/>
    </xf>
    <xf numFmtId="0" fontId="162" fillId="0" borderId="1" xfId="12" applyBorder="1" applyAlignment="1" applyProtection="1">
      <alignment horizontal="left"/>
      <protection locked="0"/>
    </xf>
    <xf numFmtId="0" fontId="126" fillId="7" borderId="0" xfId="0" applyFont="1" applyFill="1">
      <alignment vertical="center"/>
    </xf>
    <xf numFmtId="0" fontId="103" fillId="7" borderId="0" xfId="0" applyFont="1" applyFill="1">
      <alignment vertical="center"/>
    </xf>
    <xf numFmtId="0" fontId="102"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9" fillId="6" borderId="1" xfId="0" applyFont="1" applyFill="1" applyBorder="1" applyAlignment="1">
      <alignment horizontal="left" vertical="center" wrapText="1"/>
    </xf>
    <xf numFmtId="10" fontId="109" fillId="6" borderId="1" xfId="0" applyNumberFormat="1" applyFont="1" applyFill="1" applyBorder="1" applyAlignment="1">
      <alignment horizontal="left" vertical="center"/>
    </xf>
    <xf numFmtId="9" fontId="109" fillId="6" borderId="1" xfId="0" applyNumberFormat="1" applyFont="1" applyFill="1" applyBorder="1" applyAlignment="1">
      <alignment horizontal="left" vertical="center"/>
    </xf>
    <xf numFmtId="0" fontId="109" fillId="6" borderId="13" xfId="0" applyFont="1" applyFill="1" applyBorder="1" applyAlignment="1">
      <alignment horizontal="left" vertical="center" wrapText="1"/>
    </xf>
    <xf numFmtId="9" fontId="109" fillId="6" borderId="13" xfId="0" applyNumberFormat="1" applyFont="1" applyFill="1" applyBorder="1" applyAlignment="1">
      <alignment horizontal="left" vertical="center"/>
    </xf>
    <xf numFmtId="0" fontId="102" fillId="6" borderId="5" xfId="0" applyFont="1" applyFill="1" applyBorder="1" applyAlignment="1">
      <alignment horizontal="left" vertical="center" wrapText="1"/>
    </xf>
    <xf numFmtId="0" fontId="109" fillId="6" borderId="46" xfId="0" applyFont="1" applyFill="1" applyBorder="1" applyAlignment="1">
      <alignment horizontal="left" vertical="center" wrapText="1"/>
    </xf>
    <xf numFmtId="0" fontId="109" fillId="6" borderId="3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5" xfId="0" applyFont="1" applyFill="1" applyBorder="1" applyAlignment="1">
      <alignment horizontal="left" vertical="center" wrapText="1"/>
    </xf>
    <xf numFmtId="0" fontId="109" fillId="6" borderId="54" xfId="0" applyFont="1" applyFill="1" applyBorder="1" applyAlignment="1">
      <alignment horizontal="left" vertical="center"/>
    </xf>
    <xf numFmtId="0" fontId="109" fillId="6" borderId="3" xfId="0" applyFont="1" applyFill="1" applyBorder="1" applyAlignment="1">
      <alignment horizontal="left" vertical="center" wrapText="1"/>
    </xf>
    <xf numFmtId="0" fontId="109" fillId="6" borderId="58"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35" xfId="0" applyFont="1" applyFill="1" applyBorder="1" applyAlignment="1">
      <alignment horizontal="left" vertical="center" wrapText="1"/>
    </xf>
    <xf numFmtId="0" fontId="109" fillId="6" borderId="4" xfId="0" applyFont="1" applyFill="1" applyBorder="1" applyAlignment="1">
      <alignment horizontal="left" vertical="center" wrapText="1"/>
    </xf>
    <xf numFmtId="0" fontId="109" fillId="6" borderId="60"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lignment horizontal="left" vertical="center"/>
    </xf>
    <xf numFmtId="9" fontId="50" fillId="6" borderId="24" xfId="0" applyNumberFormat="1" applyFont="1" applyFill="1" applyBorder="1" applyAlignment="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lignment horizontal="left" vertical="center"/>
    </xf>
    <xf numFmtId="0" fontId="51" fillId="0" borderId="24" xfId="0" applyFont="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lignment horizontal="left" vertical="center" wrapText="1"/>
    </xf>
    <xf numFmtId="0" fontId="50" fillId="6" borderId="41" xfId="0" applyFont="1" applyFill="1" applyBorder="1" applyAlignment="1">
      <alignment horizontal="left" vertical="center" wrapText="1"/>
    </xf>
    <xf numFmtId="10" fontId="50" fillId="6" borderId="1" xfId="0" applyNumberFormat="1" applyFont="1" applyFill="1" applyBorder="1" applyAlignment="1">
      <alignment horizontal="left" vertical="center"/>
    </xf>
    <xf numFmtId="0" fontId="50" fillId="6" borderId="24" xfId="0" applyFont="1" applyFill="1" applyBorder="1" applyAlignment="1">
      <alignment horizontal="left" vertical="center"/>
    </xf>
    <xf numFmtId="0" fontId="51" fillId="6" borderId="0" xfId="0" applyFont="1" applyFill="1" applyAlignment="1" applyProtection="1">
      <alignment horizontal="left" vertical="center"/>
      <protection locked="0"/>
    </xf>
    <xf numFmtId="0" fontId="116" fillId="0" borderId="24" xfId="0" applyFont="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Alignment="1" applyProtection="1">
      <alignment horizontal="left" vertical="center" wrapText="1"/>
      <protection locked="0"/>
    </xf>
    <xf numFmtId="0" fontId="50" fillId="18" borderId="33" xfId="0" applyFont="1" applyFill="1" applyBorder="1" applyAlignment="1">
      <alignment horizontal="left" vertical="center"/>
    </xf>
    <xf numFmtId="0" fontId="50" fillId="18" borderId="32" xfId="0" applyFont="1" applyFill="1" applyBorder="1" applyAlignment="1">
      <alignment horizontal="left" vertical="center" wrapText="1"/>
    </xf>
    <xf numFmtId="10" fontId="50" fillId="18" borderId="32" xfId="0" applyNumberFormat="1" applyFont="1" applyFill="1" applyBorder="1" applyAlignment="1">
      <alignment horizontal="left" vertical="center"/>
    </xf>
    <xf numFmtId="0" fontId="116" fillId="0" borderId="49" xfId="0" applyFont="1" applyBorder="1" applyAlignment="1" applyProtection="1">
      <alignment horizontal="left" vertical="center" wrapText="1"/>
      <protection locked="0"/>
    </xf>
    <xf numFmtId="177" fontId="57" fillId="6" borderId="2" xfId="0" applyNumberFormat="1" applyFont="1" applyFill="1" applyBorder="1" applyAlignment="1">
      <alignment horizontal="left" vertical="center" wrapText="1"/>
    </xf>
    <xf numFmtId="177" fontId="56" fillId="6" borderId="1" xfId="0" applyNumberFormat="1" applyFont="1" applyFill="1" applyBorder="1" applyAlignment="1">
      <alignment horizontal="left" vertical="center" wrapText="1"/>
    </xf>
    <xf numFmtId="177" fontId="56" fillId="0" borderId="1" xfId="0" applyNumberFormat="1" applyFont="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177" fontId="57" fillId="6" borderId="1" xfId="0" applyNumberFormat="1" applyFont="1" applyFill="1" applyBorder="1" applyAlignment="1">
      <alignment horizontal="left" vertical="center" wrapText="1"/>
    </xf>
    <xf numFmtId="177" fontId="57" fillId="6" borderId="32" xfId="0" applyNumberFormat="1" applyFont="1" applyFill="1" applyBorder="1" applyAlignment="1">
      <alignment horizontal="left" vertical="center" wrapText="1"/>
    </xf>
    <xf numFmtId="10" fontId="56" fillId="6" borderId="32" xfId="0" applyNumberFormat="1" applyFont="1" applyFill="1" applyBorder="1" applyAlignment="1">
      <alignment horizontal="left" vertical="center" wrapText="1"/>
    </xf>
    <xf numFmtId="0" fontId="56" fillId="0" borderId="1" xfId="0" applyFont="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Border="1" applyAlignment="1" applyProtection="1">
      <alignment horizontal="left" vertical="center" wrapText="1"/>
      <protection locked="0"/>
    </xf>
    <xf numFmtId="9" fontId="47" fillId="6" borderId="0" xfId="0" applyNumberFormat="1" applyFont="1" applyFill="1" applyAlignment="1">
      <alignment horizontal="left" vertical="center"/>
    </xf>
    <xf numFmtId="10" fontId="56" fillId="6" borderId="1" xfId="0" applyNumberFormat="1" applyFont="1" applyFill="1" applyBorder="1" applyAlignment="1">
      <alignment horizontal="left" vertical="center" wrapText="1"/>
    </xf>
    <xf numFmtId="190" fontId="56" fillId="6" borderId="1" xfId="0" applyNumberFormat="1" applyFont="1" applyFill="1" applyBorder="1" applyAlignment="1">
      <alignment horizontal="left" vertical="center" wrapText="1"/>
    </xf>
    <xf numFmtId="10" fontId="55" fillId="6" borderId="5" xfId="0" applyNumberFormat="1" applyFont="1" applyFill="1" applyBorder="1" applyAlignment="1">
      <alignment horizontal="left" vertical="center" wrapText="1"/>
    </xf>
    <xf numFmtId="181" fontId="57" fillId="6" borderId="1"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56" fillId="6" borderId="32" xfId="0" applyFont="1" applyFill="1" applyBorder="1" applyAlignment="1">
      <alignment horizontal="left" vertical="center" wrapText="1"/>
    </xf>
    <xf numFmtId="0" fontId="56" fillId="6" borderId="5" xfId="0" applyFont="1" applyFill="1" applyBorder="1" applyAlignment="1">
      <alignment horizontal="left" vertical="center" wrapText="1"/>
    </xf>
    <xf numFmtId="190" fontId="56" fillId="0" borderId="1" xfId="0" applyNumberFormat="1" applyFont="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128" fillId="6" borderId="5"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48" xfId="0" applyFont="1" applyFill="1" applyBorder="1" applyAlignment="1">
      <alignment horizontal="left" vertical="center" wrapText="1"/>
    </xf>
    <xf numFmtId="0" fontId="128" fillId="6" borderId="33" xfId="0" applyFont="1" applyFill="1" applyBorder="1" applyAlignment="1">
      <alignment horizontal="left" vertical="center" wrapText="1"/>
    </xf>
    <xf numFmtId="0" fontId="107" fillId="6" borderId="33" xfId="0" applyFont="1" applyFill="1" applyBorder="1" applyAlignment="1">
      <alignment horizontal="left" vertical="center" wrapText="1"/>
    </xf>
    <xf numFmtId="0" fontId="107" fillId="6" borderId="68" xfId="0" applyFont="1" applyFill="1" applyBorder="1" applyAlignment="1">
      <alignment horizontal="left" vertical="center" wrapText="1"/>
    </xf>
    <xf numFmtId="0" fontId="49" fillId="6" borderId="24" xfId="0" applyFont="1" applyFill="1" applyBorder="1" applyAlignment="1">
      <alignment horizontal="left" vertical="center"/>
    </xf>
    <xf numFmtId="0" fontId="47" fillId="18" borderId="24" xfId="0" applyFont="1" applyFill="1" applyBorder="1" applyAlignment="1">
      <alignment horizontal="left" vertical="center"/>
    </xf>
    <xf numFmtId="0" fontId="47" fillId="6" borderId="24" xfId="0" applyFont="1" applyFill="1" applyBorder="1" applyAlignment="1">
      <alignment horizontal="left" vertical="center"/>
    </xf>
    <xf numFmtId="0" fontId="55" fillId="6" borderId="24" xfId="0" applyFont="1" applyFill="1" applyBorder="1" applyAlignment="1">
      <alignment horizontal="left" vertical="center"/>
    </xf>
    <xf numFmtId="0" fontId="47" fillId="6" borderId="49" xfId="0" applyFont="1" applyFill="1" applyBorder="1" applyAlignment="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7"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lignment horizontal="left" vertical="center"/>
    </xf>
    <xf numFmtId="0" fontId="101" fillId="6" borderId="24" xfId="0" applyFont="1" applyFill="1" applyBorder="1" applyAlignment="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Font="1" applyFill="1" applyBorder="1" applyAlignment="1">
      <alignment vertical="center" wrapText="1"/>
    </xf>
    <xf numFmtId="0" fontId="50" fillId="16" borderId="78" xfId="0" applyFont="1" applyFill="1" applyBorder="1" applyAlignment="1">
      <alignment vertical="center" wrapText="1"/>
    </xf>
    <xf numFmtId="0" fontId="50" fillId="6" borderId="5" xfId="0" applyFont="1" applyFill="1" applyBorder="1" applyAlignment="1">
      <alignment vertical="center" wrapText="1"/>
    </xf>
    <xf numFmtId="0" fontId="50" fillId="5" borderId="23"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lignment vertical="center" wrapText="1"/>
    </xf>
    <xf numFmtId="183" fontId="171" fillId="0" borderId="24" xfId="0" applyNumberFormat="1" applyFont="1" applyBorder="1" applyAlignment="1" applyProtection="1">
      <alignment vertical="center" shrinkToFit="1"/>
      <protection locked="0"/>
    </xf>
    <xf numFmtId="0" fontId="50" fillId="6" borderId="16" xfId="0" applyFont="1" applyFill="1" applyBorder="1" applyAlignment="1">
      <alignment vertical="center" wrapText="1"/>
    </xf>
    <xf numFmtId="183" fontId="171" fillId="0" borderId="21" xfId="0" applyNumberFormat="1" applyFont="1" applyBorder="1" applyAlignment="1" applyProtection="1">
      <alignment vertical="center" shrinkToFit="1"/>
      <protection locked="0"/>
    </xf>
    <xf numFmtId="0" fontId="171" fillId="0" borderId="48" xfId="0" applyFont="1" applyBorder="1" applyAlignment="1" applyProtection="1">
      <alignment vertical="center" wrapText="1"/>
      <protection locked="0"/>
    </xf>
    <xf numFmtId="0" fontId="50" fillId="6" borderId="89" xfId="0" applyFont="1" applyFill="1" applyBorder="1" applyAlignment="1">
      <alignment vertical="center" wrapText="1"/>
    </xf>
    <xf numFmtId="0" fontId="50" fillId="6" borderId="91" xfId="0" applyFont="1" applyFill="1" applyBorder="1" applyAlignment="1">
      <alignment vertical="center" wrapText="1"/>
    </xf>
    <xf numFmtId="0" fontId="171" fillId="0" borderId="79" xfId="0" applyFont="1" applyBorder="1" applyAlignment="1" applyProtection="1">
      <alignment vertical="center" wrapText="1"/>
      <protection locked="0"/>
    </xf>
    <xf numFmtId="0" fontId="171" fillId="0" borderId="90" xfId="0" applyFont="1" applyBorder="1" applyAlignment="1" applyProtection="1">
      <alignment vertical="center" wrapText="1"/>
      <protection locked="0"/>
    </xf>
    <xf numFmtId="0" fontId="50" fillId="6" borderId="27" xfId="0" applyFont="1" applyFill="1" applyBorder="1" applyAlignment="1">
      <alignment horizontal="left" vertical="center"/>
    </xf>
    <xf numFmtId="0" fontId="50" fillId="0" borderId="96" xfId="0" applyFont="1" applyBorder="1" applyAlignment="1" applyProtection="1">
      <alignment horizontal="left" vertical="center" wrapText="1"/>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41" xfId="0" applyFont="1" applyFill="1" applyBorder="1">
      <alignment vertical="center"/>
    </xf>
    <xf numFmtId="0" fontId="47" fillId="6" borderId="61" xfId="0" applyFont="1" applyFill="1" applyBorder="1" applyAlignment="1">
      <alignment horizontal="center" vertical="center"/>
    </xf>
    <xf numFmtId="0" fontId="47" fillId="6" borderId="38" xfId="0" applyFont="1" applyFill="1" applyBorder="1">
      <alignment vertical="center"/>
    </xf>
    <xf numFmtId="0" fontId="47" fillId="0" borderId="49" xfId="0" applyFont="1" applyBorder="1" applyAlignment="1" applyProtection="1">
      <alignment horizontal="center" vertical="center"/>
      <protection locked="0"/>
    </xf>
    <xf numFmtId="0" fontId="50" fillId="6" borderId="82" xfId="0" applyFont="1" applyFill="1" applyBorder="1" applyAlignment="1">
      <alignment horizontal="center" vertical="center"/>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Alignment="1" applyProtection="1">
      <alignment horizontal="center"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lignment vertical="center" wrapText="1"/>
    </xf>
    <xf numFmtId="0" fontId="50" fillId="12" borderId="60" xfId="0" applyFont="1" applyFill="1" applyBorder="1" applyAlignment="1">
      <alignment horizontal="center" vertical="center" wrapText="1"/>
    </xf>
    <xf numFmtId="0" fontId="50" fillId="12" borderId="7" xfId="0" applyFont="1" applyFill="1" applyBorder="1" applyAlignment="1">
      <alignment vertical="center" wrapText="1"/>
    </xf>
    <xf numFmtId="0" fontId="50" fillId="12" borderId="0" xfId="0" applyFont="1" applyFill="1" applyAlignment="1">
      <alignment vertical="center" wrapText="1"/>
    </xf>
    <xf numFmtId="0" fontId="50" fillId="12" borderId="0" xfId="0" applyFont="1" applyFill="1" applyProtection="1">
      <alignment vertical="center"/>
      <protection locked="0"/>
    </xf>
    <xf numFmtId="0" fontId="50" fillId="12" borderId="0" xfId="0" applyFont="1" applyFill="1" applyAlignment="1" applyProtection="1">
      <alignment horizontal="center" vertical="center"/>
      <protection locked="0"/>
    </xf>
    <xf numFmtId="179" fontId="50" fillId="12" borderId="0" xfId="0" applyNumberFormat="1" applyFont="1" applyFill="1" applyProtection="1">
      <alignment vertical="center"/>
      <protection locked="0"/>
    </xf>
    <xf numFmtId="179" fontId="47" fillId="12" borderId="0" xfId="0" applyNumberFormat="1" applyFont="1" applyFill="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Protection="1">
      <alignment vertical="center"/>
      <protection locked="0"/>
    </xf>
    <xf numFmtId="0" fontId="50" fillId="12" borderId="0" xfId="0" applyFont="1" applyFill="1">
      <alignment vertical="center"/>
    </xf>
    <xf numFmtId="181" fontId="101" fillId="12" borderId="0" xfId="0" applyNumberFormat="1" applyFont="1" applyFill="1" applyAlignment="1">
      <alignment horizontal="center" vertical="center"/>
    </xf>
    <xf numFmtId="179" fontId="103" fillId="12" borderId="0" xfId="0" applyNumberFormat="1" applyFont="1" applyFill="1" applyProtection="1">
      <alignment vertical="center"/>
      <protection locked="0"/>
    </xf>
    <xf numFmtId="0" fontId="47" fillId="12" borderId="0" xfId="0" applyFont="1" applyFill="1">
      <alignment vertical="center"/>
    </xf>
    <xf numFmtId="0" fontId="163" fillId="12" borderId="0" xfId="12" applyFont="1" applyFill="1" applyAlignment="1" applyProtection="1">
      <alignment horizontal="left" vertical="center" wrapText="1"/>
      <protection locked="0"/>
    </xf>
    <xf numFmtId="0" fontId="162" fillId="12" borderId="0" xfId="12" applyFill="1" applyAlignment="1" applyProtection="1">
      <alignment horizontal="left"/>
      <protection locked="0"/>
    </xf>
    <xf numFmtId="0" fontId="180"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66" fillId="6" borderId="0" xfId="0" applyFont="1" applyFill="1" applyProtection="1">
      <alignment vertical="center"/>
      <protection locked="0"/>
    </xf>
    <xf numFmtId="49" fontId="65" fillId="6" borderId="0" xfId="0" applyNumberFormat="1" applyFont="1" applyFill="1" applyAlignment="1" applyProtection="1">
      <alignment horizontal="center"/>
      <protection locked="0"/>
    </xf>
    <xf numFmtId="49" fontId="65"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center"/>
      <protection locked="0"/>
    </xf>
    <xf numFmtId="49" fontId="57"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left" vertical="center"/>
      <protection locked="0"/>
    </xf>
    <xf numFmtId="0" fontId="56" fillId="6" borderId="0" xfId="0" applyFont="1" applyFill="1" applyAlignment="1" applyProtection="1">
      <alignment horizontal="left" vertical="center"/>
      <protection locked="0"/>
    </xf>
    <xf numFmtId="179" fontId="63" fillId="6" borderId="0" xfId="0" applyNumberFormat="1" applyFont="1" applyFill="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142" fillId="6" borderId="0" xfId="0" applyFont="1" applyFill="1" applyProtection="1">
      <alignment vertical="center"/>
      <protection locked="0"/>
    </xf>
    <xf numFmtId="177" fontId="57" fillId="7" borderId="0" xfId="0" applyNumberFormat="1" applyFont="1" applyFill="1" applyAlignment="1" applyProtection="1">
      <protection locked="0"/>
    </xf>
    <xf numFmtId="0" fontId="101" fillId="12" borderId="0" xfId="0" applyFont="1" applyFill="1">
      <alignment vertical="center"/>
    </xf>
    <xf numFmtId="0" fontId="207" fillId="12" borderId="0" xfId="0" applyFont="1" applyFill="1">
      <alignment vertical="center"/>
    </xf>
    <xf numFmtId="0" fontId="101" fillId="12" borderId="47" xfId="0" applyFont="1" applyFill="1" applyBorder="1">
      <alignment vertical="center"/>
    </xf>
    <xf numFmtId="0" fontId="101" fillId="12" borderId="56" xfId="0" applyFont="1" applyFill="1" applyBorder="1">
      <alignment vertical="center"/>
    </xf>
    <xf numFmtId="0" fontId="60" fillId="12" borderId="18" xfId="1" applyFont="1" applyFill="1" applyBorder="1">
      <alignment vertical="center"/>
    </xf>
    <xf numFmtId="181" fontId="60" fillId="12" borderId="0" xfId="0" applyNumberFormat="1" applyFont="1" applyFill="1" applyProtection="1">
      <alignment vertical="center"/>
      <protection locked="0"/>
    </xf>
    <xf numFmtId="0" fontId="60" fillId="12" borderId="0" xfId="0" applyFont="1" applyFill="1" applyAlignment="1" applyProtection="1">
      <alignment horizontal="center" vertical="center"/>
      <protection locked="0"/>
    </xf>
    <xf numFmtId="181" fontId="47" fillId="12" borderId="0" xfId="0" applyNumberFormat="1" applyFont="1" applyFill="1" applyAlignment="1" applyProtection="1">
      <alignment vertical="center" wrapText="1"/>
      <protection locked="0"/>
    </xf>
    <xf numFmtId="0" fontId="54" fillId="12" borderId="0" xfId="0" applyFont="1" applyFill="1" applyAlignment="1" applyProtection="1">
      <alignment horizontal="center" vertical="center"/>
      <protection locked="0"/>
    </xf>
    <xf numFmtId="181" fontId="47"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70"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wrapText="1"/>
      <protection locked="0"/>
    </xf>
    <xf numFmtId="181" fontId="71" fillId="12" borderId="0" xfId="0" applyNumberFormat="1" applyFont="1" applyFill="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181" fontId="54" fillId="12" borderId="0" xfId="0" applyNumberFormat="1" applyFont="1" applyFill="1" applyAlignment="1" applyProtection="1">
      <alignment vertical="center" wrapText="1"/>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8"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8" fontId="71" fillId="12" borderId="0" xfId="0" applyNumberFormat="1" applyFont="1" applyFill="1" applyAlignment="1" applyProtection="1">
      <alignment horizontal="center" vertical="center"/>
      <protection locked="0"/>
    </xf>
    <xf numFmtId="181" fontId="65" fillId="12" borderId="0" xfId="0" applyNumberFormat="1" applyFont="1" applyFill="1" applyProtection="1">
      <alignment vertical="center"/>
      <protection locked="0"/>
    </xf>
    <xf numFmtId="0" fontId="65" fillId="12" borderId="0" xfId="0" applyFont="1" applyFill="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Font="1" applyFill="1" applyAlignment="1" applyProtection="1">
      <alignment horizontal="center" vertical="center" wrapText="1"/>
      <protection locked="0"/>
    </xf>
    <xf numFmtId="0" fontId="71" fillId="12" borderId="0" xfId="0" applyFont="1" applyFill="1" applyAlignment="1" applyProtection="1">
      <alignment horizontal="center" vertical="center" wrapText="1"/>
      <protection locked="0"/>
    </xf>
    <xf numFmtId="0" fontId="54"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Alignment="1" applyProtection="1">
      <alignment horizontal="center" vertical="center" wrapText="1"/>
      <protection locked="0"/>
    </xf>
    <xf numFmtId="0" fontId="54" fillId="12" borderId="0" xfId="0" applyFont="1" applyFill="1" applyAlignment="1" applyProtection="1">
      <protection locked="0"/>
    </xf>
    <xf numFmtId="0" fontId="47" fillId="0" borderId="74" xfId="0" applyFont="1" applyBorder="1" applyAlignment="1">
      <alignment horizontal="center" vertical="center" wrapText="1"/>
    </xf>
    <xf numFmtId="0" fontId="47" fillId="0" borderId="76" xfId="0" applyFont="1" applyBorder="1" applyAlignment="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101" fillId="12" borderId="0" xfId="0" applyFont="1" applyFill="1" applyProtection="1">
      <alignment vertical="center"/>
      <protection locked="0"/>
    </xf>
    <xf numFmtId="0" fontId="47"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10" fontId="56" fillId="6" borderId="61" xfId="8" applyNumberFormat="1" applyFont="1" applyFill="1" applyBorder="1" applyAlignment="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127" fillId="12" borderId="0" xfId="0" applyFont="1" applyFill="1" applyProtection="1">
      <alignment vertical="center"/>
      <protection locked="0"/>
    </xf>
    <xf numFmtId="0" fontId="50" fillId="0" borderId="3" xfId="0" applyFont="1" applyBorder="1" applyProtection="1">
      <alignment vertical="center"/>
      <protection locked="0"/>
    </xf>
    <xf numFmtId="0" fontId="47" fillId="0" borderId="22" xfId="0" applyFont="1" applyBorder="1" applyProtection="1">
      <alignment vertical="center"/>
      <protection locked="0"/>
    </xf>
    <xf numFmtId="0" fontId="47" fillId="0" borderId="61" xfId="0" applyFont="1" applyBorder="1" applyProtection="1">
      <alignment vertical="center"/>
      <protection locked="0"/>
    </xf>
    <xf numFmtId="0" fontId="126" fillId="12" borderId="0" xfId="0" applyFont="1" applyFill="1">
      <alignment vertical="center"/>
    </xf>
    <xf numFmtId="0" fontId="103" fillId="12" borderId="0" xfId="0" applyFont="1" applyFill="1">
      <alignment vertical="center"/>
    </xf>
    <xf numFmtId="0" fontId="243" fillId="12" borderId="0" xfId="0" applyFont="1" applyFill="1" applyAlignment="1">
      <alignment horizontal="left" vertical="center"/>
    </xf>
    <xf numFmtId="0" fontId="103" fillId="12" borderId="0" xfId="0" applyFont="1" applyFill="1" applyAlignment="1">
      <alignment horizontal="left" vertical="center"/>
    </xf>
    <xf numFmtId="0" fontId="116" fillId="12" borderId="0" xfId="0" applyFont="1" applyFill="1">
      <alignment vertical="center"/>
    </xf>
    <xf numFmtId="0" fontId="242" fillId="12" borderId="0" xfId="0" applyFont="1" applyFill="1">
      <alignment vertical="center"/>
    </xf>
    <xf numFmtId="0" fontId="126" fillId="12" borderId="0" xfId="0" applyFont="1" applyFill="1" applyAlignment="1">
      <alignment horizontal="left" vertical="center"/>
    </xf>
    <xf numFmtId="0" fontId="48" fillId="12" borderId="0" xfId="1" applyFont="1" applyFill="1">
      <alignment vertical="center"/>
    </xf>
    <xf numFmtId="0" fontId="48" fillId="6" borderId="0" xfId="1" applyFont="1" applyFill="1" applyAlignment="1">
      <alignment horizontal="center" vertical="center"/>
    </xf>
    <xf numFmtId="49" fontId="142" fillId="6" borderId="0" xfId="0" applyNumberFormat="1" applyFont="1" applyFill="1" applyAlignment="1" applyProtection="1">
      <alignment horizontal="left" vertical="center"/>
      <protection locked="0"/>
    </xf>
    <xf numFmtId="0" fontId="105" fillId="6" borderId="1" xfId="0" applyFont="1" applyFill="1" applyBorder="1" applyAlignment="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Border="1" applyProtection="1">
      <alignment vertical="center"/>
      <protection locked="0"/>
    </xf>
    <xf numFmtId="0" fontId="47" fillId="5" borderId="11" xfId="0" applyFont="1" applyFill="1" applyBorder="1" applyAlignment="1" applyProtection="1">
      <alignment vertical="center" wrapText="1"/>
      <protection locked="0"/>
    </xf>
    <xf numFmtId="0" fontId="132" fillId="6" borderId="1" xfId="2" applyFont="1" applyFill="1" applyBorder="1" applyAlignment="1">
      <alignment horizontal="center" wrapText="1"/>
    </xf>
    <xf numFmtId="194" fontId="160" fillId="6" borderId="1" xfId="2" applyNumberFormat="1"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4" fillId="6" borderId="1" xfId="2" applyNumberFormat="1" applyFont="1" applyFill="1" applyBorder="1" applyAlignment="1">
      <alignment horizontal="center"/>
    </xf>
    <xf numFmtId="0" fontId="98" fillId="0" borderId="0" xfId="0" applyFont="1" applyAlignment="1"/>
    <xf numFmtId="49" fontId="67" fillId="6" borderId="60" xfId="4" applyNumberFormat="1" applyFont="1" applyFill="1" applyBorder="1"/>
    <xf numFmtId="0" fontId="66" fillId="6" borderId="0" xfId="4" applyFont="1" applyFill="1" applyAlignment="1">
      <alignment horizontal="center" vertical="center"/>
    </xf>
    <xf numFmtId="49" fontId="61" fillId="6" borderId="0" xfId="4" applyNumberFormat="1" applyFont="1" applyFill="1" applyAlignment="1">
      <alignment horizontal="center"/>
    </xf>
    <xf numFmtId="0" fontId="61" fillId="6" borderId="0" xfId="4" applyFont="1" applyFill="1" applyAlignment="1">
      <alignment horizontal="center"/>
    </xf>
    <xf numFmtId="0" fontId="61" fillId="0" borderId="0" xfId="4" applyFont="1" applyAlignment="1" applyProtection="1">
      <alignment horizontal="center"/>
      <protection locked="0"/>
    </xf>
    <xf numFmtId="0" fontId="6" fillId="0" borderId="0" xfId="4" applyFont="1" applyAlignment="1" applyProtection="1">
      <alignment horizontal="left"/>
      <protection locked="0"/>
    </xf>
    <xf numFmtId="0" fontId="245"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6" fillId="0" borderId="0" xfId="4" applyFont="1" applyAlignment="1">
      <alignment horizontal="left"/>
    </xf>
    <xf numFmtId="185" fontId="55" fillId="6" borderId="1" xfId="4" applyNumberFormat="1" applyFont="1" applyFill="1" applyBorder="1" applyAlignment="1">
      <alignment horizontal="right" vertical="center"/>
    </xf>
    <xf numFmtId="0" fontId="56" fillId="6" borderId="0" xfId="4" applyFont="1" applyFill="1" applyAlignment="1">
      <alignment vertical="center"/>
    </xf>
    <xf numFmtId="49" fontId="56" fillId="6" borderId="0" xfId="4" applyNumberFormat="1" applyFont="1" applyFill="1"/>
    <xf numFmtId="49" fontId="57" fillId="6" borderId="0" xfId="4" applyNumberFormat="1" applyFont="1" applyFill="1"/>
    <xf numFmtId="49" fontId="57" fillId="0" borderId="0" xfId="4" applyNumberFormat="1" applyFont="1" applyProtection="1">
      <protection locked="0"/>
    </xf>
    <xf numFmtId="0" fontId="22"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Border="1" applyAlignment="1" applyProtection="1">
      <alignment horizontal="left" vertical="center"/>
      <protection locked="0"/>
    </xf>
    <xf numFmtId="0" fontId="57" fillId="0" borderId="24" xfId="4" applyFont="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2" fillId="0" borderId="0" xfId="4" applyFont="1" applyAlignment="1">
      <alignment horizontal="left"/>
    </xf>
    <xf numFmtId="0" fontId="57" fillId="6" borderId="13" xfId="1" applyFont="1" applyFill="1" applyBorder="1">
      <alignment vertical="center"/>
    </xf>
    <xf numFmtId="0" fontId="55" fillId="6" borderId="13" xfId="4" applyFont="1" applyFill="1" applyBorder="1" applyAlignment="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2" fillId="6" borderId="1" xfId="4" applyFont="1" applyFill="1" applyBorder="1" applyAlignment="1">
      <alignment vertical="center"/>
    </xf>
    <xf numFmtId="0" fontId="56" fillId="0" borderId="1" xfId="4" applyFont="1" applyBorder="1" applyAlignment="1" applyProtection="1">
      <alignment horizontal="left" vertical="center"/>
      <protection locked="0"/>
    </xf>
    <xf numFmtId="0" fontId="56" fillId="0" borderId="13" xfId="4" applyFont="1" applyBorder="1" applyAlignment="1" applyProtection="1">
      <alignment horizontal="left" vertical="center"/>
      <protection locked="0"/>
    </xf>
    <xf numFmtId="0" fontId="56" fillId="0" borderId="61" xfId="4" applyFont="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3" fillId="6" borderId="0" xfId="1" applyFont="1" applyFill="1">
      <alignment vertical="center"/>
    </xf>
    <xf numFmtId="0" fontId="50" fillId="0" borderId="32" xfId="4" applyFont="1" applyBorder="1" applyAlignment="1" applyProtection="1">
      <alignment horizontal="left" vertical="center"/>
      <protection locked="0"/>
    </xf>
    <xf numFmtId="0" fontId="22" fillId="6" borderId="58" xfId="4" applyFont="1" applyFill="1" applyBorder="1" applyAlignment="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5"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5" fontId="57" fillId="6" borderId="71" xfId="4" applyNumberFormat="1" applyFont="1" applyFill="1" applyBorder="1" applyAlignment="1">
      <alignment horizontal="left" vertical="center"/>
    </xf>
    <xf numFmtId="185" fontId="57" fillId="0" borderId="0" xfId="4" applyNumberFormat="1" applyFont="1" applyAlignment="1" applyProtection="1">
      <alignment horizontal="left" vertical="center"/>
      <protection locked="0"/>
    </xf>
    <xf numFmtId="0" fontId="56" fillId="0" borderId="5" xfId="4" applyFont="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177" fontId="56" fillId="0" borderId="1" xfId="4" applyNumberFormat="1"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7" fillId="6" borderId="23" xfId="4" applyFont="1" applyFill="1" applyBorder="1" applyAlignment="1">
      <alignment horizontal="left" vertical="center"/>
    </xf>
    <xf numFmtId="185"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Alignment="1" applyProtection="1">
      <alignment horizontal="left" vertical="center"/>
      <protection locked="0"/>
    </xf>
    <xf numFmtId="9" fontId="57" fillId="0" borderId="1" xfId="4" applyNumberFormat="1" applyFont="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5"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2" fillId="6" borderId="3" xfId="4" applyFont="1" applyFill="1" applyBorder="1" applyAlignment="1">
      <alignment horizontal="right" vertical="center"/>
    </xf>
    <xf numFmtId="176" fontId="56" fillId="0" borderId="1" xfId="4" applyNumberFormat="1" applyFont="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Border="1" applyAlignment="1" applyProtection="1">
      <alignment horizontal="left" vertical="center"/>
      <protection locked="0"/>
    </xf>
    <xf numFmtId="185" fontId="56" fillId="0" borderId="1" xfId="4" applyNumberFormat="1" applyFont="1" applyBorder="1" applyAlignment="1" applyProtection="1">
      <alignment horizontal="left" vertical="center"/>
      <protection locked="0"/>
    </xf>
    <xf numFmtId="181" fontId="56" fillId="0" borderId="1" xfId="4" applyNumberFormat="1" applyFont="1" applyBorder="1" applyAlignment="1" applyProtection="1">
      <alignment horizontal="left" vertical="center"/>
      <protection locked="0"/>
    </xf>
    <xf numFmtId="0" fontId="57" fillId="6" borderId="25" xfId="4" applyFont="1" applyFill="1" applyBorder="1" applyAlignment="1">
      <alignment horizontal="left" vertical="center"/>
    </xf>
    <xf numFmtId="185" fontId="57" fillId="6" borderId="32" xfId="4" applyNumberFormat="1" applyFont="1" applyFill="1" applyBorder="1" applyAlignment="1">
      <alignment horizontal="left" vertical="center"/>
    </xf>
    <xf numFmtId="181" fontId="57" fillId="0" borderId="32" xfId="4" applyNumberFormat="1" applyFont="1" applyBorder="1" applyAlignment="1" applyProtection="1">
      <alignment horizontal="left" vertical="center"/>
      <protection locked="0"/>
    </xf>
    <xf numFmtId="0" fontId="57" fillId="6" borderId="49" xfId="4" applyFont="1" applyFill="1" applyBorder="1" applyAlignment="1">
      <alignment vertical="center"/>
    </xf>
    <xf numFmtId="185" fontId="57" fillId="6" borderId="60" xfId="4" applyNumberFormat="1" applyFont="1" applyFill="1" applyBorder="1" applyAlignment="1">
      <alignment horizontal="left" vertical="center"/>
    </xf>
    <xf numFmtId="181" fontId="57" fillId="0" borderId="60" xfId="4" applyNumberFormat="1" applyFont="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Border="1" applyAlignment="1" applyProtection="1">
      <alignment horizontal="left" vertical="center"/>
      <protection locked="0"/>
    </xf>
    <xf numFmtId="0" fontId="246" fillId="0" borderId="5" xfId="4" applyFont="1" applyBorder="1" applyAlignment="1" applyProtection="1">
      <alignment horizontal="left" vertical="center"/>
      <protection locked="0"/>
    </xf>
    <xf numFmtId="0" fontId="246" fillId="0" borderId="158" xfId="4" applyFont="1" applyBorder="1" applyAlignment="1" applyProtection="1">
      <alignment horizontal="left" vertical="center"/>
      <protection locked="0"/>
    </xf>
    <xf numFmtId="0" fontId="246" fillId="0" borderId="3" xfId="4" applyFont="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5" fontId="56" fillId="6" borderId="5" xfId="4" applyNumberFormat="1" applyFont="1" applyFill="1" applyBorder="1" applyAlignment="1">
      <alignment horizontal="left" vertical="center"/>
    </xf>
    <xf numFmtId="185" fontId="56" fillId="6" borderId="158" xfId="4" applyNumberFormat="1" applyFont="1" applyFill="1" applyBorder="1" applyAlignment="1">
      <alignment horizontal="left" vertical="center"/>
    </xf>
    <xf numFmtId="185"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5" fontId="56" fillId="6" borderId="5" xfId="4" applyNumberFormat="1" applyFont="1" applyFill="1" applyBorder="1" applyAlignment="1">
      <alignment horizontal="right" vertical="center"/>
    </xf>
    <xf numFmtId="181" fontId="56" fillId="0" borderId="158" xfId="4" applyNumberFormat="1" applyFont="1" applyBorder="1" applyAlignment="1" applyProtection="1">
      <alignment horizontal="right" vertical="center"/>
      <protection locked="0"/>
    </xf>
    <xf numFmtId="181" fontId="56" fillId="0" borderId="3" xfId="4" applyNumberFormat="1" applyFont="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Border="1" applyAlignment="1" applyProtection="1">
      <alignment horizontal="left" vertical="center"/>
      <protection locked="0"/>
    </xf>
    <xf numFmtId="0" fontId="56" fillId="0" borderId="0" xfId="4" applyFont="1" applyAlignment="1" applyProtection="1">
      <alignment horizontal="right"/>
      <protection locked="0"/>
    </xf>
    <xf numFmtId="0" fontId="22"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181" fontId="56" fillId="6" borderId="5" xfId="4" applyNumberFormat="1" applyFont="1" applyFill="1" applyBorder="1" applyAlignment="1">
      <alignment horizontal="right" vertical="center"/>
    </xf>
    <xf numFmtId="0" fontId="22"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Border="1" applyAlignment="1" applyProtection="1">
      <alignment horizontal="left" vertical="center"/>
      <protection locked="0"/>
    </xf>
    <xf numFmtId="9" fontId="105"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2" fillId="6" borderId="74" xfId="4" applyFont="1" applyFill="1" applyBorder="1" applyAlignment="1" applyProtection="1">
      <alignment vertical="center"/>
      <protection locked="0"/>
    </xf>
    <xf numFmtId="0" fontId="39" fillId="0" borderId="74" xfId="4" applyBorder="1" applyAlignment="1" applyProtection="1">
      <alignment horizontal="left" vertical="center"/>
      <protection locked="0"/>
    </xf>
    <xf numFmtId="9" fontId="56" fillId="0" borderId="32" xfId="4" applyNumberFormat="1" applyFont="1" applyBorder="1" applyAlignment="1" applyProtection="1">
      <alignment horizontal="left" vertical="center"/>
      <protection locked="0"/>
    </xf>
    <xf numFmtId="181" fontId="102" fillId="0" borderId="32" xfId="4" applyNumberFormat="1" applyFont="1" applyBorder="1" applyAlignment="1" applyProtection="1">
      <alignment horizontal="left" vertical="center"/>
      <protection locked="0"/>
    </xf>
    <xf numFmtId="0" fontId="138" fillId="0" borderId="76" xfId="4" applyFont="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Border="1" applyAlignment="1" applyProtection="1">
      <alignment horizontal="left" vertical="center"/>
      <protection locked="0"/>
    </xf>
    <xf numFmtId="10" fontId="56" fillId="0" borderId="158" xfId="4" applyNumberFormat="1" applyFont="1" applyBorder="1" applyAlignment="1" applyProtection="1">
      <alignment horizontal="left" vertical="center"/>
      <protection locked="0"/>
    </xf>
    <xf numFmtId="10" fontId="56" fillId="0" borderId="3" xfId="4" applyNumberFormat="1" applyFont="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Border="1" applyAlignment="1" applyProtection="1">
      <alignment horizontal="left" vertical="center"/>
      <protection locked="0"/>
    </xf>
    <xf numFmtId="181" fontId="56" fillId="0" borderId="158" xfId="4" applyNumberFormat="1" applyFont="1" applyBorder="1" applyAlignment="1" applyProtection="1">
      <alignment horizontal="left" vertical="center"/>
      <protection locked="0"/>
    </xf>
    <xf numFmtId="181" fontId="56" fillId="0" borderId="3" xfId="4" applyNumberFormat="1" applyFont="1" applyBorder="1" applyAlignment="1" applyProtection="1">
      <alignment horizontal="left" vertical="center"/>
      <protection locked="0"/>
    </xf>
    <xf numFmtId="176" fontId="56" fillId="0" borderId="0" xfId="4" applyNumberFormat="1" applyFont="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Border="1" applyAlignment="1" applyProtection="1">
      <alignment horizontal="left" vertical="center"/>
      <protection locked="0"/>
    </xf>
    <xf numFmtId="176" fontId="56" fillId="0" borderId="159" xfId="4" applyNumberFormat="1" applyFont="1" applyBorder="1" applyAlignment="1" applyProtection="1">
      <alignment horizontal="left" vertical="center"/>
      <protection locked="0"/>
    </xf>
    <xf numFmtId="176" fontId="56" fillId="0" borderId="66" xfId="4" applyNumberFormat="1" applyFont="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45" fillId="0" borderId="0" xfId="4" applyFont="1" applyAlignment="1" applyProtection="1">
      <alignment horizontal="left" vertical="center"/>
      <protection locked="0"/>
    </xf>
    <xf numFmtId="0" fontId="245" fillId="0" borderId="0" xfId="4" applyFont="1" applyAlignment="1">
      <alignment horizontal="left"/>
    </xf>
    <xf numFmtId="0" fontId="83" fillId="6" borderId="74" xfId="4" applyFont="1" applyFill="1" applyBorder="1" applyAlignment="1" applyProtection="1">
      <alignment vertical="center"/>
      <protection locked="0"/>
    </xf>
    <xf numFmtId="0" fontId="102" fillId="6" borderId="11" xfId="0" applyFont="1" applyFill="1" applyBorder="1">
      <alignment vertical="center"/>
    </xf>
    <xf numFmtId="0" fontId="102" fillId="6" borderId="14" xfId="0" applyFont="1" applyFill="1" applyBorder="1">
      <alignment vertical="center"/>
    </xf>
    <xf numFmtId="0" fontId="102" fillId="6" borderId="41" xfId="0" applyFont="1" applyFill="1" applyBorder="1">
      <alignment vertical="center"/>
    </xf>
    <xf numFmtId="0" fontId="142" fillId="6" borderId="15" xfId="0" applyFont="1" applyFill="1" applyBorder="1" applyAlignment="1">
      <alignment vertical="center" wrapText="1"/>
    </xf>
    <xf numFmtId="0" fontId="141" fillId="6" borderId="13" xfId="0" applyFont="1" applyFill="1" applyBorder="1" applyAlignment="1">
      <alignment vertical="center" wrapText="1"/>
    </xf>
    <xf numFmtId="0" fontId="111"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9" fillId="6" borderId="23" xfId="0" applyFont="1" applyFill="1" applyBorder="1" applyAlignment="1">
      <alignment horizontal="left" vertical="center"/>
    </xf>
    <xf numFmtId="0" fontId="249" fillId="6" borderId="1" xfId="0" applyFont="1" applyFill="1" applyBorder="1" applyAlignment="1">
      <alignment horizontal="left" vertical="center"/>
    </xf>
    <xf numFmtId="0" fontId="249" fillId="6" borderId="24" xfId="0" applyFont="1" applyFill="1" applyBorder="1" applyAlignment="1">
      <alignment horizontal="left" vertical="center"/>
    </xf>
    <xf numFmtId="0" fontId="249" fillId="0" borderId="1" xfId="0" applyFont="1" applyBorder="1" applyAlignment="1" applyProtection="1">
      <alignment horizontal="left" vertical="center"/>
      <protection locked="0"/>
    </xf>
    <xf numFmtId="9" fontId="249" fillId="0" borderId="1" xfId="0" applyNumberFormat="1" applyFont="1" applyBorder="1" applyAlignment="1" applyProtection="1">
      <alignment horizontal="left" vertical="center"/>
      <protection locked="0"/>
    </xf>
    <xf numFmtId="0" fontId="249" fillId="6" borderId="18" xfId="0" applyFont="1" applyFill="1" applyBorder="1" applyAlignment="1">
      <alignment horizontal="left" vertical="center"/>
    </xf>
    <xf numFmtId="0" fontId="249" fillId="6" borderId="0" xfId="0" applyFont="1" applyFill="1" applyAlignment="1">
      <alignment horizontal="left" vertical="center"/>
    </xf>
    <xf numFmtId="0" fontId="249" fillId="6" borderId="56" xfId="0" applyFont="1" applyFill="1" applyBorder="1" applyAlignment="1">
      <alignment horizontal="left" vertical="center"/>
    </xf>
    <xf numFmtId="0" fontId="249" fillId="6" borderId="18" xfId="0" applyFont="1" applyFill="1" applyBorder="1" applyAlignment="1">
      <alignment horizontal="left"/>
    </xf>
    <xf numFmtId="0" fontId="249" fillId="6" borderId="0" xfId="0" applyFont="1" applyFill="1" applyAlignment="1">
      <alignment horizontal="left"/>
    </xf>
    <xf numFmtId="0" fontId="249" fillId="6" borderId="56" xfId="0" applyFont="1" applyFill="1" applyBorder="1" applyAlignment="1">
      <alignment horizontal="left"/>
    </xf>
    <xf numFmtId="0" fontId="249" fillId="6" borderId="23" xfId="0" applyFont="1" applyFill="1" applyBorder="1" applyAlignment="1">
      <alignment horizontal="left"/>
    </xf>
    <xf numFmtId="0" fontId="249" fillId="20" borderId="1" xfId="0" applyFont="1" applyFill="1" applyBorder="1" applyAlignment="1">
      <alignment horizontal="left"/>
    </xf>
    <xf numFmtId="0" fontId="249" fillId="6" borderId="1" xfId="0" applyFont="1" applyFill="1" applyBorder="1" applyAlignment="1">
      <alignment horizontal="left"/>
    </xf>
    <xf numFmtId="0" fontId="249" fillId="6" borderId="5" xfId="0" applyFont="1" applyFill="1" applyBorder="1" applyAlignment="1">
      <alignment horizontal="left"/>
    </xf>
    <xf numFmtId="0" fontId="249" fillId="6" borderId="54" xfId="0" applyFont="1" applyFill="1" applyBorder="1" applyAlignment="1">
      <alignment horizontal="left"/>
    </xf>
    <xf numFmtId="0" fontId="249" fillId="6" borderId="48" xfId="0" applyFont="1" applyFill="1" applyBorder="1" applyAlignment="1">
      <alignment horizontal="left"/>
    </xf>
    <xf numFmtId="9" fontId="249" fillId="6" borderId="1" xfId="0" applyNumberFormat="1" applyFont="1" applyFill="1" applyBorder="1" applyAlignment="1">
      <alignment horizontal="left"/>
    </xf>
    <xf numFmtId="0" fontId="249" fillId="6" borderId="25" xfId="0" applyFont="1" applyFill="1" applyBorder="1" applyAlignment="1">
      <alignment horizontal="left"/>
    </xf>
    <xf numFmtId="0" fontId="249" fillId="20" borderId="32" xfId="0" applyFont="1" applyFill="1" applyBorder="1" applyAlignment="1">
      <alignment horizontal="left"/>
    </xf>
    <xf numFmtId="0" fontId="249" fillId="6" borderId="32" xfId="0" applyFont="1" applyFill="1" applyBorder="1" applyAlignment="1">
      <alignment horizontal="left"/>
    </xf>
    <xf numFmtId="0" fontId="249" fillId="6" borderId="47" xfId="0" applyFont="1" applyFill="1" applyBorder="1" applyAlignment="1">
      <alignment horizontal="left"/>
    </xf>
    <xf numFmtId="0" fontId="249" fillId="6" borderId="43" xfId="0" applyFont="1" applyFill="1" applyBorder="1" applyAlignment="1">
      <alignment horizontal="left"/>
    </xf>
    <xf numFmtId="0" fontId="249" fillId="0" borderId="0" xfId="0" applyFont="1" applyAlignment="1" applyProtection="1">
      <alignment horizontal="left" vertical="center"/>
      <protection locked="0"/>
    </xf>
    <xf numFmtId="0" fontId="80" fillId="6" borderId="1" xfId="0" applyFont="1" applyFill="1" applyBorder="1" applyAlignment="1" applyProtection="1">
      <alignment horizontal="center" vertical="center" wrapText="1"/>
      <protection locked="0"/>
    </xf>
    <xf numFmtId="0" fontId="50" fillId="6" borderId="35" xfId="0" applyFont="1" applyFill="1" applyBorder="1" applyAlignment="1" applyProtection="1">
      <alignment vertical="center" wrapText="1"/>
      <protection locked="0"/>
    </xf>
    <xf numFmtId="49" fontId="50" fillId="6" borderId="15" xfId="0" applyNumberFormat="1" applyFont="1" applyFill="1" applyBorder="1" applyAlignment="1" applyProtection="1">
      <alignment horizontal="center" vertical="center" wrapText="1"/>
      <protection locked="0"/>
    </xf>
    <xf numFmtId="177" fontId="50" fillId="6" borderId="15" xfId="0" applyNumberFormat="1" applyFont="1" applyFill="1" applyBorder="1" applyAlignment="1" applyProtection="1">
      <alignment horizontal="center" vertical="center" wrapText="1"/>
      <protection locked="0"/>
    </xf>
    <xf numFmtId="179" fontId="50" fillId="6" borderId="15" xfId="0" applyNumberFormat="1" applyFont="1" applyFill="1" applyBorder="1" applyAlignment="1" applyProtection="1">
      <alignment horizontal="center" vertical="center" wrapText="1"/>
      <protection locked="0"/>
    </xf>
    <xf numFmtId="0" fontId="111"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9"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8"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10" fillId="6" borderId="6" xfId="0" applyFont="1" applyFill="1" applyBorder="1" applyAlignment="1">
      <alignment horizontal="left" vertical="center" wrapText="1"/>
    </xf>
    <xf numFmtId="0" fontId="110" fillId="6" borderId="9" xfId="0" applyFont="1" applyFill="1" applyBorder="1" applyAlignment="1">
      <alignment horizontal="left" vertical="center" wrapText="1"/>
    </xf>
    <xf numFmtId="0" fontId="110" fillId="6" borderId="10" xfId="0" applyFont="1" applyFill="1" applyBorder="1" applyAlignment="1">
      <alignment horizontal="left" vertical="center" wrapText="1"/>
    </xf>
    <xf numFmtId="0" fontId="110" fillId="6" borderId="23" xfId="0" applyFont="1" applyFill="1" applyBorder="1" applyAlignment="1">
      <alignment horizontal="left" vertical="center" wrapText="1"/>
    </xf>
    <xf numFmtId="0" fontId="110" fillId="6" borderId="1" xfId="0" applyFont="1" applyFill="1" applyBorder="1" applyAlignment="1">
      <alignment horizontal="left" vertical="center" wrapText="1"/>
    </xf>
    <xf numFmtId="0" fontId="110" fillId="6" borderId="24" xfId="0" applyFont="1" applyFill="1" applyBorder="1" applyAlignment="1">
      <alignment horizontal="left" vertical="center" wrapText="1"/>
    </xf>
    <xf numFmtId="0" fontId="110" fillId="6" borderId="11" xfId="0" applyFont="1" applyFill="1" applyBorder="1" applyAlignment="1">
      <alignment horizontal="left" vertical="center" wrapText="1"/>
    </xf>
    <xf numFmtId="0" fontId="110" fillId="6" borderId="13" xfId="0" applyFont="1" applyFill="1" applyBorder="1" applyAlignment="1">
      <alignment horizontal="left" vertical="center" wrapText="1"/>
    </xf>
    <xf numFmtId="0" fontId="110" fillId="6" borderId="61" xfId="0" applyFont="1" applyFill="1" applyBorder="1" applyAlignment="1">
      <alignment horizontal="left" vertical="center" wrapText="1"/>
    </xf>
    <xf numFmtId="0" fontId="223" fillId="6" borderId="60" xfId="0" applyFont="1" applyFill="1" applyBorder="1" applyAlignment="1">
      <alignment horizontal="left" vertical="center"/>
    </xf>
    <xf numFmtId="0" fontId="223" fillId="6" borderId="0" xfId="0" applyFont="1" applyFill="1" applyAlignment="1">
      <alignment horizontal="left" vertical="center"/>
    </xf>
    <xf numFmtId="0" fontId="251" fillId="0" borderId="0" xfId="0" applyFont="1" applyAlignment="1">
      <alignment horizontal="left" vertical="center"/>
    </xf>
    <xf numFmtId="0" fontId="110" fillId="6" borderId="4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28" xfId="0" applyFont="1" applyFill="1" applyBorder="1" applyAlignment="1">
      <alignment horizontal="left" vertical="center"/>
    </xf>
    <xf numFmtId="0" fontId="110" fillId="6" borderId="30" xfId="0" applyFont="1" applyFill="1" applyBorder="1" applyAlignment="1">
      <alignment horizontal="left" vertical="center"/>
    </xf>
    <xf numFmtId="0" fontId="110" fillId="6" borderId="10" xfId="0" applyFont="1" applyFill="1" applyBorder="1" applyAlignment="1">
      <alignment horizontal="left" vertical="center"/>
    </xf>
    <xf numFmtId="0" fontId="110" fillId="6" borderId="0" xfId="0" applyFont="1" applyFill="1" applyAlignment="1">
      <alignment horizontal="left" vertical="center"/>
    </xf>
    <xf numFmtId="0" fontId="110" fillId="6" borderId="5" xfId="0" applyFont="1" applyFill="1" applyBorder="1" applyAlignment="1">
      <alignment horizontal="left" vertical="center"/>
    </xf>
    <xf numFmtId="0" fontId="110" fillId="6" borderId="3" xfId="0" applyFont="1" applyFill="1" applyBorder="1" applyAlignment="1">
      <alignment horizontal="left" vertical="center"/>
    </xf>
    <xf numFmtId="0" fontId="110" fillId="6" borderId="24" xfId="0" applyFont="1" applyFill="1" applyBorder="1" applyAlignment="1">
      <alignment horizontal="left" vertical="center"/>
    </xf>
    <xf numFmtId="0" fontId="110" fillId="6" borderId="33" xfId="0" applyFont="1" applyFill="1" applyBorder="1" applyAlignment="1">
      <alignment horizontal="left" vertical="center"/>
    </xf>
    <xf numFmtId="0" fontId="110" fillId="6" borderId="66" xfId="0" applyFont="1" applyFill="1" applyBorder="1" applyAlignment="1">
      <alignment horizontal="left" vertical="center"/>
    </xf>
    <xf numFmtId="0" fontId="110" fillId="6" borderId="49" xfId="0" applyFont="1" applyFill="1" applyBorder="1" applyAlignment="1">
      <alignment horizontal="left" vertical="center"/>
    </xf>
    <xf numFmtId="0" fontId="110" fillId="6" borderId="26" xfId="0" applyFont="1" applyFill="1" applyBorder="1" applyAlignment="1">
      <alignment horizontal="left" vertical="center"/>
    </xf>
    <xf numFmtId="0" fontId="110" fillId="6" borderId="84" xfId="0" applyFont="1" applyFill="1" applyBorder="1" applyAlignment="1">
      <alignment horizontal="left" vertical="center"/>
    </xf>
    <xf numFmtId="0" fontId="110" fillId="6" borderId="34" xfId="0" applyFont="1" applyFill="1" applyBorder="1" applyAlignment="1">
      <alignment horizontal="left" vertical="center"/>
    </xf>
    <xf numFmtId="0" fontId="110" fillId="6" borderId="70" xfId="0" applyFont="1" applyFill="1" applyBorder="1" applyAlignment="1">
      <alignment horizontal="left" vertical="center"/>
    </xf>
    <xf numFmtId="0" fontId="110" fillId="6" borderId="67" xfId="0" applyFont="1" applyFill="1" applyBorder="1" applyAlignment="1">
      <alignment horizontal="left" vertical="center"/>
    </xf>
    <xf numFmtId="0" fontId="110" fillId="6" borderId="1" xfId="0" applyFont="1" applyFill="1" applyBorder="1" applyAlignment="1">
      <alignment horizontal="left" vertical="center"/>
    </xf>
    <xf numFmtId="0" fontId="110" fillId="0" borderId="0" xfId="0" applyFont="1" applyAlignment="1">
      <alignment horizontal="left" vertical="center"/>
    </xf>
    <xf numFmtId="0" fontId="110" fillId="6" borderId="4" xfId="0" applyFont="1" applyFill="1" applyBorder="1" applyAlignment="1">
      <alignment horizontal="left" vertical="center" wrapText="1"/>
    </xf>
    <xf numFmtId="0" fontId="110" fillId="6" borderId="2"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110" fillId="6" borderId="3" xfId="0" applyFont="1" applyFill="1" applyBorder="1" applyAlignment="1">
      <alignment horizontal="left" vertical="center" wrapText="1"/>
    </xf>
    <xf numFmtId="0" fontId="110" fillId="6" borderId="2" xfId="0" applyFont="1" applyFill="1" applyBorder="1" applyAlignment="1">
      <alignment horizontal="left" vertical="center"/>
    </xf>
    <xf numFmtId="0" fontId="115" fillId="6" borderId="60" xfId="0" applyFont="1" applyFill="1" applyBorder="1" applyAlignment="1">
      <alignment horizontal="left" vertical="center"/>
    </xf>
    <xf numFmtId="176" fontId="252" fillId="0" borderId="0" xfId="3" applyNumberFormat="1" applyFont="1" applyAlignment="1">
      <alignment horizontal="left" vertical="center"/>
    </xf>
    <xf numFmtId="176" fontId="253" fillId="6" borderId="6" xfId="3" applyNumberFormat="1" applyFont="1" applyFill="1" applyBorder="1" applyAlignment="1">
      <alignment horizontal="left" vertical="center"/>
    </xf>
    <xf numFmtId="176" fontId="253" fillId="6" borderId="9" xfId="3" applyNumberFormat="1" applyFont="1" applyFill="1" applyBorder="1" applyAlignment="1">
      <alignment horizontal="left" vertical="center"/>
    </xf>
    <xf numFmtId="176" fontId="253" fillId="6" borderId="9" xfId="3" applyNumberFormat="1" applyFont="1" applyFill="1" applyBorder="1" applyAlignment="1">
      <alignment horizontal="left" vertical="center" wrapText="1"/>
    </xf>
    <xf numFmtId="176" fontId="253" fillId="6" borderId="17" xfId="3" applyNumberFormat="1" applyFont="1" applyFill="1" applyBorder="1" applyAlignment="1">
      <alignment horizontal="left" vertical="center"/>
    </xf>
    <xf numFmtId="176" fontId="253" fillId="6" borderId="62" xfId="3" applyNumberFormat="1" applyFont="1" applyFill="1" applyBorder="1" applyAlignment="1">
      <alignment horizontal="left" vertical="center"/>
    </xf>
    <xf numFmtId="176" fontId="253" fillId="6" borderId="23" xfId="3" applyNumberFormat="1" applyFont="1" applyFill="1" applyBorder="1" applyAlignment="1">
      <alignment horizontal="left" vertical="center"/>
    </xf>
    <xf numFmtId="176" fontId="254" fillId="6" borderId="1" xfId="3" applyNumberFormat="1" applyFont="1" applyFill="1" applyBorder="1" applyAlignment="1">
      <alignment horizontal="left" vertical="center"/>
    </xf>
    <xf numFmtId="176" fontId="254" fillId="6" borderId="24" xfId="3" applyNumberFormat="1" applyFont="1" applyFill="1" applyBorder="1" applyAlignment="1">
      <alignment horizontal="left" vertical="center"/>
    </xf>
    <xf numFmtId="176" fontId="253" fillId="6" borderId="23" xfId="3" applyNumberFormat="1" applyFont="1" applyFill="1" applyBorder="1" applyAlignment="1">
      <alignment horizontal="left" vertical="center" wrapText="1"/>
    </xf>
    <xf numFmtId="176" fontId="253" fillId="6" borderId="25" xfId="3" applyNumberFormat="1" applyFont="1" applyFill="1" applyBorder="1" applyAlignment="1">
      <alignment horizontal="left" vertical="center" wrapText="1"/>
    </xf>
    <xf numFmtId="176" fontId="254" fillId="6" borderId="32" xfId="3" applyNumberFormat="1" applyFont="1" applyFill="1" applyBorder="1" applyAlignment="1">
      <alignment horizontal="left" vertical="center"/>
    </xf>
    <xf numFmtId="176" fontId="254" fillId="6" borderId="49" xfId="3" applyNumberFormat="1" applyFont="1" applyFill="1" applyBorder="1" applyAlignment="1">
      <alignment horizontal="left" vertical="center"/>
    </xf>
    <xf numFmtId="176" fontId="251" fillId="0" borderId="0" xfId="0" applyNumberFormat="1" applyFont="1" applyAlignment="1">
      <alignment horizontal="left" vertical="center"/>
    </xf>
    <xf numFmtId="176" fontId="249" fillId="0" borderId="0" xfId="0" applyNumberFormat="1" applyFont="1" applyAlignment="1">
      <alignment horizontal="left" vertical="center"/>
    </xf>
    <xf numFmtId="176" fontId="249" fillId="6" borderId="1" xfId="0" applyNumberFormat="1" applyFont="1" applyFill="1" applyBorder="1" applyAlignment="1">
      <alignment horizontal="left" vertical="center"/>
    </xf>
    <xf numFmtId="0" fontId="105" fillId="6" borderId="120"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119" xfId="9" applyFont="1" applyFill="1" applyBorder="1" applyAlignment="1">
      <alignment horizontal="left" vertical="center"/>
    </xf>
    <xf numFmtId="0" fontId="255" fillId="15" borderId="0" xfId="9" applyFont="1" applyFill="1" applyAlignment="1">
      <alignment horizontal="left" vertical="center"/>
    </xf>
    <xf numFmtId="0" fontId="246" fillId="15" borderId="121" xfId="9" applyFont="1" applyFill="1" applyBorder="1" applyAlignment="1">
      <alignment horizontal="left" vertical="center"/>
    </xf>
    <xf numFmtId="0" fontId="246" fillId="15" borderId="0" xfId="9" applyFont="1" applyFill="1" applyAlignment="1">
      <alignment horizontal="left" vertical="center"/>
    </xf>
    <xf numFmtId="0" fontId="246" fillId="17" borderId="0" xfId="9" applyFont="1" applyFill="1" applyAlignment="1">
      <alignment horizontal="left" vertical="center"/>
    </xf>
    <xf numFmtId="10" fontId="246" fillId="15" borderId="121" xfId="9" applyNumberFormat="1" applyFont="1" applyFill="1" applyBorder="1" applyAlignment="1">
      <alignment horizontal="left" vertical="center"/>
    </xf>
    <xf numFmtId="10" fontId="246" fillId="15" borderId="0" xfId="9" applyNumberFormat="1" applyFont="1" applyFill="1" applyAlignment="1">
      <alignment horizontal="left" vertical="center"/>
    </xf>
    <xf numFmtId="0" fontId="171" fillId="15" borderId="0" xfId="9" applyFont="1" applyFill="1" applyAlignment="1">
      <alignment horizontal="left" vertical="center"/>
    </xf>
    <xf numFmtId="0" fontId="171" fillId="15" borderId="163" xfId="9" applyFont="1" applyFill="1" applyBorder="1" applyAlignment="1">
      <alignment horizontal="left" vertical="center"/>
    </xf>
    <xf numFmtId="10" fontId="171" fillId="15" borderId="0" xfId="9" applyNumberFormat="1" applyFont="1" applyFill="1" applyAlignment="1">
      <alignment horizontal="left" vertical="center"/>
    </xf>
    <xf numFmtId="10" fontId="171" fillId="15" borderId="163" xfId="9" applyNumberFormat="1" applyFont="1" applyFill="1" applyBorder="1" applyAlignment="1">
      <alignment horizontal="left" vertical="center"/>
    </xf>
    <xf numFmtId="10" fontId="171" fillId="15" borderId="164" xfId="9" applyNumberFormat="1" applyFont="1" applyFill="1" applyBorder="1" applyAlignment="1">
      <alignment horizontal="left" vertical="center"/>
    </xf>
    <xf numFmtId="10" fontId="171" fillId="15" borderId="165" xfId="9" applyNumberFormat="1" applyFont="1" applyFill="1" applyBorder="1" applyAlignment="1">
      <alignment horizontal="left" vertical="center"/>
    </xf>
    <xf numFmtId="0" fontId="105" fillId="17" borderId="0" xfId="9" applyFont="1" applyFill="1" applyAlignment="1">
      <alignment horizontal="left" vertical="center"/>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0" fontId="102" fillId="0" borderId="163" xfId="9" applyFont="1" applyBorder="1" applyAlignment="1">
      <alignment horizontal="left" vertical="center"/>
    </xf>
    <xf numFmtId="0" fontId="102" fillId="0" borderId="164" xfId="9" applyFont="1" applyBorder="1" applyAlignment="1">
      <alignment horizontal="left" vertical="center"/>
    </xf>
    <xf numFmtId="0" fontId="102" fillId="0" borderId="165" xfId="9" applyFont="1" applyBorder="1" applyAlignment="1">
      <alignment horizontal="left" vertical="center"/>
    </xf>
    <xf numFmtId="10" fontId="102" fillId="0" borderId="163" xfId="9" applyNumberFormat="1" applyFont="1" applyBorder="1" applyAlignment="1">
      <alignment horizontal="left" vertical="center"/>
    </xf>
    <xf numFmtId="10" fontId="102" fillId="0" borderId="164" xfId="9" applyNumberFormat="1" applyFont="1" applyBorder="1" applyAlignment="1">
      <alignment horizontal="left" vertical="center"/>
    </xf>
    <xf numFmtId="10" fontId="102" fillId="0" borderId="165" xfId="9" applyNumberFormat="1" applyFont="1" applyBorder="1" applyAlignment="1">
      <alignment horizontal="left" vertical="center"/>
    </xf>
    <xf numFmtId="0" fontId="56" fillId="6" borderId="1" xfId="9" applyFont="1" applyFill="1" applyBorder="1" applyAlignment="1">
      <alignment horizontal="left" vertical="center" wrapText="1"/>
    </xf>
    <xf numFmtId="0" fontId="102" fillId="17" borderId="0" xfId="9" applyFont="1" applyFill="1" applyAlignment="1">
      <alignment horizontal="left" vertical="center"/>
    </xf>
    <xf numFmtId="0" fontId="57" fillId="21" borderId="1" xfId="9" applyFont="1" applyFill="1" applyBorder="1" applyAlignment="1">
      <alignment horizontal="left" vertical="center" wrapText="1"/>
    </xf>
    <xf numFmtId="0" fontId="256" fillId="21" borderId="125" xfId="9" applyFont="1" applyFill="1" applyBorder="1" applyAlignment="1">
      <alignment horizontal="left" vertical="center" wrapText="1"/>
    </xf>
    <xf numFmtId="0" fontId="256" fillId="21" borderId="126" xfId="9" applyFont="1" applyFill="1" applyBorder="1" applyAlignment="1">
      <alignment horizontal="left" vertical="center" wrapText="1"/>
    </xf>
    <xf numFmtId="0" fontId="256" fillId="21" borderId="126" xfId="16" applyFont="1" applyFill="1" applyBorder="1" applyAlignment="1">
      <alignment horizontal="left" vertical="center" wrapText="1"/>
    </xf>
    <xf numFmtId="0" fontId="256" fillId="21" borderId="135" xfId="16" applyFont="1" applyFill="1" applyBorder="1" applyAlignment="1">
      <alignment horizontal="left" vertical="center" wrapText="1"/>
    </xf>
    <xf numFmtId="0" fontId="256" fillId="21" borderId="130" xfId="16" applyFont="1" applyFill="1" applyBorder="1" applyAlignment="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0" fontId="147" fillId="21" borderId="0" xfId="9" applyFont="1" applyFill="1" applyAlignment="1">
      <alignment horizontal="left" vertical="center"/>
    </xf>
    <xf numFmtId="0" fontId="146" fillId="12" borderId="135" xfId="16" applyFont="1" applyFill="1" applyBorder="1" applyAlignment="1">
      <alignment horizontal="left" vertical="center" wrapText="1"/>
    </xf>
    <xf numFmtId="0" fontId="56" fillId="18" borderId="166" xfId="9" applyFont="1" applyFill="1" applyBorder="1" applyAlignment="1">
      <alignment horizontal="left" vertical="center" wrapText="1"/>
    </xf>
    <xf numFmtId="0" fontId="146" fillId="18" borderId="167" xfId="9" applyFont="1" applyFill="1" applyBorder="1" applyAlignment="1">
      <alignment horizontal="left" vertical="center" wrapText="1"/>
    </xf>
    <xf numFmtId="0" fontId="146" fillId="18" borderId="168" xfId="9" applyFont="1" applyFill="1" applyBorder="1" applyAlignment="1">
      <alignment horizontal="left" vertical="center" wrapText="1"/>
    </xf>
    <xf numFmtId="0" fontId="146" fillId="18" borderId="168" xfId="16" applyFont="1" applyFill="1" applyBorder="1" applyAlignment="1">
      <alignment horizontal="left" vertical="center" wrapText="1"/>
    </xf>
    <xf numFmtId="0" fontId="146" fillId="18" borderId="169" xfId="16" applyFont="1" applyFill="1" applyBorder="1" applyAlignment="1">
      <alignment horizontal="left" vertical="center" wrapText="1"/>
    </xf>
    <xf numFmtId="0" fontId="146" fillId="18" borderId="170" xfId="16" applyFont="1" applyFill="1" applyBorder="1" applyAlignment="1">
      <alignment horizontal="left" vertical="center" wrapText="1"/>
    </xf>
    <xf numFmtId="0" fontId="102" fillId="17" borderId="171" xfId="9" applyFont="1" applyFill="1" applyBorder="1" applyAlignment="1">
      <alignment horizontal="left" vertical="center"/>
    </xf>
    <xf numFmtId="10" fontId="102" fillId="18" borderId="172" xfId="9" applyNumberFormat="1" applyFont="1" applyFill="1" applyBorder="1" applyAlignment="1">
      <alignment horizontal="left" vertical="center"/>
    </xf>
    <xf numFmtId="10" fontId="102" fillId="18" borderId="171" xfId="9" applyNumberFormat="1" applyFont="1" applyFill="1" applyBorder="1" applyAlignment="1">
      <alignment horizontal="left" vertical="center"/>
    </xf>
    <xf numFmtId="0" fontId="102" fillId="18" borderId="171" xfId="9" applyFont="1" applyFill="1" applyBorder="1" applyAlignment="1">
      <alignment horizontal="left" vertical="center"/>
    </xf>
    <xf numFmtId="0" fontId="147" fillId="18" borderId="171" xfId="9" applyFont="1" applyFill="1" applyBorder="1" applyAlignment="1">
      <alignment horizontal="left" vertical="center"/>
    </xf>
    <xf numFmtId="0" fontId="144" fillId="0" borderId="0" xfId="9" applyFont="1">
      <alignment vertical="center"/>
    </xf>
    <xf numFmtId="0" fontId="105" fillId="0" borderId="0" xfId="9" applyFont="1">
      <alignment vertical="center"/>
    </xf>
    <xf numFmtId="10" fontId="105" fillId="21" borderId="163" xfId="9" applyNumberFormat="1" applyFont="1" applyFill="1" applyBorder="1" applyAlignment="1">
      <alignment horizontal="left" vertical="center"/>
    </xf>
    <xf numFmtId="10" fontId="105" fillId="21" borderId="164" xfId="9" applyNumberFormat="1" applyFont="1" applyFill="1" applyBorder="1" applyAlignment="1">
      <alignment horizontal="left" vertical="center"/>
    </xf>
    <xf numFmtId="10" fontId="105" fillId="21" borderId="165" xfId="9" applyNumberFormat="1" applyFont="1" applyFill="1" applyBorder="1" applyAlignment="1">
      <alignment horizontal="left" vertical="center"/>
    </xf>
    <xf numFmtId="10" fontId="102" fillId="18" borderId="173" xfId="9" applyNumberFormat="1" applyFont="1" applyFill="1" applyBorder="1" applyAlignment="1">
      <alignment horizontal="left" vertical="center"/>
    </xf>
    <xf numFmtId="10" fontId="102" fillId="18" borderId="174" xfId="9" applyNumberFormat="1" applyFont="1" applyFill="1" applyBorder="1" applyAlignment="1">
      <alignment horizontal="left" vertical="center"/>
    </xf>
    <xf numFmtId="10" fontId="102"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9" fillId="6" borderId="40" xfId="0" applyFont="1" applyFill="1" applyBorder="1" applyAlignment="1">
      <alignment horizontal="left" vertical="center"/>
    </xf>
    <xf numFmtId="0" fontId="249" fillId="6" borderId="17" xfId="0" applyFont="1" applyFill="1" applyBorder="1" applyAlignment="1">
      <alignment horizontal="left" vertical="center"/>
    </xf>
    <xf numFmtId="0" fontId="249" fillId="6" borderId="62" xfId="0" applyFont="1" applyFill="1" applyBorder="1" applyAlignment="1">
      <alignment horizontal="left" vertical="center"/>
    </xf>
    <xf numFmtId="0" fontId="258" fillId="6" borderId="47" xfId="0" applyFont="1" applyFill="1" applyBorder="1">
      <alignment vertical="center"/>
    </xf>
    <xf numFmtId="0" fontId="258" fillId="6" borderId="43" xfId="0" applyFont="1" applyFill="1" applyBorder="1" applyAlignment="1">
      <alignment horizontal="right" vertical="center"/>
    </xf>
    <xf numFmtId="0" fontId="258" fillId="6" borderId="9" xfId="0" applyFont="1" applyFill="1" applyBorder="1" applyAlignment="1">
      <alignment horizontal="left" vertical="center" wrapText="1"/>
    </xf>
    <xf numFmtId="0" fontId="259" fillId="6" borderId="19" xfId="0" applyFont="1" applyFill="1" applyBorder="1" applyAlignment="1">
      <alignment horizontal="left" vertical="center"/>
    </xf>
    <xf numFmtId="0" fontId="257" fillId="6" borderId="28" xfId="0" applyFont="1" applyFill="1" applyBorder="1" applyAlignment="1">
      <alignment horizontal="left" vertical="center"/>
    </xf>
    <xf numFmtId="0" fontId="259" fillId="6" borderId="18" xfId="0" applyFont="1" applyFill="1" applyBorder="1" applyAlignment="1">
      <alignment horizontal="left" vertical="center"/>
    </xf>
    <xf numFmtId="0" fontId="258" fillId="6" borderId="1" xfId="0" applyFont="1" applyFill="1" applyBorder="1" applyAlignment="1">
      <alignment horizontal="left" vertical="center" wrapText="1"/>
    </xf>
    <xf numFmtId="0" fontId="258" fillId="6" borderId="2" xfId="0" applyFont="1" applyFill="1" applyBorder="1" applyAlignment="1">
      <alignment horizontal="left" vertical="center" wrapText="1"/>
    </xf>
    <xf numFmtId="0" fontId="259" fillId="6" borderId="0" xfId="0" applyFont="1" applyFill="1" applyAlignment="1">
      <alignment horizontal="left" vertical="center"/>
    </xf>
    <xf numFmtId="0" fontId="257" fillId="6" borderId="32" xfId="0" applyFont="1" applyFill="1" applyBorder="1" applyAlignment="1">
      <alignment horizontal="left" vertical="center"/>
    </xf>
    <xf numFmtId="0" fontId="257" fillId="6" borderId="33" xfId="0" applyFont="1" applyFill="1" applyBorder="1" applyAlignment="1">
      <alignment horizontal="left" vertical="center"/>
    </xf>
    <xf numFmtId="0" fontId="258" fillId="6" borderId="40" xfId="0" applyFont="1" applyFill="1" applyBorder="1" applyAlignment="1">
      <alignment horizontal="left" vertical="center" wrapText="1"/>
    </xf>
    <xf numFmtId="0" fontId="258" fillId="6" borderId="74" xfId="0" applyFont="1" applyFill="1" applyBorder="1" applyAlignment="1">
      <alignment horizontal="left" vertical="center" wrapText="1"/>
    </xf>
    <xf numFmtId="0" fontId="258" fillId="6" borderId="32" xfId="0" applyFont="1" applyFill="1" applyBorder="1" applyAlignment="1">
      <alignment horizontal="left" vertical="center" wrapText="1"/>
    </xf>
    <xf numFmtId="0" fontId="258" fillId="6" borderId="14" xfId="0" applyFont="1" applyFill="1" applyBorder="1" applyAlignment="1">
      <alignment horizontal="left" vertical="center" wrapText="1"/>
    </xf>
    <xf numFmtId="0" fontId="258" fillId="6" borderId="1" xfId="18" applyNumberFormat="1" applyFont="1" applyFill="1" applyBorder="1" applyAlignment="1">
      <alignment horizontal="left" vertical="center" wrapText="1"/>
    </xf>
    <xf numFmtId="0" fontId="258" fillId="6" borderId="15" xfId="0" applyFont="1" applyFill="1" applyBorder="1" applyAlignment="1">
      <alignment horizontal="left" vertical="center" wrapText="1"/>
    </xf>
    <xf numFmtId="0" fontId="258" fillId="6" borderId="13" xfId="0" applyFont="1" applyFill="1" applyBorder="1" applyAlignment="1">
      <alignment horizontal="left" vertical="center" wrapText="1"/>
    </xf>
    <xf numFmtId="0" fontId="258" fillId="6" borderId="10" xfId="0" applyFont="1" applyFill="1" applyBorder="1" applyAlignment="1">
      <alignment horizontal="left" vertical="center" wrapText="1"/>
    </xf>
    <xf numFmtId="0" fontId="258" fillId="6" borderId="24" xfId="0" applyFont="1" applyFill="1" applyBorder="1" applyAlignment="1">
      <alignment horizontal="left" vertical="center" wrapText="1"/>
    </xf>
    <xf numFmtId="0" fontId="258" fillId="6" borderId="12" xfId="0" applyFont="1" applyFill="1" applyBorder="1" applyAlignment="1">
      <alignment horizontal="left" vertical="center" wrapText="1"/>
    </xf>
    <xf numFmtId="0" fontId="258" fillId="6" borderId="49" xfId="0" applyFont="1" applyFill="1" applyBorder="1" applyAlignment="1">
      <alignment horizontal="left" vertical="center" wrapText="1"/>
    </xf>
    <xf numFmtId="0" fontId="258" fillId="6" borderId="61"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0" fontId="258" fillId="6" borderId="25" xfId="0" applyFont="1" applyFill="1" applyBorder="1" applyAlignment="1">
      <alignment horizontal="left" vertical="center" wrapText="1"/>
    </xf>
    <xf numFmtId="0" fontId="0" fillId="6" borderId="0" xfId="0" applyFill="1" applyAlignment="1">
      <alignment horizontal="left" vertical="center"/>
    </xf>
    <xf numFmtId="0" fontId="124" fillId="6" borderId="0" xfId="0" applyFont="1" applyFill="1" applyAlignment="1">
      <alignment horizontal="left" vertical="center"/>
    </xf>
    <xf numFmtId="0" fontId="114" fillId="6" borderId="29" xfId="0" applyFont="1" applyFill="1" applyBorder="1" applyAlignment="1">
      <alignment horizontal="left" vertical="center"/>
    </xf>
    <xf numFmtId="0" fontId="114" fillId="6" borderId="40" xfId="0" applyFont="1" applyFill="1" applyBorder="1" applyAlignment="1">
      <alignment horizontal="left" vertical="center" wrapText="1"/>
    </xf>
    <xf numFmtId="0" fontId="114" fillId="6" borderId="13" xfId="0" applyFont="1" applyFill="1" applyBorder="1" applyAlignment="1">
      <alignment horizontal="left" vertical="center"/>
    </xf>
    <xf numFmtId="0" fontId="113" fillId="6" borderId="6" xfId="0" applyFont="1" applyFill="1" applyBorder="1" applyAlignment="1">
      <alignment horizontal="left" vertical="center" wrapText="1"/>
    </xf>
    <xf numFmtId="0" fontId="261" fillId="6" borderId="9" xfId="0" applyFont="1" applyFill="1" applyBorder="1" applyAlignment="1">
      <alignment horizontal="left" vertical="center" wrapText="1"/>
    </xf>
    <xf numFmtId="10" fontId="262" fillId="6" borderId="9" xfId="0" applyNumberFormat="1" applyFont="1" applyFill="1" applyBorder="1" applyAlignment="1">
      <alignment horizontal="left" vertical="center" wrapText="1"/>
    </xf>
    <xf numFmtId="10" fontId="262" fillId="6" borderId="10" xfId="0" applyNumberFormat="1" applyFont="1" applyFill="1" applyBorder="1" applyAlignment="1">
      <alignment horizontal="left" vertical="center" wrapText="1"/>
    </xf>
    <xf numFmtId="0" fontId="113" fillId="6" borderId="23" xfId="0" applyFont="1" applyFill="1" applyBorder="1" applyAlignment="1">
      <alignment horizontal="left" vertical="center" wrapText="1"/>
    </xf>
    <xf numFmtId="0" fontId="261" fillId="6" borderId="1" xfId="0" applyFont="1" applyFill="1" applyBorder="1" applyAlignment="1">
      <alignment horizontal="left" vertical="center" wrapText="1"/>
    </xf>
    <xf numFmtId="10" fontId="262" fillId="6" borderId="1" xfId="0" applyNumberFormat="1" applyFont="1" applyFill="1" applyBorder="1" applyAlignment="1">
      <alignment horizontal="left" vertical="center" wrapText="1"/>
    </xf>
    <xf numFmtId="10" fontId="262" fillId="6" borderId="24" xfId="0" applyNumberFormat="1" applyFont="1" applyFill="1" applyBorder="1" applyAlignment="1">
      <alignment horizontal="left" vertical="center" wrapText="1"/>
    </xf>
    <xf numFmtId="0" fontId="113" fillId="6" borderId="11" xfId="0" applyFont="1" applyFill="1" applyBorder="1" applyAlignment="1">
      <alignment horizontal="left" vertical="center" wrapText="1"/>
    </xf>
    <xf numFmtId="0" fontId="261" fillId="6" borderId="13" xfId="0" applyFont="1" applyFill="1" applyBorder="1" applyAlignment="1">
      <alignment horizontal="left" vertical="center" wrapText="1"/>
    </xf>
    <xf numFmtId="10" fontId="262"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2" fillId="6" borderId="61" xfId="0" applyNumberFormat="1" applyFont="1" applyFill="1" applyBorder="1" applyAlignment="1">
      <alignment horizontal="left" vertical="center" wrapText="1"/>
    </xf>
    <xf numFmtId="0" fontId="263" fillId="6" borderId="1" xfId="0" applyFont="1" applyFill="1" applyBorder="1" applyAlignment="1">
      <alignment horizontal="left" vertical="center" wrapText="1"/>
    </xf>
    <xf numFmtId="0" fontId="263" fillId="6" borderId="13" xfId="0" applyFont="1" applyFill="1" applyBorder="1" applyAlignment="1">
      <alignment horizontal="left" vertical="center" wrapText="1"/>
    </xf>
    <xf numFmtId="0" fontId="261" fillId="6" borderId="6" xfId="0" applyFont="1" applyFill="1" applyBorder="1" applyAlignment="1">
      <alignment horizontal="left" vertical="center" wrapText="1"/>
    </xf>
    <xf numFmtId="0" fontId="261"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1" fillId="6" borderId="11" xfId="0" applyFont="1" applyFill="1" applyBorder="1" applyAlignment="1">
      <alignment horizontal="left" vertical="center" wrapText="1"/>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92" fontId="261" fillId="6" borderId="1" xfId="18" applyFont="1" applyFill="1" applyBorder="1" applyAlignment="1">
      <alignment horizontal="left" vertical="center" wrapText="1"/>
    </xf>
    <xf numFmtId="0" fontId="261" fillId="6" borderId="25" xfId="0" applyFont="1" applyFill="1" applyBorder="1" applyAlignment="1">
      <alignment horizontal="left" vertical="center" wrapText="1"/>
    </xf>
    <xf numFmtId="0" fontId="261" fillId="6" borderId="32" xfId="0" applyFont="1" applyFill="1" applyBorder="1" applyAlignment="1">
      <alignment horizontal="left" vertical="center" wrapText="1"/>
    </xf>
    <xf numFmtId="10" fontId="262" fillId="6" borderId="32" xfId="0" applyNumberFormat="1" applyFont="1" applyFill="1" applyBorder="1" applyAlignment="1">
      <alignment horizontal="left" vertical="center" wrapText="1"/>
    </xf>
    <xf numFmtId="10" fontId="262" fillId="6" borderId="49" xfId="0" applyNumberFormat="1" applyFont="1" applyFill="1" applyBorder="1" applyAlignment="1">
      <alignment horizontal="left" vertical="center" wrapText="1"/>
    </xf>
    <xf numFmtId="0" fontId="266" fillId="0" borderId="0" xfId="0" applyFont="1" applyAlignment="1">
      <alignment horizontal="left" vertical="center"/>
    </xf>
    <xf numFmtId="0" fontId="98" fillId="0" borderId="0" xfId="0" applyFont="1" applyAlignment="1">
      <alignment horizontal="right" vertical="center"/>
    </xf>
    <xf numFmtId="0" fontId="267" fillId="0" borderId="1" xfId="0" applyFont="1" applyBorder="1" applyAlignment="1">
      <alignment horizontal="left" vertical="center"/>
    </xf>
    <xf numFmtId="0" fontId="267" fillId="0" borderId="1" xfId="0" applyFont="1" applyBorder="1" applyAlignment="1">
      <alignment horizontal="left" vertical="center" wrapText="1"/>
    </xf>
    <xf numFmtId="0" fontId="268" fillId="0" borderId="1" xfId="0" applyFont="1" applyBorder="1" applyAlignment="1">
      <alignment horizontal="left" vertical="center"/>
    </xf>
    <xf numFmtId="0" fontId="269" fillId="0" borderId="1" xfId="0" applyFont="1" applyBorder="1" applyAlignment="1">
      <alignment horizontal="left" vertical="center" wrapText="1"/>
    </xf>
    <xf numFmtId="49" fontId="101" fillId="6" borderId="14" xfId="0" applyNumberFormat="1" applyFont="1" applyFill="1" applyBorder="1" applyAlignment="1">
      <alignment vertical="center" wrapText="1"/>
    </xf>
    <xf numFmtId="49" fontId="56" fillId="6" borderId="14" xfId="0" applyNumberFormat="1" applyFont="1" applyFill="1" applyBorder="1" applyAlignment="1">
      <alignment vertical="center" wrapText="1"/>
    </xf>
    <xf numFmtId="10" fontId="56" fillId="6" borderId="0" xfId="0" applyNumberFormat="1" applyFont="1" applyFill="1" applyAlignment="1">
      <alignment vertical="center" wrapText="1"/>
    </xf>
    <xf numFmtId="49" fontId="56" fillId="6" borderId="12" xfId="0" applyNumberFormat="1" applyFont="1" applyFill="1" applyBorder="1" applyAlignment="1">
      <alignment vertical="center" wrapText="1"/>
    </xf>
    <xf numFmtId="49" fontId="83" fillId="6" borderId="26" xfId="0" applyNumberFormat="1" applyFont="1" applyFill="1" applyBorder="1" applyAlignment="1">
      <alignment horizontal="center" vertical="center" wrapText="1"/>
    </xf>
    <xf numFmtId="0" fontId="57" fillId="6" borderId="84" xfId="0" applyFont="1" applyFill="1" applyBorder="1" applyAlignment="1">
      <alignment horizontal="left" vertical="center" wrapText="1"/>
    </xf>
    <xf numFmtId="0" fontId="56" fillId="0" borderId="34" xfId="0" applyFont="1" applyBorder="1" applyAlignment="1" applyProtection="1">
      <alignment horizontal="left" vertical="center" wrapText="1"/>
      <protection locked="0"/>
    </xf>
    <xf numFmtId="0" fontId="56" fillId="6" borderId="34" xfId="0" applyFont="1" applyFill="1" applyBorder="1" applyAlignment="1">
      <alignment horizontal="left" vertical="center" wrapText="1"/>
    </xf>
    <xf numFmtId="0" fontId="22" fillId="6" borderId="3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56" fillId="0" borderId="1" xfId="0" applyFont="1" applyBorder="1" applyAlignment="1" applyProtection="1">
      <alignment horizontal="left" vertical="center"/>
      <protection locked="0"/>
    </xf>
    <xf numFmtId="0" fontId="56" fillId="6" borderId="0" xfId="0" applyFont="1" applyFill="1" applyAlignment="1">
      <alignment horizontal="left" vertical="center" wrapText="1"/>
    </xf>
    <xf numFmtId="0" fontId="116" fillId="6" borderId="60" xfId="0" applyFont="1" applyFill="1" applyBorder="1" applyAlignment="1">
      <alignment horizontal="left" vertical="center"/>
    </xf>
    <xf numFmtId="0" fontId="116" fillId="6" borderId="71" xfId="0" applyFont="1" applyFill="1" applyBorder="1" applyAlignment="1">
      <alignment horizontal="left" vertical="center"/>
    </xf>
    <xf numFmtId="0" fontId="56" fillId="0" borderId="13" xfId="0" applyFont="1" applyBorder="1" applyAlignment="1" applyProtection="1">
      <alignment horizontal="left" vertical="center" wrapText="1"/>
      <protection locked="0"/>
    </xf>
    <xf numFmtId="0" fontId="56" fillId="0" borderId="61" xfId="0" applyFont="1" applyBorder="1" applyAlignment="1" applyProtection="1">
      <alignment horizontal="left" vertical="center" wrapText="1"/>
      <protection locked="0"/>
    </xf>
    <xf numFmtId="0" fontId="102" fillId="6" borderId="15" xfId="0" applyFont="1" applyFill="1" applyBorder="1" applyAlignment="1">
      <alignment horizontal="left" vertical="center" wrapText="1"/>
    </xf>
    <xf numFmtId="0" fontId="83" fillId="6" borderId="9" xfId="0" applyFont="1" applyFill="1" applyBorder="1" applyAlignment="1">
      <alignment horizontal="left" vertical="center" wrapText="1"/>
    </xf>
    <xf numFmtId="0" fontId="22" fillId="6" borderId="9" xfId="0" applyFont="1" applyFill="1" applyBorder="1" applyAlignment="1" applyProtection="1">
      <alignment horizontal="left" vertical="center" wrapText="1"/>
      <protection locked="0"/>
    </xf>
    <xf numFmtId="0" fontId="22" fillId="6" borderId="1" xfId="0" applyFont="1" applyFill="1" applyBorder="1" applyAlignment="1">
      <alignment horizontal="left" vertical="center"/>
    </xf>
    <xf numFmtId="0" fontId="22" fillId="6" borderId="1" xfId="0" applyFont="1" applyFill="1" applyBorder="1" applyAlignment="1">
      <alignment horizontal="left" vertical="center" wrapText="1"/>
    </xf>
    <xf numFmtId="0" fontId="57" fillId="6" borderId="2" xfId="0" applyFont="1" applyFill="1" applyBorder="1" applyAlignment="1">
      <alignment horizontal="center" vertical="center" wrapText="1"/>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left" vertical="center" wrapText="1"/>
      <protection locked="0"/>
    </xf>
    <xf numFmtId="49" fontId="83" fillId="6" borderId="6" xfId="0" applyNumberFormat="1" applyFont="1" applyFill="1" applyBorder="1" applyAlignment="1">
      <alignment horizontal="center" vertical="center" wrapText="1"/>
    </xf>
    <xf numFmtId="0" fontId="56" fillId="6" borderId="9" xfId="0" applyFont="1" applyFill="1" applyBorder="1" applyAlignment="1" applyProtection="1">
      <alignment horizontal="left" vertical="center" wrapText="1"/>
      <protection locked="0"/>
    </xf>
    <xf numFmtId="0" fontId="56" fillId="6" borderId="10" xfId="0" applyFont="1" applyFill="1" applyBorder="1" applyAlignment="1" applyProtection="1">
      <alignment horizontal="left" vertical="center" wrapText="1"/>
      <protection locked="0"/>
    </xf>
    <xf numFmtId="49" fontId="101" fillId="6" borderId="23" xfId="0" applyNumberFormat="1" applyFont="1" applyFill="1" applyBorder="1" applyAlignment="1">
      <alignment vertical="center" wrapText="1"/>
    </xf>
    <xf numFmtId="0" fontId="56" fillId="6" borderId="24" xfId="0" applyFont="1" applyFill="1" applyBorder="1" applyAlignment="1" applyProtection="1">
      <alignment horizontal="left" vertical="center" wrapText="1"/>
      <protection locked="0"/>
    </xf>
    <xf numFmtId="49" fontId="101" fillId="6" borderId="25" xfId="0" applyNumberFormat="1" applyFont="1" applyFill="1" applyBorder="1" applyAlignment="1">
      <alignment vertical="center" wrapText="1"/>
    </xf>
    <xf numFmtId="0" fontId="102" fillId="6" borderId="32" xfId="0" applyFont="1" applyFill="1" applyBorder="1" applyAlignment="1">
      <alignment horizontal="left" vertical="center" wrapText="1"/>
    </xf>
    <xf numFmtId="0" fontId="56" fillId="6" borderId="32" xfId="0" applyFont="1" applyFill="1" applyBorder="1" applyAlignment="1" applyProtection="1">
      <alignment horizontal="left" vertical="center" wrapText="1"/>
      <protection locked="0"/>
    </xf>
    <xf numFmtId="0" fontId="56" fillId="0" borderId="32" xfId="0" applyFont="1" applyBorder="1" applyAlignment="1" applyProtection="1">
      <alignment horizontal="left" vertical="center" wrapText="1"/>
      <protection locked="0"/>
    </xf>
    <xf numFmtId="0" fontId="22"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0" fontId="56" fillId="6" borderId="28" xfId="0" applyFont="1" applyFill="1" applyBorder="1" applyAlignment="1">
      <alignment vertical="center" wrapText="1"/>
    </xf>
    <xf numFmtId="0" fontId="56" fillId="6" borderId="30" xfId="0" applyFont="1" applyFill="1" applyBorder="1" applyAlignment="1">
      <alignment vertical="center" wrapText="1"/>
    </xf>
    <xf numFmtId="0" fontId="56" fillId="5" borderId="84" xfId="8" applyFont="1" applyFill="1" applyBorder="1" applyAlignment="1" applyProtection="1">
      <alignment horizontal="center" vertical="center" wrapText="1"/>
      <protection locked="0"/>
    </xf>
    <xf numFmtId="10" fontId="56" fillId="6" borderId="64" xfId="0" applyNumberFormat="1" applyFont="1" applyFill="1" applyBorder="1" applyAlignment="1">
      <alignment horizontal="center" vertical="center" wrapText="1"/>
    </xf>
    <xf numFmtId="0" fontId="80" fillId="6" borderId="5" xfId="0" applyFont="1" applyFill="1" applyBorder="1">
      <alignment vertical="center"/>
    </xf>
    <xf numFmtId="0" fontId="22" fillId="6" borderId="20" xfId="0" applyFont="1" applyFill="1" applyBorder="1">
      <alignment vertical="center"/>
    </xf>
    <xf numFmtId="0" fontId="56" fillId="6" borderId="24" xfId="0" applyFont="1" applyFill="1" applyBorder="1" applyAlignment="1">
      <alignment horizontal="left" vertical="center" wrapText="1"/>
    </xf>
    <xf numFmtId="0" fontId="22" fillId="7" borderId="0" xfId="0" applyFont="1" applyFill="1" applyAlignment="1">
      <alignment horizontal="left" vertical="center" wrapText="1"/>
    </xf>
    <xf numFmtId="0" fontId="56" fillId="7" borderId="0" xfId="0" applyFont="1" applyFill="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56" fillId="6" borderId="23" xfId="0" applyFont="1" applyFill="1" applyBorder="1" applyAlignment="1">
      <alignment horizontal="left" vertical="center" wrapText="1"/>
    </xf>
    <xf numFmtId="9" fontId="56" fillId="6" borderId="25" xfId="0" applyNumberFormat="1" applyFont="1" applyFill="1" applyBorder="1" applyAlignment="1">
      <alignment horizontal="left" vertical="center" wrapText="1"/>
    </xf>
    <xf numFmtId="10" fontId="22" fillId="7" borderId="10" xfId="0" applyNumberFormat="1" applyFont="1" applyFill="1" applyBorder="1" applyAlignment="1" applyProtection="1">
      <alignment horizontal="left" vertical="center" wrapText="1"/>
      <protection locked="0"/>
    </xf>
    <xf numFmtId="10" fontId="56" fillId="7" borderId="49" xfId="0" applyNumberFormat="1" applyFont="1" applyFill="1" applyBorder="1" applyAlignment="1" applyProtection="1">
      <alignment horizontal="left" vertical="center" wrapText="1"/>
      <protection locked="0"/>
    </xf>
    <xf numFmtId="0" fontId="22" fillId="7" borderId="0" xfId="0" applyFont="1" applyFill="1" applyAlignment="1" applyProtection="1">
      <alignment horizontal="left" vertical="center" wrapText="1"/>
      <protection locked="0"/>
    </xf>
    <xf numFmtId="0" fontId="56" fillId="6" borderId="23" xfId="0" applyFont="1" applyFill="1" applyBorder="1" applyAlignment="1">
      <alignment horizontal="left" vertical="center"/>
    </xf>
    <xf numFmtId="0" fontId="61" fillId="6" borderId="1" xfId="8" applyFont="1" applyFill="1" applyBorder="1" applyAlignment="1">
      <alignment horizontal="left" vertical="center" wrapText="1"/>
    </xf>
    <xf numFmtId="0" fontId="102" fillId="6" borderId="1" xfId="8" applyFont="1" applyFill="1" applyBorder="1" applyAlignment="1">
      <alignment horizontal="left" vertical="center"/>
    </xf>
    <xf numFmtId="0" fontId="116" fillId="0" borderId="1" xfId="8" applyFont="1" applyBorder="1" applyAlignment="1" applyProtection="1">
      <alignment horizontal="left" vertical="center"/>
      <protection locked="0"/>
    </xf>
    <xf numFmtId="0" fontId="116" fillId="6" borderId="1" xfId="8" applyFont="1" applyFill="1" applyBorder="1" applyAlignment="1">
      <alignment horizontal="left" vertical="center"/>
    </xf>
    <xf numFmtId="0" fontId="116" fillId="6" borderId="1" xfId="8" applyFont="1" applyFill="1" applyBorder="1" applyAlignment="1">
      <alignment horizontal="left" vertical="center" wrapText="1"/>
    </xf>
    <xf numFmtId="9" fontId="102" fillId="6" borderId="1" xfId="17" applyFont="1" applyFill="1" applyBorder="1" applyAlignment="1" applyProtection="1">
      <alignment horizontal="left" vertical="center" wrapText="1"/>
    </xf>
    <xf numFmtId="9" fontId="102" fillId="6" borderId="32" xfId="17" applyFont="1" applyFill="1" applyBorder="1" applyAlignment="1" applyProtection="1">
      <alignment horizontal="left" vertical="center" wrapText="1"/>
    </xf>
    <xf numFmtId="0" fontId="125" fillId="6" borderId="23" xfId="0" applyFont="1" applyFill="1" applyBorder="1" applyAlignment="1">
      <alignment horizontal="left" vertical="center" wrapText="1"/>
    </xf>
    <xf numFmtId="0" fontId="102" fillId="6" borderId="0" xfId="0" applyFont="1" applyFill="1" applyAlignment="1">
      <alignment horizontal="center" vertical="center" wrapText="1"/>
    </xf>
    <xf numFmtId="0" fontId="102" fillId="5" borderId="0" xfId="0" applyFont="1" applyFill="1" applyAlignment="1" applyProtection="1">
      <alignment horizontal="center" vertical="center" wrapText="1"/>
      <protection locked="0"/>
    </xf>
    <xf numFmtId="10" fontId="102" fillId="6" borderId="0" xfId="0" applyNumberFormat="1" applyFont="1" applyFill="1" applyAlignment="1">
      <alignment horizontal="center" vertical="center" wrapText="1"/>
    </xf>
    <xf numFmtId="10" fontId="101" fillId="0" borderId="0" xfId="0" applyNumberFormat="1" applyFont="1" applyAlignment="1" applyProtection="1">
      <alignment horizontal="center" vertical="center"/>
      <protection locked="0"/>
    </xf>
    <xf numFmtId="10" fontId="101" fillId="6" borderId="0" xfId="0" applyNumberFormat="1" applyFont="1" applyFill="1" applyAlignment="1">
      <alignment horizontal="center" vertical="center"/>
    </xf>
    <xf numFmtId="9" fontId="102" fillId="6" borderId="0" xfId="17" applyFont="1" applyFill="1" applyBorder="1" applyAlignment="1" applyProtection="1">
      <alignment horizontal="left" vertical="center" wrapText="1"/>
    </xf>
    <xf numFmtId="10" fontId="54" fillId="6" borderId="0" xfId="0" applyNumberFormat="1" applyFont="1" applyFill="1" applyAlignment="1">
      <alignment horizontal="center" vertical="center" wrapText="1"/>
    </xf>
    <xf numFmtId="0" fontId="112" fillId="6" borderId="51" xfId="0" applyFont="1" applyFill="1" applyBorder="1" applyAlignment="1">
      <alignment horizontal="left" vertical="center"/>
    </xf>
    <xf numFmtId="0" fontId="207" fillId="6" borderId="19"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102" fillId="6" borderId="25" xfId="0" applyFont="1" applyFill="1" applyBorder="1" applyAlignment="1">
      <alignment horizontal="left" vertical="center" wrapText="1"/>
    </xf>
    <xf numFmtId="0" fontId="116" fillId="6" borderId="58" xfId="0" applyFont="1" applyFill="1" applyBorder="1" applyAlignment="1">
      <alignment horizontal="left" vertical="center" wrapText="1"/>
    </xf>
    <xf numFmtId="0" fontId="56" fillId="6" borderId="61" xfId="0" applyFont="1" applyFill="1" applyBorder="1" applyAlignment="1">
      <alignment horizontal="left" vertical="center" wrapText="1"/>
    </xf>
    <xf numFmtId="0" fontId="56" fillId="6" borderId="53" xfId="0" applyFont="1" applyFill="1" applyBorder="1" applyAlignment="1">
      <alignment horizontal="left" vertical="center" wrapText="1"/>
    </xf>
    <xf numFmtId="0" fontId="56" fillId="6" borderId="76" xfId="0" applyFont="1" applyFill="1" applyBorder="1" applyAlignment="1">
      <alignment horizontal="left" vertical="center" wrapText="1"/>
    </xf>
    <xf numFmtId="0" fontId="171" fillId="0" borderId="1" xfId="0" applyFont="1" applyBorder="1" applyAlignment="1" applyProtection="1">
      <alignment horizontal="left" vertical="center" wrapText="1"/>
      <protection locked="0"/>
    </xf>
    <xf numFmtId="0" fontId="171" fillId="0" borderId="13" xfId="0" applyFont="1" applyBorder="1" applyAlignment="1" applyProtection="1">
      <alignment horizontal="left" vertical="center" wrapText="1"/>
      <protection locked="0"/>
    </xf>
    <xf numFmtId="49" fontId="102" fillId="6" borderId="0" xfId="0" applyNumberFormat="1" applyFont="1" applyFill="1" applyAlignment="1">
      <alignment horizontal="center" vertical="center" wrapText="1"/>
    </xf>
    <xf numFmtId="0" fontId="116" fillId="6" borderId="1" xfId="0" applyFont="1" applyFill="1" applyBorder="1" applyAlignment="1">
      <alignment horizontal="left" vertical="center" wrapText="1"/>
    </xf>
    <xf numFmtId="0" fontId="102" fillId="6" borderId="5" xfId="0" applyFont="1" applyFill="1" applyBorder="1" applyAlignment="1">
      <alignment horizontal="left" vertical="center"/>
    </xf>
    <xf numFmtId="0" fontId="102" fillId="6" borderId="54" xfId="0" applyFont="1" applyFill="1" applyBorder="1" applyAlignment="1">
      <alignment horizontal="left" vertical="center"/>
    </xf>
    <xf numFmtId="0" fontId="102" fillId="6" borderId="3" xfId="0" applyFont="1" applyFill="1" applyBorder="1" applyAlignment="1">
      <alignment horizontal="left" vertical="center"/>
    </xf>
    <xf numFmtId="0" fontId="102" fillId="6" borderId="0" xfId="0" applyFont="1" applyFill="1" applyAlignment="1">
      <alignment horizontal="left" vertical="center"/>
    </xf>
    <xf numFmtId="0" fontId="102" fillId="6" borderId="1" xfId="0" applyFont="1" applyFill="1" applyBorder="1" applyAlignment="1">
      <alignment horizontal="left" vertical="center"/>
    </xf>
    <xf numFmtId="0" fontId="116" fillId="6" borderId="1" xfId="0" applyFont="1" applyFill="1" applyBorder="1" applyAlignment="1">
      <alignment horizontal="left" vertical="center"/>
    </xf>
    <xf numFmtId="0" fontId="102" fillId="0" borderId="0" xfId="0" applyFont="1" applyAlignment="1">
      <alignment horizontal="left" vertical="center"/>
    </xf>
    <xf numFmtId="0" fontId="56" fillId="0" borderId="0" xfId="0" applyFont="1" applyAlignment="1" applyProtection="1">
      <alignment horizontal="left" vertical="center" wrapText="1"/>
      <protection locked="0"/>
    </xf>
    <xf numFmtId="0" fontId="56" fillId="6" borderId="15" xfId="0" applyFont="1" applyFill="1" applyBorder="1" applyAlignment="1">
      <alignment horizontal="left" vertical="center" wrapText="1"/>
    </xf>
    <xf numFmtId="0" fontId="56" fillId="6" borderId="17" xfId="0" applyFont="1" applyFill="1" applyBorder="1" applyAlignment="1">
      <alignment horizontal="left" vertical="center" wrapText="1"/>
    </xf>
    <xf numFmtId="0" fontId="116" fillId="6" borderId="19" xfId="0" applyFont="1" applyFill="1" applyBorder="1" applyAlignment="1">
      <alignment horizontal="left" vertical="center" wrapText="1"/>
    </xf>
    <xf numFmtId="0" fontId="173" fillId="6" borderId="1" xfId="3" applyFont="1" applyFill="1" applyBorder="1" applyAlignment="1">
      <alignment horizontal="left" vertical="center"/>
    </xf>
    <xf numFmtId="0" fontId="101" fillId="0" borderId="0" xfId="0" applyFont="1" applyAlignment="1">
      <alignment horizontal="left" vertical="center"/>
    </xf>
    <xf numFmtId="0" fontId="56" fillId="6" borderId="16" xfId="0" applyFont="1" applyFill="1" applyBorder="1" applyAlignment="1">
      <alignment horizontal="left" vertical="center" wrapText="1"/>
    </xf>
    <xf numFmtId="0" fontId="56" fillId="6" borderId="9" xfId="3" applyFont="1" applyFill="1" applyBorder="1" applyAlignment="1">
      <alignment horizontal="left" vertical="center"/>
    </xf>
    <xf numFmtId="0" fontId="56" fillId="6" borderId="2" xfId="3" applyFont="1" applyFill="1" applyBorder="1" applyAlignment="1">
      <alignment horizontal="left" vertical="center"/>
    </xf>
    <xf numFmtId="0" fontId="56" fillId="6" borderId="2" xfId="3" applyFont="1" applyFill="1" applyBorder="1" applyAlignment="1">
      <alignment horizontal="left" vertical="center" wrapText="1"/>
    </xf>
    <xf numFmtId="0" fontId="56" fillId="6" borderId="17" xfId="3" applyFont="1" applyFill="1" applyBorder="1" applyAlignment="1">
      <alignment horizontal="left" vertical="center"/>
    </xf>
    <xf numFmtId="0" fontId="56" fillId="6" borderId="62" xfId="3" applyFont="1" applyFill="1" applyBorder="1" applyAlignment="1">
      <alignment horizontal="left" vertical="center"/>
    </xf>
    <xf numFmtId="0" fontId="116" fillId="6" borderId="24" xfId="0" applyFont="1" applyFill="1" applyBorder="1" applyAlignment="1">
      <alignment horizontal="left" vertical="center" wrapText="1"/>
    </xf>
    <xf numFmtId="0" fontId="56" fillId="6" borderId="25" xfId="0" applyFont="1" applyFill="1" applyBorder="1" applyAlignment="1">
      <alignment horizontal="left" vertical="center" wrapText="1"/>
    </xf>
    <xf numFmtId="0" fontId="116" fillId="6" borderId="32" xfId="0" applyFont="1" applyFill="1" applyBorder="1" applyAlignment="1">
      <alignment horizontal="left" vertical="center" wrapText="1"/>
    </xf>
    <xf numFmtId="0" fontId="116" fillId="6" borderId="49" xfId="0" applyFont="1" applyFill="1" applyBorder="1" applyAlignment="1">
      <alignment horizontal="left" vertical="center" wrapText="1"/>
    </xf>
    <xf numFmtId="0" fontId="22" fillId="0" borderId="0" xfId="0" applyFont="1" applyAlignment="1">
      <alignment horizontal="left" vertical="center" wrapText="1"/>
    </xf>
    <xf numFmtId="179" fontId="116" fillId="6" borderId="15" xfId="0" applyNumberFormat="1" applyFont="1" applyFill="1" applyBorder="1" applyAlignment="1">
      <alignment horizontal="left" vertical="center" wrapText="1"/>
    </xf>
    <xf numFmtId="177" fontId="80" fillId="0" borderId="1" xfId="1" applyNumberFormat="1" applyFont="1" applyBorder="1" applyProtection="1">
      <alignment vertical="center"/>
      <protection locked="0" hidden="1"/>
    </xf>
    <xf numFmtId="177" fontId="131" fillId="0" borderId="1" xfId="1" applyNumberFormat="1" applyFont="1" applyBorder="1" applyProtection="1">
      <alignment vertical="center"/>
      <protection locked="0"/>
    </xf>
    <xf numFmtId="0" fontId="61" fillId="0" borderId="1" xfId="8" applyFont="1" applyBorder="1" applyAlignment="1">
      <alignment horizontal="center" vertical="center" wrapText="1"/>
    </xf>
    <xf numFmtId="0" fontId="22" fillId="5" borderId="1" xfId="0" applyFont="1" applyFill="1" applyBorder="1" applyAlignment="1" applyProtection="1">
      <alignment vertical="center" wrapText="1"/>
      <protection locked="0"/>
    </xf>
    <xf numFmtId="10" fontId="101" fillId="6" borderId="1" xfId="17" applyNumberFormat="1" applyFont="1" applyFill="1" applyBorder="1" applyAlignment="1" applyProtection="1">
      <alignment horizontal="left" vertical="center"/>
    </xf>
    <xf numFmtId="0" fontId="56" fillId="5" borderId="1" xfId="0" applyFont="1" applyFill="1" applyBorder="1" applyAlignment="1" applyProtection="1">
      <alignment horizontal="left" vertical="center" wrapText="1"/>
      <protection locked="0"/>
    </xf>
    <xf numFmtId="0" fontId="50" fillId="5" borderId="13" xfId="0" applyFont="1" applyFill="1" applyBorder="1" applyAlignment="1" applyProtection="1">
      <alignment horizontal="left" vertical="center" wrapText="1"/>
      <protection locked="0"/>
    </xf>
    <xf numFmtId="186" fontId="60" fillId="6" borderId="1" xfId="1" applyNumberFormat="1" applyFont="1" applyFill="1" applyBorder="1" applyAlignment="1">
      <alignment horizontal="right" vertical="center"/>
    </xf>
    <xf numFmtId="186" fontId="55" fillId="6" borderId="1" xfId="0" applyNumberFormat="1" applyFont="1" applyFill="1" applyBorder="1" applyAlignment="1">
      <alignment horizontal="right" vertical="center"/>
    </xf>
    <xf numFmtId="0" fontId="65" fillId="5" borderId="118" xfId="0" applyFont="1" applyFill="1" applyBorder="1" applyProtection="1">
      <alignment vertical="center"/>
      <protection locked="0"/>
    </xf>
    <xf numFmtId="186" fontId="60" fillId="6" borderId="2" xfId="0" applyNumberFormat="1" applyFont="1" applyFill="1" applyBorder="1" applyAlignment="1">
      <alignment horizontal="right" vertical="center"/>
    </xf>
    <xf numFmtId="179" fontId="47" fillId="0" borderId="23" xfId="0" applyNumberFormat="1" applyFont="1" applyBorder="1" applyAlignment="1" applyProtection="1">
      <alignment horizontal="center" vertical="center"/>
      <protection locked="0"/>
    </xf>
    <xf numFmtId="179" fontId="50" fillId="0" borderId="23" xfId="0" applyNumberFormat="1" applyFont="1" applyBorder="1" applyAlignment="1" applyProtection="1">
      <alignment horizontal="center" vertical="center"/>
      <protection locked="0"/>
    </xf>
    <xf numFmtId="179" fontId="47" fillId="0" borderId="23" xfId="0" applyNumberFormat="1" applyFont="1" applyBorder="1" applyProtection="1">
      <alignment vertical="center"/>
      <protection locked="0"/>
    </xf>
    <xf numFmtId="0" fontId="141" fillId="7" borderId="0" xfId="0" applyFont="1" applyFill="1" applyAlignment="1" applyProtection="1">
      <protection locked="0"/>
    </xf>
    <xf numFmtId="0" fontId="80" fillId="6" borderId="0" xfId="0" applyFont="1" applyFill="1" applyAlignment="1" applyProtection="1">
      <protection locked="0"/>
    </xf>
    <xf numFmtId="0" fontId="65" fillId="5" borderId="88" xfId="0" applyFont="1" applyFill="1" applyBorder="1" applyProtection="1">
      <alignment vertical="center"/>
      <protection locked="0"/>
    </xf>
    <xf numFmtId="176" fontId="47" fillId="0" borderId="23" xfId="0" applyNumberFormat="1" applyFont="1" applyBorder="1" applyAlignment="1" applyProtection="1">
      <alignment horizontal="center" vertical="center" wrapText="1"/>
      <protection locked="0"/>
    </xf>
    <xf numFmtId="176" fontId="47" fillId="0" borderId="3" xfId="0" applyNumberFormat="1" applyFont="1" applyBorder="1" applyAlignment="1" applyProtection="1">
      <alignment horizontal="center" vertical="center" wrapText="1"/>
      <protection locked="0"/>
    </xf>
    <xf numFmtId="0" fontId="111" fillId="6" borderId="16" xfId="0" applyFont="1" applyFill="1" applyBorder="1" applyAlignment="1">
      <alignment horizontal="left" vertical="center"/>
    </xf>
    <xf numFmtId="0" fontId="98" fillId="6" borderId="1" xfId="0" applyFont="1" applyFill="1" applyBorder="1" applyAlignment="1">
      <alignment horizontal="left" vertical="center"/>
    </xf>
    <xf numFmtId="0" fontId="163" fillId="12" borderId="1" xfId="12" applyFont="1" applyFill="1" applyBorder="1" applyAlignment="1" applyProtection="1">
      <alignment horizontal="left" vertical="center" wrapText="1"/>
      <protection locked="0"/>
    </xf>
    <xf numFmtId="9" fontId="162" fillId="12" borderId="1" xfId="12" applyNumberFormat="1" applyFill="1" applyBorder="1" applyAlignment="1" applyProtection="1">
      <alignment horizontal="left"/>
      <protection locked="0"/>
    </xf>
    <xf numFmtId="0" fontId="56" fillId="5" borderId="0" xfId="4" applyFont="1" applyFill="1" applyAlignment="1" applyProtection="1">
      <alignment vertical="center"/>
      <protection locked="0"/>
    </xf>
    <xf numFmtId="176" fontId="56" fillId="0" borderId="0" xfId="4" applyNumberFormat="1" applyFont="1" applyProtection="1">
      <protection locked="0"/>
    </xf>
    <xf numFmtId="0" fontId="162" fillId="6" borderId="1" xfId="12" applyFill="1" applyBorder="1" applyAlignment="1">
      <alignment horizontal="left"/>
    </xf>
    <xf numFmtId="0" fontId="56" fillId="5" borderId="65" xfId="0" applyFont="1" applyFill="1" applyBorder="1" applyAlignment="1" applyProtection="1">
      <alignment vertical="center" wrapText="1"/>
      <protection locked="0"/>
    </xf>
    <xf numFmtId="10" fontId="56" fillId="7" borderId="0" xfId="0" applyNumberFormat="1" applyFont="1" applyFill="1" applyAlignment="1" applyProtection="1">
      <alignment horizontal="left" vertical="center" wrapText="1"/>
      <protection locked="0"/>
    </xf>
    <xf numFmtId="0" fontId="271" fillId="0" borderId="0" xfId="9" applyFont="1">
      <alignment vertical="center"/>
    </xf>
    <xf numFmtId="0" fontId="98"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8"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1"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1" fillId="6" borderId="1" xfId="0" applyNumberFormat="1" applyFont="1" applyFill="1" applyBorder="1" applyAlignment="1" applyProtection="1">
      <alignment horizontal="left" vertical="center"/>
      <protection locked="0"/>
    </xf>
    <xf numFmtId="0" fontId="274" fillId="0" borderId="0" xfId="0" applyFont="1" applyAlignment="1" applyProtection="1">
      <alignment horizontal="left" vertical="center"/>
      <protection locked="0"/>
    </xf>
    <xf numFmtId="2" fontId="147" fillId="13" borderId="0" xfId="9" applyNumberFormat="1" applyFont="1" applyFill="1" applyAlignment="1">
      <alignment horizontal="right" vertical="center"/>
    </xf>
    <xf numFmtId="2" fontId="147" fillId="21" borderId="0" xfId="9" applyNumberFormat="1" applyFont="1" applyFill="1" applyAlignment="1">
      <alignment horizontal="right" vertical="center"/>
    </xf>
    <xf numFmtId="0" fontId="147" fillId="13" borderId="0" xfId="9" applyFont="1" applyFill="1" applyAlignment="1">
      <alignment horizontal="right" vertical="center"/>
    </xf>
    <xf numFmtId="0" fontId="147"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7" fillId="18" borderId="171" xfId="9" applyNumberFormat="1" applyFont="1" applyFill="1" applyBorder="1" applyAlignment="1">
      <alignment horizontal="right" vertical="center"/>
    </xf>
    <xf numFmtId="1" fontId="0" fillId="5" borderId="0" xfId="0" applyNumberFormat="1" applyFill="1">
      <alignment vertical="center"/>
    </xf>
    <xf numFmtId="49" fontId="0" fillId="0" borderId="0" xfId="0" applyNumberFormat="1">
      <alignment vertical="center"/>
    </xf>
    <xf numFmtId="14" fontId="98" fillId="0" borderId="0" xfId="0" applyNumberFormat="1" applyFont="1">
      <alignment vertical="center"/>
    </xf>
    <xf numFmtId="0" fontId="80" fillId="0" borderId="1" xfId="0" applyFont="1" applyBorder="1" applyAlignment="1" applyProtection="1">
      <alignment vertical="center" wrapText="1"/>
      <protection locked="0"/>
    </xf>
    <xf numFmtId="0" fontId="80" fillId="12" borderId="0" xfId="0" applyFont="1" applyFill="1" applyProtection="1">
      <alignment vertical="center"/>
      <protection locked="0"/>
    </xf>
    <xf numFmtId="179" fontId="131" fillId="12" borderId="0" xfId="0" applyNumberFormat="1" applyFont="1" applyFill="1" applyProtection="1">
      <alignment vertical="center"/>
      <protection locked="0"/>
    </xf>
    <xf numFmtId="49" fontId="80" fillId="0" borderId="1" xfId="0" applyNumberFormat="1" applyFont="1" applyBorder="1" applyAlignment="1" applyProtection="1">
      <alignment horizontal="center" vertical="center" wrapText="1"/>
      <protection locked="0"/>
    </xf>
    <xf numFmtId="49" fontId="63" fillId="0" borderId="1" xfId="0" applyNumberFormat="1" applyFont="1" applyBorder="1" applyAlignment="1" applyProtection="1">
      <alignment horizontal="center" vertical="center"/>
      <protection locked="0"/>
    </xf>
    <xf numFmtId="49" fontId="50" fillId="0" borderId="1" xfId="0" applyNumberFormat="1" applyFont="1" applyBorder="1" applyProtection="1">
      <alignment vertical="center"/>
      <protection locked="0"/>
    </xf>
    <xf numFmtId="0" fontId="131" fillId="12" borderId="0" xfId="0" applyFont="1" applyFill="1" applyProtection="1">
      <alignment vertical="center"/>
      <protection locked="0"/>
    </xf>
    <xf numFmtId="0" fontId="80" fillId="5" borderId="0" xfId="0" applyFont="1" applyFill="1" applyProtection="1">
      <alignment vertical="center"/>
      <protection locked="0"/>
    </xf>
    <xf numFmtId="0" fontId="163" fillId="5" borderId="0" xfId="12" applyFont="1" applyFill="1" applyAlignment="1" applyProtection="1">
      <alignment horizontal="left" vertical="center" wrapText="1"/>
      <protection locked="0"/>
    </xf>
    <xf numFmtId="0" fontId="162" fillId="5" borderId="0" xfId="12" applyFill="1" applyAlignment="1" applyProtection="1">
      <alignment horizontal="left"/>
      <protection locked="0"/>
    </xf>
    <xf numFmtId="0" fontId="3" fillId="5" borderId="0" xfId="12" applyFont="1" applyFill="1" applyAlignment="1" applyProtection="1">
      <alignment horizontal="left"/>
      <protection locked="0"/>
    </xf>
    <xf numFmtId="49" fontId="275" fillId="12" borderId="4" xfId="0" applyNumberFormat="1" applyFont="1" applyFill="1" applyBorder="1" applyAlignment="1" applyProtection="1">
      <alignment horizontal="left" vertical="center"/>
      <protection locked="0"/>
    </xf>
    <xf numFmtId="0" fontId="116" fillId="6" borderId="13" xfId="0" applyFont="1" applyFill="1" applyBorder="1">
      <alignment vertical="center"/>
    </xf>
    <xf numFmtId="0" fontId="225" fillId="0" borderId="108" xfId="0" applyFont="1" applyBorder="1" applyAlignment="1" applyProtection="1">
      <alignment horizontal="center" vertical="center" wrapText="1"/>
      <protection locked="0"/>
    </xf>
    <xf numFmtId="0" fontId="80" fillId="0" borderId="109" xfId="0" applyFont="1" applyBorder="1" applyAlignment="1" applyProtection="1">
      <alignment horizontal="center" vertical="center" wrapText="1"/>
      <protection locked="0"/>
    </xf>
    <xf numFmtId="0" fontId="80" fillId="0" borderId="110" xfId="0" applyFont="1" applyBorder="1" applyAlignment="1" applyProtection="1">
      <alignment horizontal="center" vertical="center" wrapText="1"/>
      <protection locked="0"/>
    </xf>
    <xf numFmtId="0" fontId="0" fillId="5" borderId="0" xfId="0" applyFill="1" applyAlignment="1"/>
    <xf numFmtId="14" fontId="0" fillId="5" borderId="0" xfId="0" applyNumberFormat="1" applyFill="1" applyAlignment="1"/>
    <xf numFmtId="14" fontId="0" fillId="0" borderId="0" xfId="0" applyNumberFormat="1" applyAlignment="1"/>
    <xf numFmtId="0" fontId="97" fillId="0" borderId="9" xfId="0" applyFont="1" applyBorder="1" applyAlignment="1" applyProtection="1">
      <alignment horizontal="center" vertical="center" wrapText="1"/>
      <protection locked="0"/>
    </xf>
    <xf numFmtId="0" fontId="276" fillId="12" borderId="0" xfId="0" applyFont="1" applyFill="1" applyAlignment="1" applyProtection="1">
      <alignment horizontal="center" vertical="center"/>
      <protection locked="0"/>
    </xf>
    <xf numFmtId="0" fontId="2" fillId="9" borderId="0" xfId="12" applyFont="1" applyFill="1" applyAlignment="1" applyProtection="1">
      <alignment horizontal="left"/>
      <protection locked="0"/>
    </xf>
    <xf numFmtId="0" fontId="3" fillId="9" borderId="0" xfId="12" applyFont="1" applyFill="1" applyAlignment="1" applyProtection="1">
      <alignment horizontal="left"/>
      <protection locked="0"/>
    </xf>
    <xf numFmtId="0" fontId="162" fillId="9" borderId="0" xfId="12" applyFill="1" applyAlignment="1" applyProtection="1">
      <alignment horizontal="left"/>
      <protection locked="0"/>
    </xf>
    <xf numFmtId="0" fontId="131" fillId="0" borderId="44"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47" fillId="0" borderId="32" xfId="10" applyFont="1" applyBorder="1" applyAlignment="1" applyProtection="1">
      <alignment horizontal="center" vertical="center" wrapText="1"/>
      <protection locked="0"/>
    </xf>
    <xf numFmtId="0" fontId="54" fillId="0" borderId="32" xfId="10" applyFont="1" applyBorder="1" applyAlignment="1" applyProtection="1">
      <alignment horizontal="center" vertical="center" wrapText="1"/>
      <protection locked="0"/>
    </xf>
    <xf numFmtId="0" fontId="47" fillId="0" borderId="1" xfId="10" applyFont="1" applyBorder="1" applyAlignment="1" applyProtection="1">
      <alignment horizontal="center" vertical="center" wrapText="1"/>
      <protection locked="0"/>
    </xf>
    <xf numFmtId="0" fontId="131" fillId="0" borderId="51" xfId="0" applyFont="1" applyBorder="1" applyAlignment="1" applyProtection="1">
      <alignment horizontal="center" vertical="center" wrapText="1"/>
      <protection locked="0"/>
    </xf>
    <xf numFmtId="177" fontId="269" fillId="0" borderId="176" xfId="0" applyNumberFormat="1" applyFont="1" applyBorder="1" applyAlignment="1">
      <alignment horizontal="left" vertical="top" wrapText="1"/>
    </xf>
    <xf numFmtId="0" fontId="269" fillId="0" borderId="176" xfId="0" applyFont="1" applyBorder="1" applyAlignment="1">
      <alignment horizontal="left" vertical="top" wrapText="1"/>
    </xf>
    <xf numFmtId="0" fontId="269" fillId="0" borderId="177" xfId="0" applyFont="1" applyBorder="1" applyAlignment="1">
      <alignment horizontal="left" vertical="top" wrapText="1"/>
    </xf>
    <xf numFmtId="49" fontId="269" fillId="0" borderId="176" xfId="0" applyNumberFormat="1" applyFont="1" applyBorder="1" applyAlignment="1">
      <alignment horizontal="left" vertical="top" wrapText="1"/>
    </xf>
    <xf numFmtId="179" fontId="269" fillId="0" borderId="176" xfId="0" applyNumberFormat="1" applyFont="1" applyBorder="1" applyAlignment="1">
      <alignment horizontal="left" vertical="top" wrapText="1"/>
    </xf>
    <xf numFmtId="198" fontId="269" fillId="0" borderId="176" xfId="0" applyNumberFormat="1" applyFont="1" applyBorder="1" applyAlignment="1">
      <alignment horizontal="left" vertical="top" wrapText="1"/>
    </xf>
    <xf numFmtId="0" fontId="269" fillId="0" borderId="0" xfId="0" applyFont="1" applyAlignment="1">
      <alignment horizontal="left" vertical="top" wrapText="1"/>
    </xf>
    <xf numFmtId="185" fontId="269" fillId="0" borderId="176" xfId="0" applyNumberFormat="1" applyFont="1" applyBorder="1" applyAlignment="1">
      <alignment horizontal="left" vertical="top" wrapText="1"/>
    </xf>
    <xf numFmtId="0" fontId="245" fillId="0" borderId="176" xfId="0" applyFont="1" applyBorder="1" applyAlignment="1">
      <alignment horizontal="left" vertical="top" wrapText="1"/>
    </xf>
    <xf numFmtId="179" fontId="245" fillId="0" borderId="176" xfId="0" applyNumberFormat="1" applyFont="1" applyBorder="1" applyAlignment="1">
      <alignment horizontal="left" vertical="top" wrapText="1"/>
    </xf>
    <xf numFmtId="177" fontId="269" fillId="5" borderId="176" xfId="0" applyNumberFormat="1" applyFont="1" applyFill="1" applyBorder="1" applyAlignment="1">
      <alignment horizontal="left" vertical="top" wrapText="1"/>
    </xf>
    <xf numFmtId="179" fontId="269" fillId="5" borderId="176" xfId="0" applyNumberFormat="1" applyFont="1" applyFill="1" applyBorder="1" applyAlignment="1">
      <alignment horizontal="left" vertical="top" wrapText="1"/>
    </xf>
    <xf numFmtId="185" fontId="269" fillId="5" borderId="176" xfId="0" applyNumberFormat="1" applyFont="1" applyFill="1" applyBorder="1" applyAlignment="1">
      <alignment horizontal="left" vertical="top" wrapText="1"/>
    </xf>
    <xf numFmtId="178" fontId="269" fillId="0" borderId="176" xfId="0" applyNumberFormat="1" applyFont="1" applyBorder="1" applyAlignment="1">
      <alignment horizontal="left" vertical="top" wrapText="1"/>
    </xf>
    <xf numFmtId="0" fontId="269" fillId="5" borderId="176" xfId="0" applyFont="1" applyFill="1" applyBorder="1" applyAlignment="1">
      <alignment horizontal="left" vertical="top" wrapText="1"/>
    </xf>
    <xf numFmtId="0" fontId="269" fillId="5" borderId="177" xfId="0" applyFont="1" applyFill="1" applyBorder="1" applyAlignment="1">
      <alignment horizontal="left" vertical="top" wrapText="1"/>
    </xf>
    <xf numFmtId="49" fontId="269" fillId="5" borderId="176" xfId="0" applyNumberFormat="1" applyFont="1" applyFill="1" applyBorder="1" applyAlignment="1">
      <alignment horizontal="left" vertical="top" wrapText="1"/>
    </xf>
    <xf numFmtId="49" fontId="245" fillId="0" borderId="176" xfId="0" applyNumberFormat="1" applyFont="1" applyBorder="1" applyAlignment="1">
      <alignment horizontal="left" vertical="top" wrapText="1"/>
    </xf>
    <xf numFmtId="178" fontId="269" fillId="5" borderId="176" xfId="0" applyNumberFormat="1" applyFont="1" applyFill="1" applyBorder="1" applyAlignment="1">
      <alignment horizontal="left" vertical="top" wrapText="1"/>
    </xf>
    <xf numFmtId="0" fontId="269" fillId="5" borderId="0" xfId="0" applyFont="1" applyFill="1" applyAlignment="1">
      <alignment horizontal="left" vertical="top" wrapText="1"/>
    </xf>
    <xf numFmtId="199" fontId="269" fillId="0" borderId="0" xfId="0" applyNumberFormat="1" applyFont="1" applyAlignment="1">
      <alignment horizontal="left" vertical="top" textRotation="255" wrapText="1"/>
    </xf>
    <xf numFmtId="200" fontId="269" fillId="0" borderId="176" xfId="0" applyNumberFormat="1" applyFont="1" applyBorder="1" applyAlignment="1">
      <alignment horizontal="left" vertical="top" wrapText="1"/>
    </xf>
    <xf numFmtId="0" fontId="269" fillId="0" borderId="178" xfId="0" applyFont="1" applyBorder="1" applyAlignment="1">
      <alignment horizontal="left" vertical="top" wrapText="1"/>
    </xf>
    <xf numFmtId="0" fontId="98" fillId="0" borderId="1" xfId="0" applyFont="1" applyBorder="1">
      <alignment vertical="center"/>
    </xf>
    <xf numFmtId="0" fontId="0" fillId="0" borderId="1" xfId="0" applyBorder="1">
      <alignment vertical="center"/>
    </xf>
    <xf numFmtId="49" fontId="98" fillId="0" borderId="1" xfId="0" applyNumberFormat="1" applyFont="1" applyBorder="1">
      <alignment vertical="center"/>
    </xf>
    <xf numFmtId="0" fontId="278" fillId="0" borderId="0" xfId="0" applyFont="1" applyAlignment="1">
      <alignment horizontal="left" vertical="top" wrapText="1"/>
    </xf>
    <xf numFmtId="0" fontId="279" fillId="0" borderId="0" xfId="0" applyFont="1">
      <alignment vertical="center"/>
    </xf>
    <xf numFmtId="0" fontId="245" fillId="0" borderId="177" xfId="0" applyFont="1" applyBorder="1" applyAlignment="1">
      <alignment horizontal="left" vertical="top" wrapText="1"/>
    </xf>
    <xf numFmtId="179" fontId="269" fillId="0" borderId="177" xfId="0" applyNumberFormat="1" applyFont="1" applyBorder="1" applyAlignment="1">
      <alignment horizontal="left" vertical="top" wrapText="1"/>
    </xf>
    <xf numFmtId="179" fontId="269" fillId="5" borderId="177" xfId="0" applyNumberFormat="1" applyFont="1" applyFill="1" applyBorder="1" applyAlignment="1">
      <alignment horizontal="left" vertical="top" wrapText="1"/>
    </xf>
    <xf numFmtId="0" fontId="269" fillId="0" borderId="58" xfId="0" applyFont="1" applyBorder="1" applyAlignment="1">
      <alignment horizontal="left" vertical="top" wrapText="1"/>
    </xf>
    <xf numFmtId="179" fontId="269" fillId="0" borderId="58" xfId="0" applyNumberFormat="1" applyFont="1" applyBorder="1" applyAlignment="1">
      <alignment horizontal="left" vertical="top" wrapText="1"/>
    </xf>
    <xf numFmtId="179" fontId="269" fillId="5" borderId="58" xfId="0" applyNumberFormat="1" applyFont="1" applyFill="1" applyBorder="1" applyAlignment="1">
      <alignment horizontal="left" vertical="top" wrapText="1"/>
    </xf>
    <xf numFmtId="179" fontId="269" fillId="0" borderId="0" xfId="0" applyNumberFormat="1" applyFont="1" applyAlignment="1">
      <alignment horizontal="left" vertical="top" wrapText="1"/>
    </xf>
    <xf numFmtId="179" fontId="269" fillId="0" borderId="0" xfId="0" applyNumberFormat="1" applyFont="1" applyAlignment="1">
      <alignment vertical="top" wrapText="1"/>
    </xf>
    <xf numFmtId="0" fontId="245" fillId="0" borderId="176" xfId="0" applyFont="1" applyBorder="1" applyAlignment="1" applyProtection="1">
      <alignment horizontal="left" vertical="top" wrapText="1"/>
      <protection locked="0"/>
    </xf>
    <xf numFmtId="0" fontId="269" fillId="0" borderId="176" xfId="0" applyFont="1" applyBorder="1" applyAlignment="1" applyProtection="1">
      <alignment horizontal="left" vertical="top" wrapText="1"/>
      <protection locked="0"/>
    </xf>
    <xf numFmtId="179" fontId="269" fillId="0" borderId="176" xfId="0" applyNumberFormat="1" applyFont="1" applyBorder="1" applyAlignment="1" applyProtection="1">
      <alignment horizontal="left" vertical="top" wrapText="1"/>
      <protection locked="0"/>
    </xf>
    <xf numFmtId="179" fontId="245" fillId="0" borderId="176" xfId="0" applyNumberFormat="1" applyFont="1" applyBorder="1" applyAlignment="1" applyProtection="1">
      <alignment horizontal="left" vertical="top" wrapText="1"/>
      <protection locked="0"/>
    </xf>
    <xf numFmtId="179" fontId="269" fillId="5" borderId="176" xfId="0" applyNumberFormat="1" applyFont="1" applyFill="1" applyBorder="1" applyAlignment="1" applyProtection="1">
      <alignment horizontal="left" vertical="top" wrapText="1"/>
      <protection locked="0"/>
    </xf>
    <xf numFmtId="0" fontId="269" fillId="5" borderId="176" xfId="0" applyFont="1" applyFill="1" applyBorder="1" applyAlignment="1" applyProtection="1">
      <alignment horizontal="left" vertical="top" wrapText="1"/>
      <protection locked="0"/>
    </xf>
    <xf numFmtId="4" fontId="269" fillId="0" borderId="177" xfId="0" applyNumberFormat="1" applyFont="1" applyBorder="1" applyAlignment="1">
      <alignment horizontal="left" vertical="top" wrapText="1"/>
    </xf>
    <xf numFmtId="178" fontId="269" fillId="0" borderId="176" xfId="0" applyNumberFormat="1" applyFont="1" applyBorder="1" applyAlignment="1" applyProtection="1">
      <alignment horizontal="left" vertical="top" wrapText="1"/>
      <protection locked="0"/>
    </xf>
    <xf numFmtId="200" fontId="269" fillId="0" borderId="176" xfId="0" applyNumberFormat="1" applyFont="1" applyBorder="1" applyAlignment="1" applyProtection="1">
      <alignment horizontal="left" vertical="top" wrapText="1"/>
      <protection locked="0"/>
    </xf>
    <xf numFmtId="49" fontId="80" fillId="0" borderId="109" xfId="0" applyNumberFormat="1" applyFont="1" applyBorder="1" applyAlignment="1" applyProtection="1">
      <alignment horizontal="center" vertical="center" wrapText="1"/>
      <protection locked="0"/>
    </xf>
    <xf numFmtId="49" fontId="80" fillId="0" borderId="110" xfId="0" applyNumberFormat="1" applyFont="1" applyBorder="1" applyAlignment="1" applyProtection="1">
      <alignment horizontal="center" vertical="center" wrapText="1"/>
      <protection locked="0"/>
    </xf>
    <xf numFmtId="49" fontId="269" fillId="0" borderId="176" xfId="0" applyNumberFormat="1" applyFont="1" applyBorder="1" applyAlignment="1" applyProtection="1">
      <alignment horizontal="left" vertical="top" wrapText="1"/>
      <protection locked="0"/>
    </xf>
    <xf numFmtId="49" fontId="269" fillId="5" borderId="176" xfId="0" applyNumberFormat="1" applyFont="1" applyFill="1" applyBorder="1" applyAlignment="1" applyProtection="1">
      <alignment horizontal="left" vertical="top" wrapText="1"/>
      <protection locked="0"/>
    </xf>
    <xf numFmtId="49" fontId="245" fillId="0" borderId="176" xfId="0" applyNumberFormat="1" applyFont="1" applyBorder="1" applyAlignment="1" applyProtection="1">
      <alignment horizontal="left" vertical="top" wrapText="1"/>
      <protection locked="0"/>
    </xf>
    <xf numFmtId="49" fontId="47" fillId="0" borderId="44" xfId="0" applyNumberFormat="1" applyFont="1" applyBorder="1" applyAlignment="1" applyProtection="1">
      <alignment horizontal="center" vertical="center" wrapText="1"/>
      <protection locked="0"/>
    </xf>
    <xf numFmtId="0" fontId="50" fillId="6" borderId="1" xfId="0" applyFont="1" applyFill="1" applyBorder="1" applyAlignment="1" applyProtection="1">
      <alignment horizontal="center" vertical="center"/>
      <protection locked="0"/>
    </xf>
    <xf numFmtId="0" fontId="98" fillId="0" borderId="0" xfId="0" applyFont="1" applyAlignment="1">
      <alignment vertical="center" wrapText="1"/>
    </xf>
    <xf numFmtId="0" fontId="0" fillId="0" borderId="0" xfId="0" applyAlignment="1">
      <alignment vertical="center" wrapText="1"/>
    </xf>
    <xf numFmtId="14" fontId="0" fillId="0" borderId="0" xfId="0" applyNumberFormat="1">
      <alignment vertical="center"/>
    </xf>
    <xf numFmtId="0" fontId="189" fillId="0" borderId="0" xfId="5" applyFont="1" applyAlignment="1">
      <alignment horizontal="left" vertical="top" wrapText="1"/>
    </xf>
    <xf numFmtId="0" fontId="48" fillId="0" borderId="13" xfId="7" applyFont="1" applyBorder="1" applyAlignment="1">
      <alignment horizontal="left" vertical="center" wrapText="1"/>
    </xf>
    <xf numFmtId="0" fontId="48" fillId="0" borderId="15" xfId="7" applyFont="1" applyBorder="1" applyAlignment="1">
      <alignment horizontal="left" vertical="center" wrapText="1"/>
    </xf>
    <xf numFmtId="0" fontId="48" fillId="0" borderId="77" xfId="7" applyFont="1" applyBorder="1" applyAlignment="1">
      <alignment horizontal="left" vertical="center" wrapText="1"/>
    </xf>
    <xf numFmtId="0" fontId="199" fillId="0" borderId="87" xfId="7" applyFont="1" applyBorder="1" applyAlignment="1">
      <alignment horizontal="center" vertical="center"/>
    </xf>
    <xf numFmtId="0" fontId="133" fillId="0" borderId="0" xfId="7" applyFont="1" applyAlignment="1">
      <alignment horizontal="left" vertical="center" wrapText="1"/>
    </xf>
    <xf numFmtId="0" fontId="199" fillId="0" borderId="0" xfId="7" applyFont="1" applyAlignment="1">
      <alignment horizontal="center" vertical="center"/>
    </xf>
    <xf numFmtId="0" fontId="48" fillId="0" borderId="2" xfId="7" applyFont="1" applyBorder="1" applyAlignment="1">
      <alignment horizontal="left" vertical="center" wrapText="1"/>
    </xf>
    <xf numFmtId="0" fontId="48" fillId="0" borderId="13" xfId="7" applyFont="1" applyBorder="1" applyAlignment="1">
      <alignment vertical="center" wrapText="1"/>
    </xf>
    <xf numFmtId="0" fontId="48" fillId="0" borderId="15" xfId="7" applyFont="1" applyBorder="1" applyAlignment="1">
      <alignment vertical="center" wrapText="1"/>
    </xf>
    <xf numFmtId="0" fontId="48" fillId="0" borderId="2" xfId="7" applyFont="1" applyBorder="1" applyAlignment="1">
      <alignment vertical="center" wrapText="1"/>
    </xf>
    <xf numFmtId="0" fontId="64" fillId="0" borderId="78" xfId="0" applyFont="1" applyBorder="1" applyAlignment="1">
      <alignment horizontal="center" vertical="center" wrapText="1"/>
    </xf>
    <xf numFmtId="0" fontId="50" fillId="0" borderId="0" xfId="0" applyFont="1" applyAlignment="1">
      <alignment horizontal="left" vertical="center"/>
    </xf>
    <xf numFmtId="0" fontId="48" fillId="0" borderId="1" xfId="0" applyFont="1" applyBorder="1" applyAlignment="1">
      <alignment horizontal="center" vertical="center" wrapText="1"/>
    </xf>
    <xf numFmtId="0" fontId="64" fillId="0" borderId="1" xfId="0" applyFont="1" applyBorder="1" applyAlignment="1">
      <alignment horizontal="center" vertical="center" wrapText="1"/>
    </xf>
    <xf numFmtId="0" fontId="64" fillId="0" borderId="5" xfId="0" applyFont="1" applyBorder="1" applyAlignment="1">
      <alignment horizontal="center" vertical="center" wrapText="1"/>
    </xf>
    <xf numFmtId="0" fontId="64" fillId="0" borderId="54" xfId="0" applyFont="1" applyBorder="1" applyAlignment="1">
      <alignment horizontal="center" vertical="center" wrapText="1"/>
    </xf>
    <xf numFmtId="0" fontId="64" fillId="0" borderId="3" xfId="0" applyFont="1" applyBorder="1" applyAlignment="1">
      <alignment horizontal="center" vertical="center" wrapText="1"/>
    </xf>
    <xf numFmtId="0" fontId="208" fillId="0" borderId="0" xfId="0" applyFont="1" applyAlignment="1">
      <alignment horizontal="center" vertical="center"/>
    </xf>
    <xf numFmtId="0" fontId="64" fillId="0" borderId="44" xfId="0" applyFont="1" applyBorder="1" applyAlignment="1">
      <alignment horizontal="center" vertical="center" wrapText="1"/>
    </xf>
    <xf numFmtId="0" fontId="128" fillId="0" borderId="0" xfId="0" applyFont="1" applyAlignment="1">
      <alignment horizontal="left" vertical="center" wrapText="1"/>
    </xf>
    <xf numFmtId="192" fontId="203" fillId="0" borderId="0" xfId="0" applyNumberFormat="1" applyFont="1" applyAlignment="1" applyProtection="1">
      <alignment horizontal="right" vertical="center"/>
      <protection locked="0"/>
    </xf>
    <xf numFmtId="0" fontId="216" fillId="0" borderId="0" xfId="0" applyFont="1" applyAlignment="1" applyProtection="1">
      <alignment horizontal="left" vertical="center" wrapText="1"/>
      <protection locked="0"/>
    </xf>
    <xf numFmtId="0" fontId="101" fillId="0" borderId="0" xfId="0" applyFont="1" applyAlignment="1">
      <alignment vertical="center" wrapText="1"/>
    </xf>
    <xf numFmtId="0" fontId="169" fillId="0" borderId="0" xfId="0" applyFont="1" applyAlignment="1" applyProtection="1">
      <alignment vertical="center" wrapText="1"/>
      <protection locked="0"/>
    </xf>
    <xf numFmtId="0" fontId="127" fillId="0" borderId="0" xfId="0" applyFont="1" applyAlignment="1">
      <alignment horizontal="left" vertical="center" wrapText="1"/>
    </xf>
    <xf numFmtId="0" fontId="199" fillId="0" borderId="0" xfId="0" applyFont="1" applyAlignment="1">
      <alignment horizontal="left" vertical="center"/>
    </xf>
    <xf numFmtId="0" fontId="199" fillId="0" borderId="0" xfId="0" applyFont="1" applyAlignment="1">
      <alignment horizontal="justify" vertical="center" wrapText="1"/>
    </xf>
    <xf numFmtId="0" fontId="64" fillId="0" borderId="0" xfId="0" applyFont="1" applyAlignment="1">
      <alignment horizontal="left" vertical="center" wrapText="1"/>
    </xf>
    <xf numFmtId="0" fontId="220"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6" xfId="5" applyFont="1" applyBorder="1" applyAlignment="1">
      <alignment horizontal="left" vertical="center"/>
    </xf>
    <xf numFmtId="0" fontId="98" fillId="6" borderId="0" xfId="0" applyFont="1" applyFill="1" applyAlignment="1">
      <alignment horizontal="center" vertical="center" wrapText="1"/>
    </xf>
    <xf numFmtId="0" fontId="249" fillId="6" borderId="60" xfId="0" applyFont="1" applyFill="1" applyBorder="1" applyAlignment="1">
      <alignment horizontal="left" vertical="center"/>
    </xf>
    <xf numFmtId="0" fontId="50" fillId="6" borderId="1" xfId="0" applyFont="1" applyFill="1" applyBorder="1" applyAlignment="1">
      <alignment horizontal="center" vertical="center" wrapText="1"/>
    </xf>
    <xf numFmtId="0" fontId="50" fillId="6" borderId="15" xfId="0" applyFont="1" applyFill="1" applyBorder="1" applyAlignment="1">
      <alignment horizontal="left" vertical="center"/>
    </xf>
    <xf numFmtId="0" fontId="50" fillId="6" borderId="2" xfId="0" applyFont="1" applyFill="1" applyBorder="1" applyAlignment="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lignment horizontal="left" vertical="center"/>
    </xf>
    <xf numFmtId="0" fontId="50" fillId="6" borderId="35" xfId="0" applyFont="1" applyFill="1" applyBorder="1" applyAlignment="1">
      <alignment horizontal="left" vertical="center"/>
    </xf>
    <xf numFmtId="0" fontId="50" fillId="6" borderId="34" xfId="0" applyFont="1" applyFill="1" applyBorder="1" applyAlignment="1">
      <alignment horizontal="left" vertical="center" wrapText="1"/>
    </xf>
    <xf numFmtId="0" fontId="50" fillId="6" borderId="64" xfId="0" applyFont="1" applyFill="1" applyBorder="1" applyAlignment="1">
      <alignment horizontal="left" vertical="center" wrapText="1"/>
    </xf>
    <xf numFmtId="0" fontId="50" fillId="6" borderId="65" xfId="0" applyFont="1" applyFill="1" applyBorder="1" applyAlignment="1">
      <alignment horizontal="left" vertical="center" wrapText="1"/>
    </xf>
    <xf numFmtId="0" fontId="50" fillId="16" borderId="13" xfId="0" applyFont="1" applyFill="1" applyBorder="1" applyAlignment="1">
      <alignment horizontal="center" vertical="center" wrapText="1"/>
    </xf>
    <xf numFmtId="0" fontId="50" fillId="16" borderId="103" xfId="0" applyFont="1" applyFill="1" applyBorder="1" applyAlignment="1">
      <alignment horizontal="center" vertical="center" wrapText="1"/>
    </xf>
    <xf numFmtId="0" fontId="50" fillId="6" borderId="58" xfId="0" applyFont="1" applyFill="1" applyBorder="1" applyAlignment="1">
      <alignment horizontal="center" vertical="center" wrapText="1"/>
    </xf>
    <xf numFmtId="0" fontId="50" fillId="6" borderId="6" xfId="0" applyFont="1" applyFill="1" applyBorder="1">
      <alignment vertical="center"/>
    </xf>
    <xf numFmtId="0" fontId="50" fillId="6" borderId="10" xfId="0" applyFont="1" applyFill="1" applyBorder="1">
      <alignment vertical="center"/>
    </xf>
    <xf numFmtId="0" fontId="50" fillId="6" borderId="51" xfId="0" applyFont="1" applyFill="1" applyBorder="1">
      <alignment vertical="center"/>
    </xf>
    <xf numFmtId="0" fontId="50" fillId="6" borderId="20" xfId="0" applyFont="1" applyFill="1" applyBorder="1">
      <alignment vertical="center"/>
    </xf>
    <xf numFmtId="49" fontId="171" fillId="0" borderId="4" xfId="0" applyNumberFormat="1" applyFont="1" applyBorder="1" applyAlignment="1" applyProtection="1">
      <alignment horizontal="left" vertical="center"/>
      <protection locked="0"/>
    </xf>
    <xf numFmtId="49" fontId="171" fillId="0" borderId="54" xfId="0" applyNumberFormat="1" applyFont="1" applyBorder="1" applyAlignment="1" applyProtection="1">
      <alignment horizontal="left" vertical="center"/>
      <protection locked="0"/>
    </xf>
    <xf numFmtId="49" fontId="171" fillId="0" borderId="3" xfId="0" applyNumberFormat="1" applyFont="1" applyBorder="1" applyAlignment="1" applyProtection="1">
      <alignment horizontal="left" vertical="center"/>
      <protection locked="0"/>
    </xf>
    <xf numFmtId="0" fontId="171" fillId="0" borderId="5" xfId="0" applyFont="1" applyBorder="1" applyAlignment="1" applyProtection="1">
      <alignment horizontal="left" vertical="center"/>
      <protection locked="0"/>
    </xf>
    <xf numFmtId="0" fontId="171" fillId="0" borderId="54" xfId="0" applyFont="1" applyBorder="1" applyAlignment="1" applyProtection="1">
      <alignment horizontal="left" vertical="center"/>
      <protection locked="0"/>
    </xf>
    <xf numFmtId="0" fontId="171" fillId="0" borderId="3" xfId="0" applyFont="1" applyBorder="1" applyAlignment="1" applyProtection="1">
      <alignment horizontal="left" vertical="center"/>
      <protection locked="0"/>
    </xf>
    <xf numFmtId="49" fontId="171" fillId="7" borderId="5" xfId="0" applyNumberFormat="1" applyFont="1" applyFill="1" applyBorder="1" applyAlignment="1" applyProtection="1">
      <alignment horizontal="left" vertical="center"/>
      <protection locked="0"/>
    </xf>
    <xf numFmtId="49" fontId="171" fillId="7" borderId="54" xfId="0" applyNumberFormat="1" applyFont="1" applyFill="1" applyBorder="1" applyAlignment="1" applyProtection="1">
      <alignment horizontal="left" vertical="center"/>
      <protection locked="0"/>
    </xf>
    <xf numFmtId="49" fontId="171" fillId="7" borderId="3" xfId="0" applyNumberFormat="1" applyFont="1" applyFill="1" applyBorder="1" applyAlignment="1" applyProtection="1">
      <alignment horizontal="left" vertical="center"/>
      <protection locked="0"/>
    </xf>
    <xf numFmtId="49" fontId="171" fillId="7" borderId="85" xfId="0" applyNumberFormat="1" applyFont="1" applyFill="1" applyBorder="1" applyAlignment="1" applyProtection="1">
      <alignment horizontal="left" vertical="center"/>
      <protection locked="0"/>
    </xf>
    <xf numFmtId="49" fontId="171" fillId="7" borderId="88" xfId="0" applyNumberFormat="1" applyFont="1" applyFill="1" applyBorder="1" applyAlignment="1" applyProtection="1">
      <alignment horizontal="left" vertical="center"/>
      <protection locked="0"/>
    </xf>
    <xf numFmtId="49" fontId="171" fillId="7" borderId="118" xfId="0" applyNumberFormat="1" applyFont="1" applyFill="1" applyBorder="1" applyAlignment="1" applyProtection="1">
      <alignment horizontal="left" vertical="center"/>
      <protection locked="0"/>
    </xf>
    <xf numFmtId="0" fontId="47" fillId="6" borderId="6" xfId="0" applyFont="1" applyFill="1" applyBorder="1" applyAlignment="1">
      <alignment horizontal="center" vertical="center"/>
    </xf>
    <xf numFmtId="0" fontId="47" fillId="6" borderId="9" xfId="0" applyFont="1" applyFill="1" applyBorder="1" applyAlignment="1">
      <alignment horizontal="center" vertical="center"/>
    </xf>
    <xf numFmtId="0" fontId="47" fillId="6" borderId="10" xfId="0" applyFont="1" applyFill="1" applyBorder="1" applyAlignment="1">
      <alignment horizontal="center" vertical="center"/>
    </xf>
    <xf numFmtId="0" fontId="49" fillId="6" borderId="40" xfId="0" applyFont="1" applyFill="1" applyBorder="1" applyAlignment="1">
      <alignment horizontal="center" vertical="center"/>
    </xf>
    <xf numFmtId="0" fontId="49" fillId="6" borderId="17" xfId="0" applyFont="1" applyFill="1" applyBorder="1" applyAlignment="1">
      <alignment horizontal="center" vertical="center"/>
    </xf>
    <xf numFmtId="0" fontId="49" fillId="6" borderId="62"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51" xfId="0" applyFont="1" applyFill="1" applyBorder="1" applyAlignment="1">
      <alignment horizontal="center" vertical="center"/>
    </xf>
    <xf numFmtId="0" fontId="49" fillId="6" borderId="20" xfId="0" applyFont="1" applyFill="1" applyBorder="1" applyAlignment="1">
      <alignment horizontal="center" vertical="center"/>
    </xf>
    <xf numFmtId="0" fontId="49"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72" fillId="6" borderId="105" xfId="0" applyFont="1" applyFill="1" applyBorder="1">
      <alignment vertical="center"/>
    </xf>
    <xf numFmtId="0" fontId="72" fillId="6" borderId="101" xfId="0" applyFont="1" applyFill="1" applyBorder="1">
      <alignment vertical="center"/>
    </xf>
    <xf numFmtId="0" fontId="50" fillId="6" borderId="54" xfId="0" applyFont="1" applyFill="1" applyBorder="1" applyAlignment="1">
      <alignment horizontal="left" vertical="center" wrapText="1"/>
    </xf>
    <xf numFmtId="0" fontId="47" fillId="6" borderId="1" xfId="0" applyFont="1" applyFill="1" applyBorder="1" applyAlignment="1">
      <alignment horizontal="center" vertical="center" wrapText="1"/>
    </xf>
    <xf numFmtId="0" fontId="55" fillId="6" borderId="51" xfId="0"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21" xfId="0" applyFont="1" applyFill="1" applyBorder="1" applyAlignment="1">
      <alignment horizontal="center" vertical="center" wrapText="1"/>
    </xf>
    <xf numFmtId="0" fontId="55" fillId="6" borderId="46" xfId="0" applyFont="1" applyFill="1" applyBorder="1" applyAlignment="1">
      <alignment horizontal="left" vertical="center" wrapText="1"/>
    </xf>
    <xf numFmtId="0" fontId="55" fillId="6" borderId="36" xfId="0" applyFont="1" applyFill="1" applyBorder="1" applyAlignment="1">
      <alignment horizontal="left" vertical="center" wrapText="1"/>
    </xf>
    <xf numFmtId="0" fontId="55" fillId="6" borderId="22" xfId="0" applyFont="1" applyFill="1" applyBorder="1" applyAlignment="1">
      <alignment horizontal="left" vertical="center" wrapText="1"/>
    </xf>
    <xf numFmtId="0" fontId="49" fillId="6" borderId="40"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0" fontId="49" fillId="6" borderId="21" xfId="0" applyFont="1" applyFill="1" applyBorder="1" applyAlignment="1">
      <alignment horizontal="center" vertical="center"/>
    </xf>
    <xf numFmtId="0" fontId="55" fillId="6" borderId="47" xfId="0" applyFont="1" applyFill="1" applyBorder="1" applyAlignment="1">
      <alignment horizontal="center" vertical="center"/>
    </xf>
    <xf numFmtId="0" fontId="47" fillId="6" borderId="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lignment horizontal="left" vertical="center" wrapText="1"/>
    </xf>
    <xf numFmtId="10" fontId="116" fillId="6" borderId="5" xfId="0" applyNumberFormat="1" applyFont="1" applyFill="1" applyBorder="1" applyAlignment="1">
      <alignment horizontal="left" vertical="center" wrapText="1"/>
    </xf>
    <xf numFmtId="10" fontId="116" fillId="6" borderId="54" xfId="0" applyNumberFormat="1" applyFont="1" applyFill="1" applyBorder="1" applyAlignment="1">
      <alignment horizontal="left" vertical="center" wrapText="1"/>
    </xf>
    <xf numFmtId="10" fontId="116" fillId="6" borderId="48" xfId="0" applyNumberFormat="1" applyFont="1" applyFill="1" applyBorder="1" applyAlignment="1">
      <alignment horizontal="left" vertical="center" wrapText="1"/>
    </xf>
    <xf numFmtId="0" fontId="132" fillId="6" borderId="58" xfId="0" applyFont="1" applyFill="1" applyBorder="1" applyAlignment="1">
      <alignment horizontal="left" vertical="center" wrapText="1"/>
    </xf>
    <xf numFmtId="0" fontId="132" fillId="6" borderId="0" xfId="0" applyFont="1" applyFill="1" applyAlignment="1">
      <alignment horizontal="left" vertical="center" wrapText="1"/>
    </xf>
    <xf numFmtId="0" fontId="50" fillId="6" borderId="5" xfId="0" applyFont="1" applyFill="1" applyBorder="1" applyAlignment="1">
      <alignment horizontal="left" vertical="center" wrapText="1"/>
    </xf>
    <xf numFmtId="0" fontId="50" fillId="6" borderId="3" xfId="0" applyFont="1" applyFill="1" applyBorder="1" applyAlignment="1">
      <alignment horizontal="left" vertical="center" wrapText="1"/>
    </xf>
    <xf numFmtId="0" fontId="49" fillId="6" borderId="40"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49" fillId="6" borderId="12" xfId="0" applyFont="1" applyFill="1" applyBorder="1" applyAlignment="1">
      <alignment horizontal="center" vertical="center" wrapText="1"/>
    </xf>
    <xf numFmtId="0" fontId="57" fillId="6" borderId="6" xfId="0" applyFont="1" applyFill="1" applyBorder="1" applyAlignment="1">
      <alignment horizontal="left" vertical="center" wrapText="1"/>
    </xf>
    <xf numFmtId="0" fontId="57" fillId="6" borderId="9"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103" fillId="6" borderId="63" xfId="0" applyFont="1" applyFill="1" applyBorder="1" applyAlignment="1">
      <alignment horizontal="center" vertical="center"/>
    </xf>
    <xf numFmtId="0" fontId="103" fillId="6" borderId="64" xfId="0" applyFont="1" applyFill="1" applyBorder="1" applyAlignment="1">
      <alignment horizontal="center" vertical="center"/>
    </xf>
    <xf numFmtId="0" fontId="103" fillId="6" borderId="65"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lignment horizontal="center" vertical="center"/>
    </xf>
    <xf numFmtId="0" fontId="50" fillId="6" borderId="60" xfId="0" applyFont="1" applyFill="1" applyBorder="1" applyAlignment="1">
      <alignment horizontal="center" vertical="center"/>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49" fillId="6" borderId="23" xfId="0" applyFont="1" applyFill="1" applyBorder="1" applyAlignment="1">
      <alignment horizontal="left" vertical="center"/>
    </xf>
    <xf numFmtId="0" fontId="49" fillId="6" borderId="1" xfId="0" applyFont="1" applyFill="1" applyBorder="1" applyAlignment="1">
      <alignment horizontal="left" vertical="center"/>
    </xf>
    <xf numFmtId="0" fontId="49" fillId="6" borderId="1" xfId="0" applyFont="1" applyFill="1" applyBorder="1" applyAlignment="1">
      <alignment horizontal="left" vertical="center" wrapText="1"/>
    </xf>
    <xf numFmtId="0" fontId="128" fillId="6" borderId="23" xfId="0" applyFont="1" applyFill="1" applyBorder="1" applyAlignment="1">
      <alignment horizontal="left" vertical="center"/>
    </xf>
    <xf numFmtId="0" fontId="128" fillId="6" borderId="25" xfId="0" applyFont="1" applyFill="1" applyBorder="1" applyAlignment="1">
      <alignment horizontal="left" vertical="center"/>
    </xf>
    <xf numFmtId="0" fontId="50" fillId="6" borderId="19" xfId="0" applyFont="1" applyFill="1" applyBorder="1" applyAlignment="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lignment horizontal="left" vertical="center" wrapText="1"/>
    </xf>
    <xf numFmtId="0" fontId="57" fillId="6" borderId="18" xfId="0" applyFont="1" applyFill="1" applyBorder="1" applyAlignment="1">
      <alignment horizontal="center" vertical="center" wrapText="1"/>
    </xf>
    <xf numFmtId="0" fontId="57" fillId="6" borderId="0" xfId="0" applyFont="1" applyFill="1" applyAlignment="1">
      <alignment horizontal="center"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1" xfId="0" applyFont="1" applyFill="1" applyBorder="1" applyAlignment="1" applyProtection="1">
      <alignment horizontal="left"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50" fillId="6" borderId="36" xfId="0" applyFont="1" applyFill="1" applyBorder="1" applyAlignment="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2" fillId="6" borderId="13" xfId="0" applyFont="1" applyFill="1" applyBorder="1" applyAlignment="1">
      <alignment horizontal="left" vertical="center" wrapText="1"/>
    </xf>
    <xf numFmtId="0" fontId="102" fillId="6" borderId="2" xfId="0" applyFont="1" applyFill="1" applyBorder="1" applyAlignment="1">
      <alignment horizontal="left" vertical="center" wrapText="1"/>
    </xf>
    <xf numFmtId="0" fontId="50" fillId="6" borderId="25" xfId="0" applyFont="1" applyFill="1" applyBorder="1" applyAlignment="1">
      <alignment horizontal="left" vertical="center" wrapText="1"/>
    </xf>
    <xf numFmtId="0" fontId="50" fillId="6" borderId="32" xfId="0" applyFont="1" applyFill="1" applyBorder="1" applyAlignment="1">
      <alignment horizontal="left" vertical="center" wrapText="1"/>
    </xf>
    <xf numFmtId="0" fontId="50" fillId="6" borderId="61" xfId="0" applyFont="1" applyFill="1" applyBorder="1" applyAlignment="1">
      <alignment horizontal="left" vertical="center"/>
    </xf>
    <xf numFmtId="0" fontId="50" fillId="6" borderId="53" xfId="0" applyFont="1" applyFill="1" applyBorder="1" applyAlignment="1">
      <alignment horizontal="left" vertical="center"/>
    </xf>
    <xf numFmtId="0" fontId="50" fillId="6" borderId="8" xfId="0" applyFont="1" applyFill="1" applyBorder="1" applyAlignment="1">
      <alignment horizontal="left" vertical="center"/>
    </xf>
    <xf numFmtId="0" fontId="107" fillId="6" borderId="106" xfId="0" applyFont="1" applyFill="1" applyBorder="1">
      <alignment vertical="center"/>
    </xf>
    <xf numFmtId="0" fontId="107" fillId="6" borderId="107" xfId="0" applyFont="1" applyFill="1" applyBorder="1">
      <alignment vertical="center"/>
    </xf>
    <xf numFmtId="0" fontId="49" fillId="6" borderId="23"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lignment horizontal="center" vertical="center" wrapText="1"/>
    </xf>
    <xf numFmtId="0" fontId="129" fillId="6" borderId="1" xfId="0" applyFont="1" applyFill="1" applyBorder="1" applyAlignment="1" applyProtection="1">
      <alignment horizontal="center" vertical="center" wrapText="1"/>
      <protection locked="0"/>
    </xf>
    <xf numFmtId="191" fontId="129" fillId="6" borderId="1" xfId="0" applyNumberFormat="1" applyFont="1" applyFill="1" applyBorder="1" applyAlignment="1">
      <alignment horizontal="center" vertical="center" wrapText="1"/>
    </xf>
    <xf numFmtId="0" fontId="142" fillId="5" borderId="1" xfId="0" applyFont="1" applyFill="1" applyBorder="1" applyAlignment="1">
      <alignment horizontal="center" vertical="center" wrapText="1"/>
    </xf>
    <xf numFmtId="0" fontId="142" fillId="6" borderId="1" xfId="0" applyFont="1" applyFill="1" applyBorder="1" applyAlignment="1">
      <alignment horizontal="center" vertical="center" wrapText="1"/>
    </xf>
    <xf numFmtId="0" fontId="49" fillId="6" borderId="3" xfId="0" applyFont="1" applyFill="1" applyBorder="1" applyAlignment="1">
      <alignment horizontal="left" vertical="center"/>
    </xf>
    <xf numFmtId="0" fontId="50" fillId="6" borderId="5" xfId="0" applyFont="1" applyFill="1" applyBorder="1" applyAlignment="1">
      <alignment horizontal="left" vertical="center"/>
    </xf>
    <xf numFmtId="0" fontId="50" fillId="6" borderId="54" xfId="0" applyFont="1" applyFill="1" applyBorder="1" applyAlignment="1">
      <alignment horizontal="left" vertical="center"/>
    </xf>
    <xf numFmtId="0" fontId="167" fillId="6" borderId="1" xfId="0" applyFont="1" applyFill="1" applyBorder="1" applyAlignment="1">
      <alignment horizontal="left" vertical="center" wrapText="1"/>
    </xf>
    <xf numFmtId="0" fontId="50" fillId="6" borderId="3" xfId="0" applyFont="1" applyFill="1" applyBorder="1" applyAlignment="1">
      <alignment horizontal="left" vertical="center"/>
    </xf>
    <xf numFmtId="10" fontId="80" fillId="6" borderId="1" xfId="0" applyNumberFormat="1" applyFont="1" applyFill="1" applyBorder="1" applyAlignment="1">
      <alignment horizontal="left" vertical="center" wrapText="1"/>
    </xf>
    <xf numFmtId="10" fontId="50" fillId="6" borderId="1" xfId="0" applyNumberFormat="1" applyFont="1" applyFill="1" applyBorder="1" applyAlignment="1">
      <alignment horizontal="left" vertical="center" wrapText="1"/>
    </xf>
    <xf numFmtId="0" fontId="56" fillId="6" borderId="61" xfId="0" applyFont="1" applyFill="1" applyBorder="1" applyAlignment="1">
      <alignment horizontal="left" vertical="center"/>
    </xf>
    <xf numFmtId="0" fontId="56" fillId="6" borderId="53" xfId="0" applyFont="1" applyFill="1" applyBorder="1" applyAlignment="1">
      <alignment horizontal="left" vertical="center"/>
    </xf>
    <xf numFmtId="0" fontId="56" fillId="6" borderId="8" xfId="0" applyFont="1" applyFill="1" applyBorder="1" applyAlignment="1">
      <alignment horizontal="left" vertical="center"/>
    </xf>
    <xf numFmtId="0" fontId="54" fillId="6" borderId="5" xfId="0" applyFont="1" applyFill="1" applyBorder="1" applyAlignment="1">
      <alignment horizontal="center" vertical="center" wrapText="1"/>
    </xf>
    <xf numFmtId="0" fontId="54" fillId="6" borderId="3" xfId="0" applyFont="1" applyFill="1" applyBorder="1" applyAlignment="1">
      <alignment horizontal="center" vertical="center" wrapText="1"/>
    </xf>
    <xf numFmtId="0" fontId="53" fillId="18" borderId="1" xfId="0" applyFont="1" applyFill="1" applyBorder="1" applyAlignment="1">
      <alignment horizontal="center" vertical="center"/>
    </xf>
    <xf numFmtId="0" fontId="54" fillId="6" borderId="1" xfId="0" applyFont="1" applyFill="1" applyBorder="1" applyAlignment="1">
      <alignment horizontal="center" vertical="center" wrapText="1"/>
    </xf>
    <xf numFmtId="0" fontId="54" fillId="6" borderId="1" xfId="0" applyFont="1" applyFill="1" applyBorder="1" applyAlignment="1">
      <alignment horizontal="center" vertical="center"/>
    </xf>
    <xf numFmtId="0" fontId="54" fillId="6" borderId="13"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11" xfId="0" applyFont="1" applyFill="1" applyBorder="1" applyAlignment="1">
      <alignment horizontal="center" vertical="center" textRotation="255" wrapText="1"/>
    </xf>
    <xf numFmtId="0" fontId="54" fillId="6" borderId="14" xfId="0" applyFont="1" applyFill="1" applyBorder="1" applyAlignment="1">
      <alignment horizontal="center" vertical="center" textRotation="255" wrapText="1"/>
    </xf>
    <xf numFmtId="0" fontId="54" fillId="6" borderId="41" xfId="0" applyFont="1" applyFill="1" applyBorder="1" applyAlignment="1">
      <alignment horizontal="center" vertical="center" textRotation="255" wrapText="1"/>
    </xf>
    <xf numFmtId="0" fontId="54" fillId="6" borderId="15" xfId="0" applyFont="1" applyFill="1" applyBorder="1" applyAlignment="1">
      <alignment horizontal="center" vertical="center" textRotation="255" wrapText="1"/>
    </xf>
    <xf numFmtId="0" fontId="54" fillId="6" borderId="2" xfId="0" applyFont="1" applyFill="1" applyBorder="1" applyAlignment="1">
      <alignment horizontal="center" vertical="center" textRotation="255" wrapText="1"/>
    </xf>
    <xf numFmtId="0" fontId="54" fillId="6" borderId="11" xfId="0" applyFont="1" applyFill="1" applyBorder="1" applyAlignment="1">
      <alignment horizontal="center" vertical="center" wrapText="1"/>
    </xf>
    <xf numFmtId="0" fontId="54" fillId="6" borderId="14" xfId="0" applyFont="1" applyFill="1" applyBorder="1" applyAlignment="1">
      <alignment horizontal="center" vertical="center" wrapText="1"/>
    </xf>
    <xf numFmtId="0" fontId="54" fillId="6" borderId="23" xfId="0" applyFont="1" applyFill="1" applyBorder="1" applyAlignment="1">
      <alignment horizontal="center" vertical="center" wrapText="1"/>
    </xf>
    <xf numFmtId="0" fontId="54" fillId="6" borderId="13" xfId="0" applyFont="1" applyFill="1" applyBorder="1" applyAlignment="1">
      <alignment horizontal="center" vertical="center"/>
    </xf>
    <xf numFmtId="0" fontId="54" fillId="6" borderId="15" xfId="0" applyFont="1" applyFill="1" applyBorder="1" applyAlignment="1">
      <alignment horizontal="center" vertical="center"/>
    </xf>
    <xf numFmtId="0" fontId="54" fillId="6" borderId="2" xfId="0" applyFont="1" applyFill="1" applyBorder="1" applyAlignment="1">
      <alignment horizontal="center" vertical="center"/>
    </xf>
    <xf numFmtId="0" fontId="54" fillId="6" borderId="6" xfId="0" applyFont="1" applyFill="1" applyBorder="1" applyAlignment="1">
      <alignment horizontal="center" vertical="center" wrapText="1"/>
    </xf>
    <xf numFmtId="0" fontId="54" fillId="6" borderId="10" xfId="0" applyFont="1" applyFill="1" applyBorder="1" applyAlignment="1">
      <alignment horizontal="center" vertical="center" wrapText="1"/>
    </xf>
    <xf numFmtId="0" fontId="54" fillId="6" borderId="30"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54" fillId="6" borderId="46" xfId="0" applyFont="1" applyFill="1" applyBorder="1" applyAlignment="1">
      <alignment horizontal="center" vertical="center" wrapText="1"/>
    </xf>
    <xf numFmtId="0" fontId="54" fillId="6" borderId="22" xfId="0" applyFont="1" applyFill="1" applyBorder="1" applyAlignment="1">
      <alignment horizontal="center"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7" xfId="0" applyFont="1" applyFill="1" applyBorder="1" applyAlignment="1">
      <alignment horizontal="center" vertical="center" wrapText="1"/>
    </xf>
    <xf numFmtId="0" fontId="54" fillId="6" borderId="46" xfId="0" applyFont="1" applyFill="1" applyBorder="1" applyAlignment="1">
      <alignment horizontal="center" vertical="center"/>
    </xf>
    <xf numFmtId="0" fontId="54" fillId="6" borderId="22" xfId="0" applyFont="1" applyFill="1" applyBorder="1" applyAlignment="1">
      <alignment horizontal="center" vertical="center"/>
    </xf>
    <xf numFmtId="0" fontId="54" fillId="6" borderId="58" xfId="0" applyFont="1" applyFill="1" applyBorder="1" applyAlignment="1">
      <alignment horizontal="center" vertical="center"/>
    </xf>
    <xf numFmtId="0" fontId="54" fillId="6" borderId="35" xfId="0" applyFont="1" applyFill="1" applyBorder="1" applyAlignment="1">
      <alignment horizontal="center" vertical="center"/>
    </xf>
    <xf numFmtId="0" fontId="54" fillId="6" borderId="4" xfId="0" applyFont="1" applyFill="1" applyBorder="1" applyAlignment="1">
      <alignment horizontal="center" vertical="center"/>
    </xf>
    <xf numFmtId="0" fontId="54" fillId="6" borderId="7" xfId="0" applyFont="1" applyFill="1" applyBorder="1" applyAlignment="1">
      <alignment horizontal="center" vertical="center"/>
    </xf>
    <xf numFmtId="0" fontId="169" fillId="0" borderId="11" xfId="0" applyFont="1" applyBorder="1" applyAlignment="1" applyProtection="1">
      <alignment horizontal="center" vertical="center" wrapText="1"/>
      <protection locked="0"/>
    </xf>
    <xf numFmtId="0" fontId="169" fillId="0" borderId="61" xfId="0" applyFont="1" applyBorder="1" applyAlignment="1" applyProtection="1">
      <alignment horizontal="center" vertical="center" wrapText="1"/>
      <protection locked="0"/>
    </xf>
    <xf numFmtId="0" fontId="211" fillId="0" borderId="37" xfId="0" applyFont="1" applyBorder="1" applyAlignment="1" applyProtection="1">
      <alignment horizontal="center" vertical="center" wrapText="1"/>
      <protection locked="0"/>
    </xf>
    <xf numFmtId="0" fontId="211" fillId="0" borderId="48"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54" xfId="0" applyFont="1" applyFill="1" applyBorder="1" applyAlignment="1">
      <alignment horizontal="center" vertical="center"/>
    </xf>
    <xf numFmtId="0" fontId="169" fillId="0" borderId="22" xfId="0" applyFont="1" applyBorder="1" applyAlignment="1" applyProtection="1">
      <alignment horizontal="center" vertical="center" wrapText="1"/>
      <protection locked="0"/>
    </xf>
    <xf numFmtId="0" fontId="169" fillId="0" borderId="46" xfId="0" applyFont="1" applyBorder="1" applyAlignment="1" applyProtection="1">
      <alignment horizontal="center" vertical="center" wrapText="1"/>
      <protection locked="0"/>
    </xf>
    <xf numFmtId="185" fontId="54" fillId="6" borderId="1" xfId="0" applyNumberFormat="1" applyFont="1" applyFill="1" applyBorder="1" applyAlignment="1">
      <alignment horizontal="center" vertical="center"/>
    </xf>
    <xf numFmtId="185" fontId="53" fillId="18" borderId="1" xfId="0" applyNumberFormat="1" applyFont="1" applyFill="1" applyBorder="1" applyAlignment="1">
      <alignment horizontal="center" vertical="center"/>
    </xf>
    <xf numFmtId="0" fontId="54" fillId="6" borderId="9" xfId="0" applyFont="1" applyFill="1" applyBorder="1" applyAlignment="1">
      <alignment horizontal="center" vertical="center" wrapText="1"/>
    </xf>
    <xf numFmtId="0" fontId="54" fillId="6" borderId="13" xfId="0" applyFont="1" applyFill="1" applyBorder="1" applyAlignment="1">
      <alignment horizontal="center" vertical="center" textRotation="255" wrapText="1"/>
    </xf>
    <xf numFmtId="0" fontId="169" fillId="0" borderId="23" xfId="0" applyFont="1" applyBorder="1" applyAlignment="1" applyProtection="1">
      <alignment horizontal="center" vertical="center" wrapText="1"/>
      <protection locked="0"/>
    </xf>
    <xf numFmtId="0" fontId="169" fillId="0" borderId="24" xfId="0" applyFont="1" applyBorder="1" applyAlignment="1" applyProtection="1">
      <alignment horizontal="center" vertical="center" wrapText="1"/>
      <protection locked="0"/>
    </xf>
    <xf numFmtId="0" fontId="169" fillId="0" borderId="3" xfId="0" applyFont="1" applyBorder="1" applyAlignment="1" applyProtection="1">
      <alignment horizontal="center" vertical="center" wrapText="1"/>
      <protection locked="0"/>
    </xf>
    <xf numFmtId="0" fontId="169" fillId="0" borderId="5" xfId="0" applyFont="1" applyBorder="1" applyAlignment="1" applyProtection="1">
      <alignment horizontal="center" vertical="center" wrapText="1"/>
      <protection locked="0"/>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16" fillId="6" borderId="34" xfId="0" applyFont="1" applyFill="1" applyBorder="1" applyAlignment="1">
      <alignment horizontal="left" vertical="center" wrapText="1"/>
    </xf>
    <xf numFmtId="0" fontId="116" fillId="6" borderId="65" xfId="0" applyFont="1" applyFill="1" applyBorder="1" applyAlignment="1">
      <alignment horizontal="left" vertical="center" wrapText="1"/>
    </xf>
    <xf numFmtId="0" fontId="50" fillId="6" borderId="13" xfId="0" applyFont="1" applyFill="1" applyBorder="1" applyAlignment="1">
      <alignment vertical="top" wrapText="1"/>
    </xf>
    <xf numFmtId="0" fontId="50" fillId="6" borderId="15" xfId="0" applyFont="1" applyFill="1" applyBorder="1" applyAlignment="1">
      <alignment vertical="top" wrapText="1"/>
    </xf>
    <xf numFmtId="0" fontId="50" fillId="6" borderId="2" xfId="0" applyFont="1" applyFill="1" applyBorder="1" applyAlignment="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7" fillId="6" borderId="5" xfId="0" applyFont="1" applyFill="1" applyBorder="1" applyAlignment="1">
      <alignment horizontal="center" vertical="center"/>
    </xf>
    <xf numFmtId="0" fontId="207" fillId="6" borderId="3" xfId="0" applyFont="1" applyFill="1" applyBorder="1" applyAlignment="1">
      <alignment horizontal="center" vertical="center"/>
    </xf>
    <xf numFmtId="0" fontId="54" fillId="6" borderId="38" xfId="0" applyFont="1" applyFill="1" applyBorder="1" applyAlignment="1">
      <alignment horizontal="center" vertical="center" wrapText="1"/>
    </xf>
    <xf numFmtId="0" fontId="54" fillId="6" borderId="66" xfId="0" applyFont="1" applyFill="1" applyBorder="1" applyAlignment="1">
      <alignment horizontal="center" vertical="center" wrapText="1"/>
    </xf>
    <xf numFmtId="0" fontId="53" fillId="6" borderId="32" xfId="0" applyFont="1" applyFill="1" applyBorder="1" applyAlignment="1">
      <alignment horizontal="center" vertical="center"/>
    </xf>
    <xf numFmtId="0" fontId="54" fillId="6" borderId="62" xfId="0" applyFont="1" applyFill="1" applyBorder="1" applyAlignment="1">
      <alignment horizontal="center" vertical="center"/>
    </xf>
    <xf numFmtId="0" fontId="54" fillId="6" borderId="53" xfId="0" applyFont="1" applyFill="1" applyBorder="1" applyAlignment="1">
      <alignment horizontal="center" vertical="center"/>
    </xf>
    <xf numFmtId="0" fontId="54" fillId="6" borderId="8" xfId="0" applyFont="1" applyFill="1" applyBorder="1" applyAlignment="1">
      <alignment horizontal="center" vertical="center"/>
    </xf>
    <xf numFmtId="0" fontId="54" fillId="6" borderId="16" xfId="0" applyFont="1" applyFill="1" applyBorder="1" applyAlignment="1">
      <alignment horizontal="center" vertical="center" wrapText="1"/>
    </xf>
    <xf numFmtId="0" fontId="54" fillId="6" borderId="39" xfId="0" applyFont="1" applyFill="1" applyBorder="1" applyAlignment="1">
      <alignment horizontal="center" vertical="center" wrapText="1"/>
    </xf>
    <xf numFmtId="0" fontId="54" fillId="6" borderId="18" xfId="0" applyFont="1" applyFill="1" applyBorder="1" applyAlignment="1">
      <alignment horizontal="center" vertical="center" wrapText="1"/>
    </xf>
    <xf numFmtId="0" fontId="54" fillId="6" borderId="69" xfId="0" applyFont="1" applyFill="1" applyBorder="1" applyAlignment="1">
      <alignment horizontal="center" vertical="center" wrapText="1"/>
    </xf>
    <xf numFmtId="0" fontId="54" fillId="6" borderId="29" xfId="0" applyFont="1" applyFill="1" applyBorder="1" applyAlignment="1">
      <alignment horizontal="center" vertical="center"/>
    </xf>
    <xf numFmtId="0" fontId="54" fillId="6" borderId="39" xfId="0" applyFont="1" applyFill="1" applyBorder="1" applyAlignment="1">
      <alignment horizontal="center" vertical="center"/>
    </xf>
    <xf numFmtId="0" fontId="54" fillId="6" borderId="9" xfId="0" applyFont="1" applyFill="1" applyBorder="1" applyAlignment="1">
      <alignment horizontal="center" vertical="center"/>
    </xf>
    <xf numFmtId="0" fontId="47" fillId="6" borderId="37" xfId="0" applyFont="1" applyFill="1" applyBorder="1" applyAlignment="1">
      <alignment horizontal="center" vertical="center"/>
    </xf>
    <xf numFmtId="0" fontId="54" fillId="6" borderId="17" xfId="0" applyFont="1" applyFill="1" applyBorder="1" applyAlignment="1">
      <alignment horizontal="center" vertical="center"/>
    </xf>
    <xf numFmtId="0" fontId="53" fillId="6" borderId="1" xfId="0" applyFont="1" applyFill="1" applyBorder="1" applyAlignment="1">
      <alignment horizontal="center" vertical="center"/>
    </xf>
    <xf numFmtId="0" fontId="102" fillId="6" borderId="13" xfId="0" applyFont="1" applyFill="1" applyBorder="1" applyAlignment="1">
      <alignment horizontal="left" vertical="center"/>
    </xf>
    <xf numFmtId="0" fontId="102" fillId="6" borderId="15" xfId="0" applyFont="1" applyFill="1" applyBorder="1" applyAlignment="1">
      <alignment horizontal="left" vertical="center"/>
    </xf>
    <xf numFmtId="0" fontId="102" fillId="6" borderId="2" xfId="0" applyFont="1" applyFill="1" applyBorder="1" applyAlignment="1">
      <alignment horizontal="left" vertical="center"/>
    </xf>
    <xf numFmtId="0" fontId="102" fillId="0" borderId="0" xfId="0" applyFont="1" applyAlignment="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lignment horizontal="center" vertical="center" wrapText="1"/>
    </xf>
    <xf numFmtId="0" fontId="60" fillId="6" borderId="54" xfId="0" applyFont="1" applyFill="1" applyBorder="1" applyAlignment="1">
      <alignment horizontal="center" vertical="center" wrapText="1"/>
    </xf>
    <xf numFmtId="0" fontId="60" fillId="6" borderId="0" xfId="0" applyFont="1" applyFill="1" applyAlignment="1">
      <alignment horizontal="center" vertical="center" wrapText="1"/>
    </xf>
    <xf numFmtId="0" fontId="60" fillId="6" borderId="22" xfId="0" applyFont="1" applyFill="1" applyBorder="1" applyAlignment="1">
      <alignment horizontal="center" vertical="center" wrapText="1"/>
    </xf>
    <xf numFmtId="49" fontId="83" fillId="6" borderId="14" xfId="0" applyNumberFormat="1" applyFont="1" applyFill="1" applyBorder="1" applyAlignment="1">
      <alignment horizontal="center" vertical="center" wrapText="1"/>
    </xf>
    <xf numFmtId="49" fontId="57" fillId="6" borderId="12" xfId="0" applyNumberFormat="1" applyFont="1" applyFill="1" applyBorder="1" applyAlignment="1">
      <alignment horizontal="center" vertical="center" wrapText="1"/>
    </xf>
    <xf numFmtId="0" fontId="105" fillId="6" borderId="0" xfId="0" applyFont="1" applyFill="1" applyAlignment="1">
      <alignment horizontal="left" vertical="center"/>
    </xf>
    <xf numFmtId="0" fontId="102" fillId="6" borderId="1" xfId="0" applyFont="1" applyFill="1" applyBorder="1" applyAlignment="1">
      <alignment horizontal="left" vertical="center"/>
    </xf>
    <xf numFmtId="0" fontId="142" fillId="6" borderId="13" xfId="0" applyFont="1" applyFill="1" applyBorder="1" applyAlignment="1">
      <alignment vertical="center" wrapText="1"/>
    </xf>
    <xf numFmtId="0" fontId="142" fillId="6" borderId="15" xfId="0" applyFont="1" applyFill="1" applyBorder="1" applyAlignment="1">
      <alignment vertical="center" wrapText="1"/>
    </xf>
    <xf numFmtId="0" fontId="56" fillId="6" borderId="58" xfId="0" applyFont="1" applyFill="1" applyBorder="1" applyAlignment="1">
      <alignment horizontal="center" vertical="center" wrapText="1"/>
    </xf>
    <xf numFmtId="0" fontId="56" fillId="6" borderId="35" xfId="0" applyFont="1" applyFill="1" applyBorder="1" applyAlignment="1">
      <alignment horizontal="center" vertical="center" wrapText="1"/>
    </xf>
    <xf numFmtId="0" fontId="54" fillId="0" borderId="11" xfId="0" applyFont="1" applyBorder="1" applyAlignment="1" applyProtection="1">
      <alignment horizontal="center" vertical="center" wrapText="1"/>
      <protection locked="0"/>
    </xf>
    <xf numFmtId="0" fontId="54" fillId="0" borderId="61" xfId="0" applyFont="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110" fillId="6" borderId="1" xfId="0" applyFont="1" applyFill="1" applyBorder="1" applyAlignment="1">
      <alignment horizontal="left" vertical="center"/>
    </xf>
    <xf numFmtId="0" fontId="110" fillId="6" borderId="13" xfId="0" applyFont="1" applyFill="1" applyBorder="1" applyAlignment="1">
      <alignment horizontal="left" vertical="center"/>
    </xf>
    <xf numFmtId="0" fontId="110" fillId="6" borderId="2" xfId="0" applyFont="1" applyFill="1" applyBorder="1" applyAlignment="1">
      <alignment horizontal="left" vertical="center"/>
    </xf>
    <xf numFmtId="0" fontId="110" fillId="6" borderId="15" xfId="0" applyFont="1" applyFill="1" applyBorder="1" applyAlignment="1">
      <alignment horizontal="left" vertical="center"/>
    </xf>
    <xf numFmtId="0" fontId="110" fillId="6" borderId="17" xfId="0" applyFont="1" applyFill="1" applyBorder="1" applyAlignment="1">
      <alignment horizontal="left" vertical="center"/>
    </xf>
    <xf numFmtId="0" fontId="110" fillId="6" borderId="74" xfId="0" applyFont="1" applyFill="1" applyBorder="1" applyAlignment="1">
      <alignment horizontal="left" vertical="center"/>
    </xf>
    <xf numFmtId="0" fontId="110" fillId="6" borderId="40" xfId="0" applyFont="1" applyFill="1" applyBorder="1" applyAlignment="1">
      <alignment horizontal="left" vertical="center"/>
    </xf>
    <xf numFmtId="0" fontId="110" fillId="6" borderId="14" xfId="0" applyFont="1" applyFill="1" applyBorder="1" applyAlignment="1">
      <alignment horizontal="left" vertical="center"/>
    </xf>
    <xf numFmtId="0" fontId="110" fillId="6" borderId="12" xfId="0" applyFont="1" applyFill="1" applyBorder="1" applyAlignment="1">
      <alignment horizontal="left" vertical="center"/>
    </xf>
    <xf numFmtId="0" fontId="110" fillId="6" borderId="6" xfId="0" applyFont="1" applyFill="1" applyBorder="1" applyAlignment="1">
      <alignment horizontal="left" vertical="center"/>
    </xf>
    <xf numFmtId="0" fontId="110" fillId="6" borderId="23" xfId="0" applyFont="1" applyFill="1" applyBorder="1" applyAlignment="1">
      <alignment horizontal="left" vertical="center"/>
    </xf>
    <xf numFmtId="0" fontId="110" fillId="6" borderId="25" xfId="0" applyFont="1" applyFill="1" applyBorder="1" applyAlignment="1">
      <alignment horizontal="left" vertical="center"/>
    </xf>
    <xf numFmtId="0" fontId="124" fillId="6" borderId="0" xfId="0" applyFont="1" applyFill="1" applyAlignment="1">
      <alignment horizontal="left" vertical="center"/>
    </xf>
    <xf numFmtId="0" fontId="266" fillId="0" borderId="0" xfId="0" applyFont="1" applyAlignment="1">
      <alignment horizontal="center" vertical="center"/>
    </xf>
    <xf numFmtId="0" fontId="266" fillId="0" borderId="35" xfId="0" applyFont="1" applyBorder="1" applyAlignment="1">
      <alignment horizontal="center" vertical="center"/>
    </xf>
    <xf numFmtId="0" fontId="139" fillId="0" borderId="0" xfId="9" applyFont="1" applyAlignment="1">
      <alignment horizontal="left" vertical="center"/>
    </xf>
    <xf numFmtId="0" fontId="105" fillId="0" borderId="0" xfId="9" applyFont="1" applyAlignment="1">
      <alignment horizontal="left" vertical="center"/>
    </xf>
    <xf numFmtId="0" fontId="146" fillId="11" borderId="131" xfId="9" applyFont="1" applyFill="1" applyBorder="1" applyAlignment="1">
      <alignment horizontal="left" vertical="center" wrapText="1"/>
    </xf>
    <xf numFmtId="0" fontId="146" fillId="11" borderId="125" xfId="9" applyFont="1" applyFill="1" applyBorder="1" applyAlignment="1">
      <alignment horizontal="left" vertical="center" wrapText="1"/>
    </xf>
    <xf numFmtId="0" fontId="146" fillId="11" borderId="127" xfId="9" applyFont="1" applyFill="1" applyBorder="1" applyAlignment="1">
      <alignment horizontal="left" vertical="center" wrapText="1"/>
    </xf>
    <xf numFmtId="0" fontId="144" fillId="0" borderId="0" xfId="9" applyFont="1" applyAlignment="1">
      <alignment horizontal="left" vertical="center"/>
    </xf>
    <xf numFmtId="0" fontId="146" fillId="11" borderId="122" xfId="9" applyFont="1" applyFill="1" applyBorder="1" applyAlignment="1">
      <alignment horizontal="left" vertical="center" wrapText="1"/>
    </xf>
    <xf numFmtId="0" fontId="102" fillId="11" borderId="131" xfId="9" applyFont="1" applyFill="1" applyBorder="1" applyAlignment="1">
      <alignment horizontal="left" vertical="center" wrapText="1"/>
    </xf>
    <xf numFmtId="0" fontId="102" fillId="11" borderId="125" xfId="9" applyFont="1" applyFill="1" applyBorder="1" applyAlignment="1">
      <alignment horizontal="left" vertical="center" wrapText="1"/>
    </xf>
    <xf numFmtId="0" fontId="102" fillId="11" borderId="127" xfId="9" applyFont="1" applyFill="1" applyBorder="1" applyAlignment="1">
      <alignment horizontal="left" vertical="center" wrapText="1"/>
    </xf>
    <xf numFmtId="0" fontId="146" fillId="11" borderId="153" xfId="9"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0" xfId="0" applyFont="1" applyFill="1" applyAlignment="1">
      <alignment horizontal="center" vertical="center"/>
    </xf>
    <xf numFmtId="0" fontId="257" fillId="6" borderId="56" xfId="0" applyFont="1" applyFill="1" applyBorder="1" applyAlignment="1">
      <alignment horizontal="center" vertical="center"/>
    </xf>
    <xf numFmtId="0" fontId="280" fillId="0" borderId="0" xfId="0" applyFont="1" applyAlignment="1">
      <alignment vertical="center" wrapText="1"/>
    </xf>
  </cellXfs>
  <cellStyles count="31">
    <cellStyle name="百分比" xfId="17" builtinId="5"/>
    <cellStyle name="百分比 2" xfId="14" xr:uid="{00000000-0005-0000-0000-000001000000}"/>
    <cellStyle name="百分比 3" xfId="30" xr:uid="{05E327F5-64DD-41D3-8CBD-593DC7999377}"/>
    <cellStyle name="百分比 4" xfId="20" xr:uid="{40C0DF77-82A2-49F2-B492-86C6B96292B3}"/>
    <cellStyle name="常规" xfId="0" builtinId="0"/>
    <cellStyle name="常规 10" xfId="29" xr:uid="{5FCFE52D-C0FA-43C7-A2B4-F130079F32CF}"/>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25" xfId="21" xr:uid="{9917D594-318E-42C7-BC4D-B6DB88FB186B}"/>
    <cellStyle name="常规 3" xfId="2" xr:uid="{00000000-0005-0000-0000-000008000000}"/>
    <cellStyle name="常规 3 2" xfId="3" xr:uid="{00000000-0005-0000-0000-000009000000}"/>
    <cellStyle name="常规 4" xfId="4" xr:uid="{00000000-0005-0000-0000-00000A000000}"/>
    <cellStyle name="常规 48" xfId="23" xr:uid="{F756A650-EF6C-45BB-AC65-49875D536CF5}"/>
    <cellStyle name="常规 49" xfId="24" xr:uid="{508C5A26-1AEC-45EF-8624-4303E7F03D23}"/>
    <cellStyle name="常规 5" xfId="5" xr:uid="{00000000-0005-0000-0000-00000B000000}"/>
    <cellStyle name="常规 50" xfId="25" xr:uid="{4AC11087-55E3-43D8-9AB7-D825418E5CFF}"/>
    <cellStyle name="常规 51" xfId="26" xr:uid="{8D84992D-9963-4845-A085-FB07190B7BEE}"/>
    <cellStyle name="常规 52" xfId="27" xr:uid="{C10FD8E0-1DDB-4560-84A2-29F81C315D47}"/>
    <cellStyle name="常规 53" xfId="28" xr:uid="{A9C7B09B-1661-406C-846B-8A64442760EA}"/>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79" xfId="22" xr:uid="{6E9FB2CF-0DEC-45A9-A92A-563A9C627C34}"/>
    <cellStyle name="常规 8" xfId="11" xr:uid="{00000000-0005-0000-0000-000011000000}"/>
    <cellStyle name="常规 9" xfId="12" xr:uid="{00000000-0005-0000-0000-000012000000}"/>
    <cellStyle name="常规 9 2" xfId="19" xr:uid="{7D222560-5A7C-4925-8D48-CB967C589C68}"/>
  </cellStyles>
  <dxfs count="183">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9.x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550628</xdr:colOff>
      <xdr:row>41</xdr:row>
      <xdr:rowOff>130491</xdr:rowOff>
    </xdr:to>
    <xdr:pic>
      <xdr:nvPicPr>
        <xdr:cNvPr id="2" name="图片 1">
          <a:extLst>
            <a:ext uri="{FF2B5EF4-FFF2-40B4-BE49-F238E27FC236}">
              <a16:creationId xmlns:a16="http://schemas.microsoft.com/office/drawing/2014/main" id="{8A6AC1C8-E8DD-4E54-EE3A-56F5CC2AD371}"/>
            </a:ext>
          </a:extLst>
        </xdr:cNvPr>
        <xdr:cNvPicPr>
          <a:picLocks noChangeAspect="1"/>
        </xdr:cNvPicPr>
      </xdr:nvPicPr>
      <xdr:blipFill>
        <a:blip xmlns:r="http://schemas.openxmlformats.org/officeDocument/2006/relationships" r:embed="rId1"/>
        <a:stretch>
          <a:fillRect/>
        </a:stretch>
      </xdr:blipFill>
      <xdr:spPr>
        <a:xfrm>
          <a:off x="0" y="0"/>
          <a:ext cx="14571428" cy="7628571"/>
        </a:xfrm>
        <a:prstGeom prst="rect">
          <a:avLst/>
        </a:prstGeom>
      </xdr:spPr>
    </xdr:pic>
    <xdr:clientData/>
  </xdr:twoCellAnchor>
  <xdr:twoCellAnchor editAs="oneCell">
    <xdr:from>
      <xdr:col>0</xdr:col>
      <xdr:colOff>0</xdr:colOff>
      <xdr:row>42</xdr:row>
      <xdr:rowOff>0</xdr:rowOff>
    </xdr:from>
    <xdr:to>
      <xdr:col>23</xdr:col>
      <xdr:colOff>455390</xdr:colOff>
      <xdr:row>83</xdr:row>
      <xdr:rowOff>16206</xdr:rowOff>
    </xdr:to>
    <xdr:pic>
      <xdr:nvPicPr>
        <xdr:cNvPr id="3" name="图片 2">
          <a:extLst>
            <a:ext uri="{FF2B5EF4-FFF2-40B4-BE49-F238E27FC236}">
              <a16:creationId xmlns:a16="http://schemas.microsoft.com/office/drawing/2014/main" id="{40D8E958-BD7F-0297-B4E5-D01098087F93}"/>
            </a:ext>
          </a:extLst>
        </xdr:cNvPr>
        <xdr:cNvPicPr>
          <a:picLocks noChangeAspect="1"/>
        </xdr:cNvPicPr>
      </xdr:nvPicPr>
      <xdr:blipFill>
        <a:blip xmlns:r="http://schemas.openxmlformats.org/officeDocument/2006/relationships" r:embed="rId2"/>
        <a:stretch>
          <a:fillRect/>
        </a:stretch>
      </xdr:blipFill>
      <xdr:spPr>
        <a:xfrm>
          <a:off x="0" y="7680960"/>
          <a:ext cx="14476190" cy="7514286"/>
        </a:xfrm>
        <a:prstGeom prst="rect">
          <a:avLst/>
        </a:prstGeom>
      </xdr:spPr>
    </xdr:pic>
    <xdr:clientData/>
  </xdr:twoCellAnchor>
  <xdr:twoCellAnchor editAs="oneCell">
    <xdr:from>
      <xdr:col>0</xdr:col>
      <xdr:colOff>53340</xdr:colOff>
      <xdr:row>83</xdr:row>
      <xdr:rowOff>22860</xdr:rowOff>
    </xdr:from>
    <xdr:to>
      <xdr:col>23</xdr:col>
      <xdr:colOff>556349</xdr:colOff>
      <xdr:row>117</xdr:row>
      <xdr:rowOff>157321</xdr:rowOff>
    </xdr:to>
    <xdr:pic>
      <xdr:nvPicPr>
        <xdr:cNvPr id="4" name="图片 3">
          <a:extLst>
            <a:ext uri="{FF2B5EF4-FFF2-40B4-BE49-F238E27FC236}">
              <a16:creationId xmlns:a16="http://schemas.microsoft.com/office/drawing/2014/main" id="{96E1A74C-D2E7-E8EA-5DD8-C2B5CEEC7446}"/>
            </a:ext>
          </a:extLst>
        </xdr:cNvPr>
        <xdr:cNvPicPr>
          <a:picLocks noChangeAspect="1"/>
        </xdr:cNvPicPr>
      </xdr:nvPicPr>
      <xdr:blipFill>
        <a:blip xmlns:r="http://schemas.openxmlformats.org/officeDocument/2006/relationships" r:embed="rId3"/>
        <a:stretch>
          <a:fillRect/>
        </a:stretch>
      </xdr:blipFill>
      <xdr:spPr>
        <a:xfrm>
          <a:off x="53340" y="15201900"/>
          <a:ext cx="14523809" cy="6352381"/>
        </a:xfrm>
        <a:prstGeom prst="rect">
          <a:avLst/>
        </a:prstGeom>
      </xdr:spPr>
    </xdr:pic>
    <xdr:clientData/>
  </xdr:twoCellAnchor>
  <xdr:twoCellAnchor editAs="oneCell">
    <xdr:from>
      <xdr:col>0</xdr:col>
      <xdr:colOff>0</xdr:colOff>
      <xdr:row>118</xdr:row>
      <xdr:rowOff>0</xdr:rowOff>
    </xdr:from>
    <xdr:to>
      <xdr:col>23</xdr:col>
      <xdr:colOff>312533</xdr:colOff>
      <xdr:row>140</xdr:row>
      <xdr:rowOff>109973</xdr:rowOff>
    </xdr:to>
    <xdr:pic>
      <xdr:nvPicPr>
        <xdr:cNvPr id="5" name="图片 4">
          <a:extLst>
            <a:ext uri="{FF2B5EF4-FFF2-40B4-BE49-F238E27FC236}">
              <a16:creationId xmlns:a16="http://schemas.microsoft.com/office/drawing/2014/main" id="{E25D5603-EC4A-74AA-DDDC-EB56C5570AC1}"/>
            </a:ext>
          </a:extLst>
        </xdr:cNvPr>
        <xdr:cNvPicPr>
          <a:picLocks noChangeAspect="1"/>
        </xdr:cNvPicPr>
      </xdr:nvPicPr>
      <xdr:blipFill>
        <a:blip xmlns:r="http://schemas.openxmlformats.org/officeDocument/2006/relationships" r:embed="rId4"/>
        <a:stretch>
          <a:fillRect/>
        </a:stretch>
      </xdr:blipFill>
      <xdr:spPr>
        <a:xfrm>
          <a:off x="0" y="21579840"/>
          <a:ext cx="14333333" cy="41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503009</xdr:colOff>
      <xdr:row>42</xdr:row>
      <xdr:rowOff>119040</xdr:rowOff>
    </xdr:to>
    <xdr:pic>
      <xdr:nvPicPr>
        <xdr:cNvPr id="2" name="图片 1">
          <a:extLst>
            <a:ext uri="{FF2B5EF4-FFF2-40B4-BE49-F238E27FC236}">
              <a16:creationId xmlns:a16="http://schemas.microsoft.com/office/drawing/2014/main" id="{2A02B81C-7303-7E8A-EF88-6E190E450636}"/>
            </a:ext>
          </a:extLst>
        </xdr:cNvPr>
        <xdr:cNvPicPr>
          <a:picLocks noChangeAspect="1"/>
        </xdr:cNvPicPr>
      </xdr:nvPicPr>
      <xdr:blipFill>
        <a:blip xmlns:r="http://schemas.openxmlformats.org/officeDocument/2006/relationships" r:embed="rId1"/>
        <a:stretch>
          <a:fillRect/>
        </a:stretch>
      </xdr:blipFill>
      <xdr:spPr>
        <a:xfrm>
          <a:off x="0" y="0"/>
          <a:ext cx="14523809" cy="7800000"/>
        </a:xfrm>
        <a:prstGeom prst="rect">
          <a:avLst/>
        </a:prstGeom>
      </xdr:spPr>
    </xdr:pic>
    <xdr:clientData/>
  </xdr:twoCellAnchor>
  <xdr:twoCellAnchor editAs="oneCell">
    <xdr:from>
      <xdr:col>0</xdr:col>
      <xdr:colOff>0</xdr:colOff>
      <xdr:row>43</xdr:row>
      <xdr:rowOff>0</xdr:rowOff>
    </xdr:from>
    <xdr:to>
      <xdr:col>23</xdr:col>
      <xdr:colOff>503009</xdr:colOff>
      <xdr:row>87</xdr:row>
      <xdr:rowOff>115185</xdr:rowOff>
    </xdr:to>
    <xdr:pic>
      <xdr:nvPicPr>
        <xdr:cNvPr id="3" name="图片 2">
          <a:extLst>
            <a:ext uri="{FF2B5EF4-FFF2-40B4-BE49-F238E27FC236}">
              <a16:creationId xmlns:a16="http://schemas.microsoft.com/office/drawing/2014/main" id="{BFA7FE46-A2D3-11B7-A0C4-D320C3F3A282}"/>
            </a:ext>
          </a:extLst>
        </xdr:cNvPr>
        <xdr:cNvPicPr>
          <a:picLocks noChangeAspect="1"/>
        </xdr:cNvPicPr>
      </xdr:nvPicPr>
      <xdr:blipFill>
        <a:blip xmlns:r="http://schemas.openxmlformats.org/officeDocument/2006/relationships" r:embed="rId2"/>
        <a:stretch>
          <a:fillRect/>
        </a:stretch>
      </xdr:blipFill>
      <xdr:spPr>
        <a:xfrm>
          <a:off x="0" y="7863840"/>
          <a:ext cx="14523809" cy="8161905"/>
        </a:xfrm>
        <a:prstGeom prst="rect">
          <a:avLst/>
        </a:prstGeom>
      </xdr:spPr>
    </xdr:pic>
    <xdr:clientData/>
  </xdr:twoCellAnchor>
  <xdr:twoCellAnchor editAs="oneCell">
    <xdr:from>
      <xdr:col>0</xdr:col>
      <xdr:colOff>0</xdr:colOff>
      <xdr:row>88</xdr:row>
      <xdr:rowOff>0</xdr:rowOff>
    </xdr:from>
    <xdr:to>
      <xdr:col>23</xdr:col>
      <xdr:colOff>493486</xdr:colOff>
      <xdr:row>125</xdr:row>
      <xdr:rowOff>62011</xdr:rowOff>
    </xdr:to>
    <xdr:pic>
      <xdr:nvPicPr>
        <xdr:cNvPr id="4" name="图片 3">
          <a:extLst>
            <a:ext uri="{FF2B5EF4-FFF2-40B4-BE49-F238E27FC236}">
              <a16:creationId xmlns:a16="http://schemas.microsoft.com/office/drawing/2014/main" id="{5332B654-CB1B-E60F-9E43-9249E77C96AB}"/>
            </a:ext>
          </a:extLst>
        </xdr:cNvPr>
        <xdr:cNvPicPr>
          <a:picLocks noChangeAspect="1"/>
        </xdr:cNvPicPr>
      </xdr:nvPicPr>
      <xdr:blipFill>
        <a:blip xmlns:r="http://schemas.openxmlformats.org/officeDocument/2006/relationships" r:embed="rId3"/>
        <a:stretch>
          <a:fillRect/>
        </a:stretch>
      </xdr:blipFill>
      <xdr:spPr>
        <a:xfrm>
          <a:off x="0" y="16093440"/>
          <a:ext cx="14514286" cy="6828571"/>
        </a:xfrm>
        <a:prstGeom prst="rect">
          <a:avLst/>
        </a:prstGeom>
      </xdr:spPr>
    </xdr:pic>
    <xdr:clientData/>
  </xdr:twoCellAnchor>
  <xdr:twoCellAnchor editAs="oneCell">
    <xdr:from>
      <xdr:col>0</xdr:col>
      <xdr:colOff>0</xdr:colOff>
      <xdr:row>125</xdr:row>
      <xdr:rowOff>0</xdr:rowOff>
    </xdr:from>
    <xdr:to>
      <xdr:col>23</xdr:col>
      <xdr:colOff>83962</xdr:colOff>
      <xdr:row>160</xdr:row>
      <xdr:rowOff>75390</xdr:rowOff>
    </xdr:to>
    <xdr:pic>
      <xdr:nvPicPr>
        <xdr:cNvPr id="5" name="图片 4">
          <a:extLst>
            <a:ext uri="{FF2B5EF4-FFF2-40B4-BE49-F238E27FC236}">
              <a16:creationId xmlns:a16="http://schemas.microsoft.com/office/drawing/2014/main" id="{A6AFC884-2291-B65D-A0AB-1BCDDE52E832}"/>
            </a:ext>
          </a:extLst>
        </xdr:cNvPr>
        <xdr:cNvPicPr>
          <a:picLocks noChangeAspect="1"/>
        </xdr:cNvPicPr>
      </xdr:nvPicPr>
      <xdr:blipFill>
        <a:blip xmlns:r="http://schemas.openxmlformats.org/officeDocument/2006/relationships" r:embed="rId4"/>
        <a:stretch>
          <a:fillRect/>
        </a:stretch>
      </xdr:blipFill>
      <xdr:spPr>
        <a:xfrm>
          <a:off x="0" y="22860000"/>
          <a:ext cx="14104762" cy="6476190"/>
        </a:xfrm>
        <a:prstGeom prst="rect">
          <a:avLst/>
        </a:prstGeom>
      </xdr:spPr>
    </xdr:pic>
    <xdr:clientData/>
  </xdr:twoCellAnchor>
  <xdr:twoCellAnchor editAs="oneCell">
    <xdr:from>
      <xdr:col>0</xdr:col>
      <xdr:colOff>0</xdr:colOff>
      <xdr:row>161</xdr:row>
      <xdr:rowOff>0</xdr:rowOff>
    </xdr:from>
    <xdr:to>
      <xdr:col>23</xdr:col>
      <xdr:colOff>303009</xdr:colOff>
      <xdr:row>182</xdr:row>
      <xdr:rowOff>121425</xdr:rowOff>
    </xdr:to>
    <xdr:pic>
      <xdr:nvPicPr>
        <xdr:cNvPr id="6" name="图片 5">
          <a:extLst>
            <a:ext uri="{FF2B5EF4-FFF2-40B4-BE49-F238E27FC236}">
              <a16:creationId xmlns:a16="http://schemas.microsoft.com/office/drawing/2014/main" id="{A582493A-7833-FA70-D4FB-53E84D8AD490}"/>
            </a:ext>
          </a:extLst>
        </xdr:cNvPr>
        <xdr:cNvPicPr>
          <a:picLocks noChangeAspect="1"/>
        </xdr:cNvPicPr>
      </xdr:nvPicPr>
      <xdr:blipFill>
        <a:blip xmlns:r="http://schemas.openxmlformats.org/officeDocument/2006/relationships" r:embed="rId5"/>
        <a:stretch>
          <a:fillRect/>
        </a:stretch>
      </xdr:blipFill>
      <xdr:spPr>
        <a:xfrm>
          <a:off x="0" y="29443680"/>
          <a:ext cx="14323809" cy="39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264838</xdr:colOff>
      <xdr:row>43</xdr:row>
      <xdr:rowOff>59969</xdr:rowOff>
    </xdr:to>
    <xdr:pic>
      <xdr:nvPicPr>
        <xdr:cNvPr id="2" name="图片 1">
          <a:extLst>
            <a:ext uri="{FF2B5EF4-FFF2-40B4-BE49-F238E27FC236}">
              <a16:creationId xmlns:a16="http://schemas.microsoft.com/office/drawing/2014/main" id="{F7E4CE7D-0209-1DE5-A16A-2FA7718AF09C}"/>
            </a:ext>
          </a:extLst>
        </xdr:cNvPr>
        <xdr:cNvPicPr>
          <a:picLocks noChangeAspect="1"/>
        </xdr:cNvPicPr>
      </xdr:nvPicPr>
      <xdr:blipFill>
        <a:blip xmlns:r="http://schemas.openxmlformats.org/officeDocument/2006/relationships" r:embed="rId1"/>
        <a:stretch>
          <a:fillRect/>
        </a:stretch>
      </xdr:blipFill>
      <xdr:spPr>
        <a:xfrm>
          <a:off x="0" y="0"/>
          <a:ext cx="14895238" cy="7923809"/>
        </a:xfrm>
        <a:prstGeom prst="rect">
          <a:avLst/>
        </a:prstGeom>
      </xdr:spPr>
    </xdr:pic>
    <xdr:clientData/>
  </xdr:twoCellAnchor>
  <xdr:twoCellAnchor editAs="oneCell">
    <xdr:from>
      <xdr:col>0</xdr:col>
      <xdr:colOff>0</xdr:colOff>
      <xdr:row>43</xdr:row>
      <xdr:rowOff>0</xdr:rowOff>
    </xdr:from>
    <xdr:to>
      <xdr:col>23</xdr:col>
      <xdr:colOff>588724</xdr:colOff>
      <xdr:row>85</xdr:row>
      <xdr:rowOff>176183</xdr:rowOff>
    </xdr:to>
    <xdr:pic>
      <xdr:nvPicPr>
        <xdr:cNvPr id="3" name="图片 2">
          <a:extLst>
            <a:ext uri="{FF2B5EF4-FFF2-40B4-BE49-F238E27FC236}">
              <a16:creationId xmlns:a16="http://schemas.microsoft.com/office/drawing/2014/main" id="{302690ED-9429-E02A-AB7C-B0C64FC92C63}"/>
            </a:ext>
          </a:extLst>
        </xdr:cNvPr>
        <xdr:cNvPicPr>
          <a:picLocks noChangeAspect="1"/>
        </xdr:cNvPicPr>
      </xdr:nvPicPr>
      <xdr:blipFill>
        <a:blip xmlns:r="http://schemas.openxmlformats.org/officeDocument/2006/relationships" r:embed="rId2"/>
        <a:stretch>
          <a:fillRect/>
        </a:stretch>
      </xdr:blipFill>
      <xdr:spPr>
        <a:xfrm>
          <a:off x="0" y="7863840"/>
          <a:ext cx="14609524" cy="7857143"/>
        </a:xfrm>
        <a:prstGeom prst="rect">
          <a:avLst/>
        </a:prstGeom>
      </xdr:spPr>
    </xdr:pic>
    <xdr:clientData/>
  </xdr:twoCellAnchor>
  <xdr:twoCellAnchor editAs="oneCell">
    <xdr:from>
      <xdr:col>0</xdr:col>
      <xdr:colOff>0</xdr:colOff>
      <xdr:row>86</xdr:row>
      <xdr:rowOff>0</xdr:rowOff>
    </xdr:from>
    <xdr:to>
      <xdr:col>24</xdr:col>
      <xdr:colOff>150552</xdr:colOff>
      <xdr:row>128</xdr:row>
      <xdr:rowOff>99992</xdr:rowOff>
    </xdr:to>
    <xdr:pic>
      <xdr:nvPicPr>
        <xdr:cNvPr id="4" name="图片 3">
          <a:extLst>
            <a:ext uri="{FF2B5EF4-FFF2-40B4-BE49-F238E27FC236}">
              <a16:creationId xmlns:a16="http://schemas.microsoft.com/office/drawing/2014/main" id="{3E7B4897-95FF-4C32-78DA-EA711A6151B1}"/>
            </a:ext>
          </a:extLst>
        </xdr:cNvPr>
        <xdr:cNvPicPr>
          <a:picLocks noChangeAspect="1"/>
        </xdr:cNvPicPr>
      </xdr:nvPicPr>
      <xdr:blipFill>
        <a:blip xmlns:r="http://schemas.openxmlformats.org/officeDocument/2006/relationships" r:embed="rId3"/>
        <a:stretch>
          <a:fillRect/>
        </a:stretch>
      </xdr:blipFill>
      <xdr:spPr>
        <a:xfrm>
          <a:off x="0" y="15727680"/>
          <a:ext cx="14780952" cy="7780952"/>
        </a:xfrm>
        <a:prstGeom prst="rect">
          <a:avLst/>
        </a:prstGeom>
      </xdr:spPr>
    </xdr:pic>
    <xdr:clientData/>
  </xdr:twoCellAnchor>
  <xdr:twoCellAnchor editAs="oneCell">
    <xdr:from>
      <xdr:col>0</xdr:col>
      <xdr:colOff>0</xdr:colOff>
      <xdr:row>129</xdr:row>
      <xdr:rowOff>0</xdr:rowOff>
    </xdr:from>
    <xdr:to>
      <xdr:col>23</xdr:col>
      <xdr:colOff>283962</xdr:colOff>
      <xdr:row>170</xdr:row>
      <xdr:rowOff>16206</xdr:rowOff>
    </xdr:to>
    <xdr:pic>
      <xdr:nvPicPr>
        <xdr:cNvPr id="5" name="图片 4">
          <a:extLst>
            <a:ext uri="{FF2B5EF4-FFF2-40B4-BE49-F238E27FC236}">
              <a16:creationId xmlns:a16="http://schemas.microsoft.com/office/drawing/2014/main" id="{C4837941-E6DB-BF1A-609A-5D5CAB36A3C3}"/>
            </a:ext>
          </a:extLst>
        </xdr:cNvPr>
        <xdr:cNvPicPr>
          <a:picLocks noChangeAspect="1"/>
        </xdr:cNvPicPr>
      </xdr:nvPicPr>
      <xdr:blipFill>
        <a:blip xmlns:r="http://schemas.openxmlformats.org/officeDocument/2006/relationships" r:embed="rId4"/>
        <a:stretch>
          <a:fillRect/>
        </a:stretch>
      </xdr:blipFill>
      <xdr:spPr>
        <a:xfrm>
          <a:off x="0" y="23591520"/>
          <a:ext cx="14304762" cy="7514286"/>
        </a:xfrm>
        <a:prstGeom prst="rect">
          <a:avLst/>
        </a:prstGeom>
      </xdr:spPr>
    </xdr:pic>
    <xdr:clientData/>
  </xdr:twoCellAnchor>
  <xdr:twoCellAnchor editAs="oneCell">
    <xdr:from>
      <xdr:col>0</xdr:col>
      <xdr:colOff>0</xdr:colOff>
      <xdr:row>170</xdr:row>
      <xdr:rowOff>0</xdr:rowOff>
    </xdr:from>
    <xdr:to>
      <xdr:col>24</xdr:col>
      <xdr:colOff>217219</xdr:colOff>
      <xdr:row>193</xdr:row>
      <xdr:rowOff>50903</xdr:rowOff>
    </xdr:to>
    <xdr:pic>
      <xdr:nvPicPr>
        <xdr:cNvPr id="6" name="图片 5">
          <a:extLst>
            <a:ext uri="{FF2B5EF4-FFF2-40B4-BE49-F238E27FC236}">
              <a16:creationId xmlns:a16="http://schemas.microsoft.com/office/drawing/2014/main" id="{F952676E-34C4-56C3-9B83-A7F777FBD5E8}"/>
            </a:ext>
          </a:extLst>
        </xdr:cNvPr>
        <xdr:cNvPicPr>
          <a:picLocks noChangeAspect="1"/>
        </xdr:cNvPicPr>
      </xdr:nvPicPr>
      <xdr:blipFill>
        <a:blip xmlns:r="http://schemas.openxmlformats.org/officeDocument/2006/relationships" r:embed="rId5"/>
        <a:stretch>
          <a:fillRect/>
        </a:stretch>
      </xdr:blipFill>
      <xdr:spPr>
        <a:xfrm>
          <a:off x="0" y="31089600"/>
          <a:ext cx="14847619" cy="42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367164</xdr:colOff>
      <xdr:row>3</xdr:row>
      <xdr:rowOff>0</xdr:rowOff>
    </xdr:from>
    <xdr:to>
      <xdr:col>25</xdr:col>
      <xdr:colOff>310572</xdr:colOff>
      <xdr:row>28</xdr:row>
      <xdr:rowOff>149648</xdr:rowOff>
    </xdr:to>
    <xdr:pic>
      <xdr:nvPicPr>
        <xdr:cNvPr id="2" name="图片 1">
          <a:extLst>
            <a:ext uri="{FF2B5EF4-FFF2-40B4-BE49-F238E27FC236}">
              <a16:creationId xmlns:a16="http://schemas.microsoft.com/office/drawing/2014/main" id="{7578F8EC-478F-E28D-CDEF-25250D3E708E}"/>
            </a:ext>
          </a:extLst>
        </xdr:cNvPr>
        <xdr:cNvPicPr>
          <a:picLocks noChangeAspect="1"/>
        </xdr:cNvPicPr>
      </xdr:nvPicPr>
      <xdr:blipFill>
        <a:blip xmlns:r="http://schemas.openxmlformats.org/officeDocument/2006/relationships" r:embed="rId1"/>
        <a:stretch>
          <a:fillRect/>
        </a:stretch>
      </xdr:blipFill>
      <xdr:spPr>
        <a:xfrm>
          <a:off x="5426844" y="0"/>
          <a:ext cx="10306608" cy="47216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10</xdr:col>
      <xdr:colOff>651509</xdr:colOff>
      <xdr:row>382</xdr:row>
      <xdr:rowOff>0</xdr:rowOff>
    </xdr:from>
    <xdr:ext cx="40005" cy="47625"/>
    <xdr:sp macro="" textlink="">
      <xdr:nvSpPr>
        <xdr:cNvPr id="2" name="textbox10">
          <a:extLst>
            <a:ext uri="{FF2B5EF4-FFF2-40B4-BE49-F238E27FC236}">
              <a16:creationId xmlns:a16="http://schemas.microsoft.com/office/drawing/2014/main" id="{124698B3-9709-4D4F-9B9F-4F40850F892D}"/>
            </a:ext>
          </a:extLst>
        </xdr:cNvPr>
        <xdr:cNvSpPr txBox="1"/>
      </xdr:nvSpPr>
      <xdr:spPr>
        <a:xfrm>
          <a:off x="7410449" y="72771000"/>
          <a:ext cx="40005" cy="47625"/>
        </a:xfrm>
        <a:prstGeom prst="rect">
          <a:avLst/>
        </a:prstGeom>
        <a:noFill/>
        <a:ln cap="flat">
          <a:noFill/>
          <a:prstDash val="solid"/>
        </a:ln>
      </xdr:spPr>
      <xdr:txBody>
        <a:bodyPr vertOverflow="overflow" vert="eaVert" lIns="0" tIns="0" rIns="0" bIns="0" anchor="t"/>
        <a:lstStyle/>
        <a:p>
          <a:pPr algn="l" rtl="0" eaLnBrk="0">
            <a:lnSpc>
              <a:spcPct val="84881"/>
            </a:lnSpc>
            <a:tabLst/>
          </a:pPr>
          <a:endParaRPr sz="100" dirty="0">
            <a:latin typeface="Arial"/>
            <a:ea typeface="Arial"/>
            <a:cs typeface="Arial"/>
          </a:endParaRPr>
        </a:p>
        <a:p>
          <a:pPr marL="12700" algn="l" rtl="0" eaLnBrk="0">
            <a:lnSpc>
              <a:spcPts val="113"/>
            </a:lnSpc>
            <a:tabLst/>
          </a:pPr>
          <a:r>
            <a:rPr sz="200" kern="0" spc="60" dirty="0">
              <a:solidFill>
                <a:srgbClr val="000000">
                  <a:alpha val="100000"/>
                </a:srgbClr>
              </a:solidFill>
              <a:latin typeface="SimSun"/>
              <a:ea typeface="SimSun"/>
              <a:cs typeface="SimSun"/>
            </a:rPr>
            <a:t>1</a:t>
          </a:r>
          <a:endParaRPr sz="200" dirty="0">
            <a:latin typeface="SimSun"/>
            <a:ea typeface="SimSun"/>
            <a:cs typeface="SimSun"/>
          </a:endParaRPr>
        </a:p>
      </xdr:txBody>
    </xdr:sp>
    <xdr:clientData/>
  </xdr:oneCellAnchor>
  <xdr:oneCellAnchor>
    <xdr:from>
      <xdr:col>10</xdr:col>
      <xdr:colOff>651509</xdr:colOff>
      <xdr:row>597</xdr:row>
      <xdr:rowOff>0</xdr:rowOff>
    </xdr:from>
    <xdr:ext cx="40005" cy="47625"/>
    <xdr:sp macro="" textlink="">
      <xdr:nvSpPr>
        <xdr:cNvPr id="3" name="textbox10">
          <a:extLst>
            <a:ext uri="{FF2B5EF4-FFF2-40B4-BE49-F238E27FC236}">
              <a16:creationId xmlns:a16="http://schemas.microsoft.com/office/drawing/2014/main" id="{DE9CA492-8C7E-4479-A1D6-E8E01A672F32}"/>
            </a:ext>
          </a:extLst>
        </xdr:cNvPr>
        <xdr:cNvSpPr txBox="1"/>
      </xdr:nvSpPr>
      <xdr:spPr>
        <a:xfrm>
          <a:off x="7837169" y="434340"/>
          <a:ext cx="40005" cy="47625"/>
        </a:xfrm>
        <a:prstGeom prst="rect">
          <a:avLst/>
        </a:prstGeom>
        <a:noFill/>
        <a:ln cap="flat">
          <a:noFill/>
          <a:prstDash val="solid"/>
        </a:ln>
      </xdr:spPr>
      <xdr:txBody>
        <a:bodyPr vertOverflow="overflow" vert="eaVert" lIns="0" tIns="0" rIns="0" bIns="0" anchor="t"/>
        <a:lstStyle/>
        <a:p>
          <a:pPr algn="l" rtl="0" eaLnBrk="0">
            <a:lnSpc>
              <a:spcPct val="84881"/>
            </a:lnSpc>
            <a:tabLst/>
          </a:pPr>
          <a:endParaRPr sz="100" dirty="0">
            <a:latin typeface="Arial"/>
            <a:ea typeface="Arial"/>
            <a:cs typeface="Arial"/>
          </a:endParaRPr>
        </a:p>
        <a:p>
          <a:pPr marL="12700" algn="l" rtl="0" eaLnBrk="0">
            <a:lnSpc>
              <a:spcPts val="113"/>
            </a:lnSpc>
            <a:tabLst/>
          </a:pPr>
          <a:r>
            <a:rPr sz="200" kern="0" spc="60" dirty="0">
              <a:solidFill>
                <a:srgbClr val="000000">
                  <a:alpha val="100000"/>
                </a:srgbClr>
              </a:solidFill>
              <a:latin typeface="SimSun"/>
              <a:ea typeface="SimSun"/>
              <a:cs typeface="SimSun"/>
            </a:rPr>
            <a:t>1</a:t>
          </a:r>
          <a:endParaRPr sz="200" dirty="0">
            <a:latin typeface="SimSun"/>
            <a:ea typeface="SimSun"/>
            <a:cs typeface="SimSun"/>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93409</xdr:colOff>
      <xdr:row>42</xdr:row>
      <xdr:rowOff>128564</xdr:rowOff>
    </xdr:to>
    <xdr:pic>
      <xdr:nvPicPr>
        <xdr:cNvPr id="3" name="图片 2">
          <a:extLst>
            <a:ext uri="{FF2B5EF4-FFF2-40B4-BE49-F238E27FC236}">
              <a16:creationId xmlns:a16="http://schemas.microsoft.com/office/drawing/2014/main" id="{F5BCC153-97A4-2B25-D6F6-0C6885B261BF}"/>
            </a:ext>
          </a:extLst>
        </xdr:cNvPr>
        <xdr:cNvPicPr>
          <a:picLocks noChangeAspect="1"/>
        </xdr:cNvPicPr>
      </xdr:nvPicPr>
      <xdr:blipFill>
        <a:blip xmlns:r="http://schemas.openxmlformats.org/officeDocument/2006/relationships" r:embed="rId1"/>
        <a:stretch>
          <a:fillRect/>
        </a:stretch>
      </xdr:blipFill>
      <xdr:spPr>
        <a:xfrm>
          <a:off x="0" y="0"/>
          <a:ext cx="14723809" cy="7809524"/>
        </a:xfrm>
        <a:prstGeom prst="rect">
          <a:avLst/>
        </a:prstGeom>
      </xdr:spPr>
    </xdr:pic>
    <xdr:clientData/>
  </xdr:twoCellAnchor>
  <xdr:twoCellAnchor editAs="oneCell">
    <xdr:from>
      <xdr:col>0</xdr:col>
      <xdr:colOff>0</xdr:colOff>
      <xdr:row>47</xdr:row>
      <xdr:rowOff>0</xdr:rowOff>
    </xdr:from>
    <xdr:to>
      <xdr:col>24</xdr:col>
      <xdr:colOff>74362</xdr:colOff>
      <xdr:row>89</xdr:row>
      <xdr:rowOff>176183</xdr:rowOff>
    </xdr:to>
    <xdr:pic>
      <xdr:nvPicPr>
        <xdr:cNvPr id="4" name="图片 3">
          <a:extLst>
            <a:ext uri="{FF2B5EF4-FFF2-40B4-BE49-F238E27FC236}">
              <a16:creationId xmlns:a16="http://schemas.microsoft.com/office/drawing/2014/main" id="{5C972CD4-022B-95E1-97C8-BB44AB165CE7}"/>
            </a:ext>
          </a:extLst>
        </xdr:cNvPr>
        <xdr:cNvPicPr>
          <a:picLocks noChangeAspect="1"/>
        </xdr:cNvPicPr>
      </xdr:nvPicPr>
      <xdr:blipFill>
        <a:blip xmlns:r="http://schemas.openxmlformats.org/officeDocument/2006/relationships" r:embed="rId2"/>
        <a:stretch>
          <a:fillRect/>
        </a:stretch>
      </xdr:blipFill>
      <xdr:spPr>
        <a:xfrm>
          <a:off x="0" y="8595360"/>
          <a:ext cx="14704762" cy="7857143"/>
        </a:xfrm>
        <a:prstGeom prst="rect">
          <a:avLst/>
        </a:prstGeom>
      </xdr:spPr>
    </xdr:pic>
    <xdr:clientData/>
  </xdr:twoCellAnchor>
  <xdr:twoCellAnchor>
    <xdr:from>
      <xdr:col>0</xdr:col>
      <xdr:colOff>228600</xdr:colOff>
      <xdr:row>22</xdr:row>
      <xdr:rowOff>142875</xdr:rowOff>
    </xdr:from>
    <xdr:to>
      <xdr:col>24</xdr:col>
      <xdr:colOff>9525</xdr:colOff>
      <xdr:row>25</xdr:row>
      <xdr:rowOff>19050</xdr:rowOff>
    </xdr:to>
    <xdr:sp macro="" textlink="">
      <xdr:nvSpPr>
        <xdr:cNvPr id="5" name="矩形: 圆角 4">
          <a:extLst>
            <a:ext uri="{FF2B5EF4-FFF2-40B4-BE49-F238E27FC236}">
              <a16:creationId xmlns:a16="http://schemas.microsoft.com/office/drawing/2014/main" id="{96079AC1-C9A4-F803-0F2C-B5086EFA7FAC}"/>
            </a:ext>
          </a:extLst>
        </xdr:cNvPr>
        <xdr:cNvSpPr/>
      </xdr:nvSpPr>
      <xdr:spPr>
        <a:xfrm>
          <a:off x="228600" y="4124325"/>
          <a:ext cx="14411325" cy="419100"/>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noFill/>
          </a:endParaRPr>
        </a:p>
      </xdr:txBody>
    </xdr:sp>
    <xdr:clientData/>
  </xdr:twoCellAnchor>
  <xdr:twoCellAnchor>
    <xdr:from>
      <xdr:col>0</xdr:col>
      <xdr:colOff>142875</xdr:colOff>
      <xdr:row>28</xdr:row>
      <xdr:rowOff>95250</xdr:rowOff>
    </xdr:from>
    <xdr:to>
      <xdr:col>23</xdr:col>
      <xdr:colOff>533400</xdr:colOff>
      <xdr:row>29</xdr:row>
      <xdr:rowOff>171450</xdr:rowOff>
    </xdr:to>
    <xdr:sp macro="" textlink="">
      <xdr:nvSpPr>
        <xdr:cNvPr id="6" name="矩形: 圆角 5">
          <a:extLst>
            <a:ext uri="{FF2B5EF4-FFF2-40B4-BE49-F238E27FC236}">
              <a16:creationId xmlns:a16="http://schemas.microsoft.com/office/drawing/2014/main" id="{69E10E6B-E005-45C8-AB5D-5F0A14A4CE3A}"/>
            </a:ext>
          </a:extLst>
        </xdr:cNvPr>
        <xdr:cNvSpPr/>
      </xdr:nvSpPr>
      <xdr:spPr>
        <a:xfrm>
          <a:off x="142875" y="5162550"/>
          <a:ext cx="14411325" cy="25717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noFill/>
          </a:endParaRPr>
        </a:p>
      </xdr:txBody>
    </xdr:sp>
    <xdr:clientData/>
  </xdr:twoCellAnchor>
  <xdr:twoCellAnchor>
    <xdr:from>
      <xdr:col>0</xdr:col>
      <xdr:colOff>104775</xdr:colOff>
      <xdr:row>69</xdr:row>
      <xdr:rowOff>137159</xdr:rowOff>
    </xdr:from>
    <xdr:to>
      <xdr:col>23</xdr:col>
      <xdr:colOff>495300</xdr:colOff>
      <xdr:row>73</xdr:row>
      <xdr:rowOff>123824</xdr:rowOff>
    </xdr:to>
    <xdr:sp macro="" textlink="">
      <xdr:nvSpPr>
        <xdr:cNvPr id="7" name="矩形: 圆角 6">
          <a:extLst>
            <a:ext uri="{FF2B5EF4-FFF2-40B4-BE49-F238E27FC236}">
              <a16:creationId xmlns:a16="http://schemas.microsoft.com/office/drawing/2014/main" id="{28F78EB4-31B6-44AC-B75E-86D8A7B04D3E}"/>
            </a:ext>
          </a:extLst>
        </xdr:cNvPr>
        <xdr:cNvSpPr/>
      </xdr:nvSpPr>
      <xdr:spPr>
        <a:xfrm>
          <a:off x="104775" y="12624434"/>
          <a:ext cx="14411325" cy="71056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no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503695</xdr:colOff>
      <xdr:row>39</xdr:row>
      <xdr:rowOff>162918</xdr:rowOff>
    </xdr:to>
    <xdr:pic>
      <xdr:nvPicPr>
        <xdr:cNvPr id="2" name="图片 1">
          <a:extLst>
            <a:ext uri="{FF2B5EF4-FFF2-40B4-BE49-F238E27FC236}">
              <a16:creationId xmlns:a16="http://schemas.microsoft.com/office/drawing/2014/main" id="{CB5F554B-E512-AE4F-BF54-CB84B5CD6E18}"/>
            </a:ext>
          </a:extLst>
        </xdr:cNvPr>
        <xdr:cNvPicPr>
          <a:picLocks noChangeAspect="1"/>
        </xdr:cNvPicPr>
      </xdr:nvPicPr>
      <xdr:blipFill>
        <a:blip xmlns:r="http://schemas.openxmlformats.org/officeDocument/2006/relationships" r:embed="rId1"/>
        <a:stretch>
          <a:fillRect/>
        </a:stretch>
      </xdr:blipFill>
      <xdr:spPr>
        <a:xfrm>
          <a:off x="0" y="0"/>
          <a:ext cx="9038095" cy="7295238"/>
        </a:xfrm>
        <a:prstGeom prst="rect">
          <a:avLst/>
        </a:prstGeom>
      </xdr:spPr>
    </xdr:pic>
    <xdr:clientData/>
  </xdr:twoCellAnchor>
  <xdr:twoCellAnchor editAs="oneCell">
    <xdr:from>
      <xdr:col>0</xdr:col>
      <xdr:colOff>0</xdr:colOff>
      <xdr:row>41</xdr:row>
      <xdr:rowOff>0</xdr:rowOff>
    </xdr:from>
    <xdr:to>
      <xdr:col>16</xdr:col>
      <xdr:colOff>208305</xdr:colOff>
      <xdr:row>53</xdr:row>
      <xdr:rowOff>62583</xdr:rowOff>
    </xdr:to>
    <xdr:pic>
      <xdr:nvPicPr>
        <xdr:cNvPr id="3" name="图片 2">
          <a:extLst>
            <a:ext uri="{FF2B5EF4-FFF2-40B4-BE49-F238E27FC236}">
              <a16:creationId xmlns:a16="http://schemas.microsoft.com/office/drawing/2014/main" id="{3A6DF880-ECA5-06B0-55C4-5756D08336E0}"/>
            </a:ext>
          </a:extLst>
        </xdr:cNvPr>
        <xdr:cNvPicPr>
          <a:picLocks noChangeAspect="1"/>
        </xdr:cNvPicPr>
      </xdr:nvPicPr>
      <xdr:blipFill>
        <a:blip xmlns:r="http://schemas.openxmlformats.org/officeDocument/2006/relationships" r:embed="rId2"/>
        <a:stretch>
          <a:fillRect/>
        </a:stretch>
      </xdr:blipFill>
      <xdr:spPr>
        <a:xfrm>
          <a:off x="0" y="7498080"/>
          <a:ext cx="9961905" cy="2257143"/>
        </a:xfrm>
        <a:prstGeom prst="rect">
          <a:avLst/>
        </a:prstGeom>
      </xdr:spPr>
    </xdr:pic>
    <xdr:clientData/>
  </xdr:twoCellAnchor>
  <xdr:twoCellAnchor editAs="oneCell">
    <xdr:from>
      <xdr:col>0</xdr:col>
      <xdr:colOff>0</xdr:colOff>
      <xdr:row>54</xdr:row>
      <xdr:rowOff>0</xdr:rowOff>
    </xdr:from>
    <xdr:to>
      <xdr:col>14</xdr:col>
      <xdr:colOff>379886</xdr:colOff>
      <xdr:row>65</xdr:row>
      <xdr:rowOff>35939</xdr:rowOff>
    </xdr:to>
    <xdr:pic>
      <xdr:nvPicPr>
        <xdr:cNvPr id="4" name="图片 3">
          <a:extLst>
            <a:ext uri="{FF2B5EF4-FFF2-40B4-BE49-F238E27FC236}">
              <a16:creationId xmlns:a16="http://schemas.microsoft.com/office/drawing/2014/main" id="{C7709206-04B0-24C8-354D-128CC8108427}"/>
            </a:ext>
          </a:extLst>
        </xdr:cNvPr>
        <xdr:cNvPicPr>
          <a:picLocks noChangeAspect="1"/>
        </xdr:cNvPicPr>
      </xdr:nvPicPr>
      <xdr:blipFill>
        <a:blip xmlns:r="http://schemas.openxmlformats.org/officeDocument/2006/relationships" r:embed="rId3"/>
        <a:stretch>
          <a:fillRect/>
        </a:stretch>
      </xdr:blipFill>
      <xdr:spPr>
        <a:xfrm>
          <a:off x="0" y="9875520"/>
          <a:ext cx="8914286" cy="20476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74438</xdr:colOff>
      <xdr:row>43</xdr:row>
      <xdr:rowOff>79017</xdr:rowOff>
    </xdr:to>
    <xdr:pic>
      <xdr:nvPicPr>
        <xdr:cNvPr id="2" name="图片 1">
          <a:extLst>
            <a:ext uri="{FF2B5EF4-FFF2-40B4-BE49-F238E27FC236}">
              <a16:creationId xmlns:a16="http://schemas.microsoft.com/office/drawing/2014/main" id="{D6142DBD-DD3B-949C-A3D1-E01580CAE98A}"/>
            </a:ext>
          </a:extLst>
        </xdr:cNvPr>
        <xdr:cNvPicPr>
          <a:picLocks noChangeAspect="1"/>
        </xdr:cNvPicPr>
      </xdr:nvPicPr>
      <xdr:blipFill>
        <a:blip xmlns:r="http://schemas.openxmlformats.org/officeDocument/2006/relationships" r:embed="rId1"/>
        <a:stretch>
          <a:fillRect/>
        </a:stretch>
      </xdr:blipFill>
      <xdr:spPr>
        <a:xfrm>
          <a:off x="0" y="0"/>
          <a:ext cx="14095238" cy="7942857"/>
        </a:xfrm>
        <a:prstGeom prst="rect">
          <a:avLst/>
        </a:prstGeom>
      </xdr:spPr>
    </xdr:pic>
    <xdr:clientData/>
  </xdr:twoCellAnchor>
  <xdr:twoCellAnchor editAs="oneCell">
    <xdr:from>
      <xdr:col>0</xdr:col>
      <xdr:colOff>0</xdr:colOff>
      <xdr:row>44</xdr:row>
      <xdr:rowOff>0</xdr:rowOff>
    </xdr:from>
    <xdr:to>
      <xdr:col>24</xdr:col>
      <xdr:colOff>417219</xdr:colOff>
      <xdr:row>85</xdr:row>
      <xdr:rowOff>159063</xdr:rowOff>
    </xdr:to>
    <xdr:pic>
      <xdr:nvPicPr>
        <xdr:cNvPr id="3" name="图片 2">
          <a:extLst>
            <a:ext uri="{FF2B5EF4-FFF2-40B4-BE49-F238E27FC236}">
              <a16:creationId xmlns:a16="http://schemas.microsoft.com/office/drawing/2014/main" id="{001FD76C-5F44-B09F-6C28-3A659C67D490}"/>
            </a:ext>
          </a:extLst>
        </xdr:cNvPr>
        <xdr:cNvPicPr>
          <a:picLocks noChangeAspect="1"/>
        </xdr:cNvPicPr>
      </xdr:nvPicPr>
      <xdr:blipFill>
        <a:blip xmlns:r="http://schemas.openxmlformats.org/officeDocument/2006/relationships" r:embed="rId2"/>
        <a:stretch>
          <a:fillRect/>
        </a:stretch>
      </xdr:blipFill>
      <xdr:spPr>
        <a:xfrm>
          <a:off x="0" y="8046720"/>
          <a:ext cx="15047619" cy="7657143"/>
        </a:xfrm>
        <a:prstGeom prst="rect">
          <a:avLst/>
        </a:prstGeom>
      </xdr:spPr>
    </xdr:pic>
    <xdr:clientData/>
  </xdr:twoCellAnchor>
  <xdr:twoCellAnchor editAs="oneCell">
    <xdr:from>
      <xdr:col>0</xdr:col>
      <xdr:colOff>0</xdr:colOff>
      <xdr:row>87</xdr:row>
      <xdr:rowOff>0</xdr:rowOff>
    </xdr:from>
    <xdr:to>
      <xdr:col>25</xdr:col>
      <xdr:colOff>255238</xdr:colOff>
      <xdr:row>119</xdr:row>
      <xdr:rowOff>71649</xdr:rowOff>
    </xdr:to>
    <xdr:pic>
      <xdr:nvPicPr>
        <xdr:cNvPr id="4" name="图片 3">
          <a:extLst>
            <a:ext uri="{FF2B5EF4-FFF2-40B4-BE49-F238E27FC236}">
              <a16:creationId xmlns:a16="http://schemas.microsoft.com/office/drawing/2014/main" id="{F85C117A-B2B4-3558-2032-FDFF8EEBAECF}"/>
            </a:ext>
          </a:extLst>
        </xdr:cNvPr>
        <xdr:cNvPicPr>
          <a:picLocks noChangeAspect="1"/>
        </xdr:cNvPicPr>
      </xdr:nvPicPr>
      <xdr:blipFill>
        <a:blip xmlns:r="http://schemas.openxmlformats.org/officeDocument/2006/relationships" r:embed="rId3"/>
        <a:stretch>
          <a:fillRect/>
        </a:stretch>
      </xdr:blipFill>
      <xdr:spPr>
        <a:xfrm>
          <a:off x="0" y="15910560"/>
          <a:ext cx="15495238" cy="592380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484190</xdr:colOff>
      <xdr:row>37</xdr:row>
      <xdr:rowOff>52488</xdr:rowOff>
    </xdr:to>
    <xdr:pic>
      <xdr:nvPicPr>
        <xdr:cNvPr id="2" name="图片 1">
          <a:extLst>
            <a:ext uri="{FF2B5EF4-FFF2-40B4-BE49-F238E27FC236}">
              <a16:creationId xmlns:a16="http://schemas.microsoft.com/office/drawing/2014/main" id="{B474F61A-3232-EA9D-63D4-7D5F58EFBF7B}"/>
            </a:ext>
          </a:extLst>
        </xdr:cNvPr>
        <xdr:cNvPicPr>
          <a:picLocks noChangeAspect="1"/>
        </xdr:cNvPicPr>
      </xdr:nvPicPr>
      <xdr:blipFill>
        <a:blip xmlns:r="http://schemas.openxmlformats.org/officeDocument/2006/relationships" r:embed="rId1"/>
        <a:stretch>
          <a:fillRect/>
        </a:stretch>
      </xdr:blipFill>
      <xdr:spPr>
        <a:xfrm>
          <a:off x="0" y="0"/>
          <a:ext cx="12676190" cy="6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北京市房山区揽秀南街15号院5号楼5-1-4等47套住宅、13号院10幢-1-1006等1147个地下车位房地产抵押价值预评估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受贵公司委托，我公司对北京市房山区揽秀南街15号院5号楼5-1-4等47套住宅、13号院10幢-1-1006等1147个地下车位房地产抵押价值进行了预评估。</v>
      </c>
    </row>
    <row r="7" spans="1:2">
      <c r="A7" s="1118" t="s">
        <v>566</v>
      </c>
      <c r="B7" s="1119" t="str">
        <f>'预评函-1'!A7</f>
        <v>估价对象为北京市房山区揽秀南街15号院5号楼5-1-4等47套住宅、13号院10幢-1-1006等1147个地下车位房地产，为所有。根据《国有土地使用证》[]，估价对象（分摊）出让国有建设用地使用权面积为0平方米，建筑面积为216.68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山区揽秀南街15号院5号楼5-1-4等47套住宅、13号院10幢-1-1006等1147个地下车位房地产,属开发建设的居住项目，该项目尚在开发建设中。根据《国有土地使用证》[]，估价对象（分摊）出让国有建设用地使用权面积为0平方米，规划建筑面积为216.68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山区揽秀南街15号院5号楼5-1-4等47套住宅、13号院10幢-1-1006等1147个地下车位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2025年6月18日</v>
      </c>
    </row>
    <row r="13" spans="1:2">
      <c r="A13" s="1118" t="s">
        <v>529</v>
      </c>
      <c r="B13" s="1119" t="str">
        <f>'预评函-1'!A18</f>
        <v>本次估价的“房地产价值”是指在正常市场情况下，在价值时点2025年6月18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本次评估采用的主估价方法为比较法和成本法。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0</v>
      </c>
    </row>
    <row r="21" spans="1:2">
      <c r="A21" s="1118" t="s">
        <v>537</v>
      </c>
      <c r="B21" s="1119">
        <f ca="1">'预评函-2'!D7</f>
        <v>36904</v>
      </c>
    </row>
    <row r="22" spans="1:2">
      <c r="A22" s="1118" t="s">
        <v>538</v>
      </c>
      <c r="B22" s="1119" t="str">
        <f ca="1">'预评函-2'!D6</f>
        <v>零元整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0</v>
      </c>
    </row>
    <row r="31" spans="1:2">
      <c r="A31" s="1118" t="s">
        <v>576</v>
      </c>
      <c r="B31" s="1119">
        <f ca="1">'预评函-2'!D15</f>
        <v>36904</v>
      </c>
    </row>
    <row r="32" spans="1:2">
      <c r="A32" s="1118" t="s">
        <v>543</v>
      </c>
      <c r="B32" s="1119" t="str">
        <f ca="1">'预评函-2'!D14</f>
        <v>零元整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北京市房山区揽秀南街15号院5号楼5-1-4等47套住宅、13号院10幢-1-1006等1147个地下车位房地产</v>
      </c>
    </row>
    <row r="42" spans="1:2" ht="31.2">
      <c r="A42" s="1118" t="s">
        <v>590</v>
      </c>
      <c r="B42" s="1119" t="str">
        <f>'预评函-3'!B2</f>
        <v>建筑面积</v>
      </c>
    </row>
    <row r="43" spans="1:2">
      <c r="A43" s="1118" t="s">
        <v>591</v>
      </c>
      <c r="B43" s="1119">
        <f>'预评函-3'!B4</f>
        <v>216.68</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7" workbookViewId="0">
      <selection activeCell="E24" sqref="E24"/>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3347</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3333</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3334</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3335</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3336</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3337</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3338</v>
      </c>
    </row>
    <row r="8" spans="1:23">
      <c r="A8" s="1440" t="s">
        <v>1026</v>
      </c>
      <c r="B8" s="1440" t="s">
        <v>1027</v>
      </c>
      <c r="C8" s="1441" t="s">
        <v>319</v>
      </c>
      <c r="F8" s="1442" t="s">
        <v>1028</v>
      </c>
      <c r="H8" s="1442" t="s">
        <v>2574</v>
      </c>
      <c r="I8" s="1442" t="s">
        <v>3339</v>
      </c>
    </row>
    <row r="9" spans="1:23">
      <c r="A9" s="1440" t="s">
        <v>1029</v>
      </c>
      <c r="B9" s="1440" t="s">
        <v>1030</v>
      </c>
      <c r="C9" s="1441" t="s">
        <v>320</v>
      </c>
      <c r="F9" s="1442" t="s">
        <v>1031</v>
      </c>
      <c r="H9" s="1442"/>
      <c r="I9" s="1444" t="s">
        <v>3340</v>
      </c>
    </row>
    <row r="10" spans="1:23">
      <c r="A10" s="1440" t="s">
        <v>1032</v>
      </c>
      <c r="B10" s="1440" t="s">
        <v>1033</v>
      </c>
      <c r="C10" s="1441" t="s">
        <v>321</v>
      </c>
      <c r="F10" s="1442" t="s">
        <v>2575</v>
      </c>
      <c r="I10" s="1444" t="s">
        <v>3341</v>
      </c>
    </row>
    <row r="11" spans="1:23">
      <c r="A11" s="1440" t="s">
        <v>1034</v>
      </c>
      <c r="B11" s="1440" t="s">
        <v>1035</v>
      </c>
      <c r="C11" s="1441" t="s">
        <v>322</v>
      </c>
      <c r="F11" s="1442" t="s">
        <v>13</v>
      </c>
      <c r="I11" s="1444" t="s">
        <v>3342</v>
      </c>
    </row>
    <row r="12" spans="1:23">
      <c r="A12" s="1440" t="s">
        <v>1036</v>
      </c>
      <c r="B12" s="1440" t="s">
        <v>1037</v>
      </c>
      <c r="C12" s="1441" t="s">
        <v>323</v>
      </c>
      <c r="I12" s="1444" t="s">
        <v>3343</v>
      </c>
    </row>
    <row r="13" spans="1:23">
      <c r="A13" s="1440" t="s">
        <v>1038</v>
      </c>
      <c r="B13" s="1440" t="s">
        <v>1039</v>
      </c>
      <c r="C13" s="1441" t="s">
        <v>324</v>
      </c>
      <c r="I13" s="1444" t="s">
        <v>3344</v>
      </c>
    </row>
    <row r="14" spans="1:23">
      <c r="A14" s="1440" t="s">
        <v>1040</v>
      </c>
      <c r="B14" s="1440" t="s">
        <v>1041</v>
      </c>
      <c r="C14" s="1442" t="s">
        <v>13</v>
      </c>
      <c r="I14" s="1444" t="s">
        <v>3345</v>
      </c>
    </row>
    <row r="15" spans="1:23">
      <c r="A15" s="1440" t="s">
        <v>1042</v>
      </c>
      <c r="B15" s="1440" t="s">
        <v>1043</v>
      </c>
      <c r="C15" s="1441"/>
      <c r="I15" s="1444" t="s">
        <v>3346</v>
      </c>
    </row>
    <row r="16" spans="1:23">
      <c r="A16" s="1440" t="s">
        <v>1044</v>
      </c>
      <c r="B16" s="1440" t="s">
        <v>312</v>
      </c>
      <c r="C16" s="1441"/>
    </row>
    <row r="17" spans="1:3">
      <c r="A17" s="1440" t="s">
        <v>1045</v>
      </c>
      <c r="B17" s="1440" t="s">
        <v>2290</v>
      </c>
      <c r="C17" s="1441"/>
    </row>
    <row r="18" spans="1:3">
      <c r="A18" s="1440" t="s">
        <v>1046</v>
      </c>
      <c r="B18" s="1440" t="s">
        <v>2430</v>
      </c>
      <c r="C18" s="1441"/>
    </row>
    <row r="19" spans="1:3">
      <c r="A19" s="1440" t="s">
        <v>1047</v>
      </c>
      <c r="B19" s="1440" t="s">
        <v>3486</v>
      </c>
      <c r="C19" s="1441"/>
    </row>
    <row r="20" spans="1:3">
      <c r="A20" s="1440" t="s">
        <v>1048</v>
      </c>
      <c r="B20" s="1440" t="s">
        <v>3572</v>
      </c>
      <c r="C20" s="1441"/>
    </row>
    <row r="21" spans="1:3">
      <c r="A21" s="1440" t="s">
        <v>1049</v>
      </c>
      <c r="B21" s="1440" t="s">
        <v>3582</v>
      </c>
      <c r="C21" s="1441"/>
    </row>
    <row r="22" spans="1:3">
      <c r="A22" s="1440" t="s">
        <v>1050</v>
      </c>
      <c r="B22" s="1440" t="s">
        <v>3583</v>
      </c>
      <c r="C22" s="1441"/>
    </row>
    <row r="23" spans="1:3">
      <c r="A23" s="1440" t="s">
        <v>1051</v>
      </c>
      <c r="B23" s="1440" t="s">
        <v>3988</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揽秀南街15号院5号楼5-1-4等47套住宅、13号院10幢-1-1006等1147个地下车位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8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5"/>
      <c r="B54" s="1446" t="s">
        <v>385</v>
      </c>
      <c r="C54" s="1444" t="s">
        <v>583</v>
      </c>
    </row>
    <row r="55" spans="1:4">
      <c r="A55" s="3285"/>
      <c r="B55" s="1446" t="s">
        <v>386</v>
      </c>
      <c r="C55" s="1444" t="s">
        <v>584</v>
      </c>
    </row>
    <row r="56" spans="1:4">
      <c r="A56" s="3285"/>
      <c r="B56" s="1446" t="s">
        <v>387</v>
      </c>
      <c r="C56" s="1444" t="s">
        <v>588</v>
      </c>
    </row>
    <row r="57" spans="1:4">
      <c r="A57" s="328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2497</v>
      </c>
      <c r="B1" s="2752"/>
      <c r="C1" s="2752"/>
      <c r="D1" s="2752"/>
      <c r="E1" s="2752"/>
      <c r="F1" s="2753"/>
      <c r="I1" s="3130" t="s">
        <v>2590</v>
      </c>
      <c r="J1" s="2778"/>
      <c r="K1" s="2778"/>
      <c r="L1" s="2778"/>
      <c r="M1" s="2778"/>
      <c r="N1" s="2963"/>
      <c r="O1" s="2963"/>
      <c r="P1" s="2963"/>
      <c r="Q1" s="2963"/>
      <c r="R1" s="2963"/>
    </row>
    <row r="2" spans="1:18">
      <c r="A2" s="2755"/>
      <c r="B2" s="2756"/>
      <c r="C2" s="2756"/>
      <c r="D2" s="2756"/>
      <c r="E2" s="2756"/>
      <c r="F2" s="2757"/>
      <c r="I2" s="3286" t="s">
        <v>2577</v>
      </c>
      <c r="J2" s="3286"/>
      <c r="K2" s="3286"/>
      <c r="L2" s="3286"/>
      <c r="M2" s="3286"/>
      <c r="N2" s="3286"/>
      <c r="O2" s="3286"/>
      <c r="P2" s="3286"/>
      <c r="Q2" s="3286"/>
      <c r="R2" s="3286"/>
    </row>
    <row r="3" spans="1:18">
      <c r="A3" s="2758" t="s">
        <v>2498</v>
      </c>
      <c r="B3" s="2759">
        <f>项目基本情况!D3</f>
        <v>45826</v>
      </c>
      <c r="C3" s="2761"/>
      <c r="D3" s="2761"/>
      <c r="E3" s="2761"/>
      <c r="F3" s="2757"/>
      <c r="I3" s="2773"/>
      <c r="J3" s="2773" t="s">
        <v>2581</v>
      </c>
      <c r="K3" s="2773" t="s">
        <v>2582</v>
      </c>
      <c r="L3" s="2773" t="s">
        <v>2583</v>
      </c>
      <c r="M3" s="2773" t="s">
        <v>2584</v>
      </c>
      <c r="N3" s="3131" t="s">
        <v>2585</v>
      </c>
      <c r="O3" s="3131" t="s">
        <v>2586</v>
      </c>
      <c r="P3" s="3131" t="s">
        <v>2587</v>
      </c>
      <c r="Q3" s="3131" t="s">
        <v>2588</v>
      </c>
      <c r="R3" s="3131" t="s">
        <v>2589</v>
      </c>
    </row>
    <row r="4" spans="1:18">
      <c r="A4" s="2758" t="s">
        <v>2499</v>
      </c>
      <c r="B4" s="2761" t="s">
        <v>2500</v>
      </c>
      <c r="C4" s="2761" t="s">
        <v>2501</v>
      </c>
      <c r="D4" s="2761" t="s">
        <v>2502</v>
      </c>
      <c r="E4" s="2761" t="s">
        <v>2503</v>
      </c>
      <c r="F4" s="2757"/>
      <c r="I4" s="2773" t="s">
        <v>2578</v>
      </c>
      <c r="J4" s="2773">
        <v>80</v>
      </c>
      <c r="K4" s="2773">
        <v>70</v>
      </c>
      <c r="L4" s="2773">
        <v>20</v>
      </c>
      <c r="M4" s="2773">
        <v>30</v>
      </c>
      <c r="N4" s="2761">
        <v>45</v>
      </c>
      <c r="O4" s="2761">
        <v>60</v>
      </c>
      <c r="P4" s="2761">
        <v>50</v>
      </c>
      <c r="Q4" s="2761">
        <v>20</v>
      </c>
      <c r="R4" s="2761">
        <v>375</v>
      </c>
    </row>
    <row r="5" spans="1:18">
      <c r="A5" s="2762">
        <v>40</v>
      </c>
      <c r="B5" s="2759">
        <v>46375</v>
      </c>
      <c r="C5" s="2761">
        <f>ROUNDDOWN(MIN((B5-B3)/365,A5),2)</f>
        <v>1.5</v>
      </c>
      <c r="D5" s="2763">
        <f>IF(ISERROR(ROUND(POWER(1+E5,A5-C5)*(POWER(1+E5,C5)-1)/(POWER(1+E5,A5)-1),3)),0,ROUND(POWER(1+E5,A5-C5)*(POWER(1+E5,C5)-1)/(POWER(1+E5,A5)-1),4))</f>
        <v>7.22E-2</v>
      </c>
      <c r="E5" s="2764">
        <v>0.04</v>
      </c>
      <c r="F5" s="2757"/>
      <c r="I5" s="2773" t="s">
        <v>2579</v>
      </c>
      <c r="J5" s="2773">
        <v>70</v>
      </c>
      <c r="K5" s="2773">
        <v>60</v>
      </c>
      <c r="L5" s="2773">
        <v>15</v>
      </c>
      <c r="M5" s="2773">
        <v>25</v>
      </c>
      <c r="N5" s="2761">
        <v>40</v>
      </c>
      <c r="O5" s="2761">
        <v>50</v>
      </c>
      <c r="P5" s="2761">
        <v>40</v>
      </c>
      <c r="Q5" s="2761">
        <v>15</v>
      </c>
      <c r="R5" s="2761">
        <v>315</v>
      </c>
    </row>
    <row r="6" spans="1:18">
      <c r="A6" s="2762">
        <v>50</v>
      </c>
      <c r="B6" s="2759">
        <v>50028</v>
      </c>
      <c r="C6" s="2761">
        <f>ROUNDDOWN(MIN((B6-B3)/365,A6),2)</f>
        <v>11.51</v>
      </c>
      <c r="D6" s="2763">
        <f>IF(ISERROR(ROUND(POWER(1+E6,A6-C6)*(POWER(1+E6,C6)-1)/(POWER(1+E6,A6)-1),3)),0,ROUND(POWER(1+E6,A6-C6)*(POWER(1+E6,C6)-1)/(POWER(1+E6,A6)-1),4))</f>
        <v>0.42280000000000001</v>
      </c>
      <c r="E6" s="2764">
        <v>0.04</v>
      </c>
      <c r="F6" s="2757"/>
      <c r="I6" s="2773" t="s">
        <v>2580</v>
      </c>
      <c r="J6" s="2773">
        <v>60</v>
      </c>
      <c r="K6" s="2773">
        <v>50</v>
      </c>
      <c r="L6" s="2773">
        <v>10</v>
      </c>
      <c r="M6" s="2773">
        <v>20</v>
      </c>
      <c r="N6" s="2761">
        <v>35</v>
      </c>
      <c r="O6" s="2761">
        <v>40</v>
      </c>
      <c r="P6" s="2761">
        <v>30</v>
      </c>
      <c r="Q6" s="2761">
        <v>10</v>
      </c>
      <c r="R6" s="2761">
        <v>255</v>
      </c>
    </row>
    <row r="7" spans="1:18">
      <c r="A7" s="2762">
        <v>70</v>
      </c>
      <c r="B7" s="2759">
        <v>57333</v>
      </c>
      <c r="C7" s="2761">
        <f>ROUNDDOWN(MIN((B7-B3)/365,A7),2)</f>
        <v>31.52</v>
      </c>
      <c r="D7" s="2763">
        <f>IF(ISERROR(ROUND(POWER(1+E7,A7-C7)*(POWER(1+E7,C7)-1)/(POWER(1+E7,A7)-1),3)),0,ROUND(POWER(1+E7,A7-C7)*(POWER(1+E7,C7)-1)/(POWER(1+E7,A7)-1),4))</f>
        <v>0.75819999999999999</v>
      </c>
      <c r="E7" s="2764">
        <v>0.04</v>
      </c>
      <c r="F7" s="2757"/>
    </row>
    <row r="8" spans="1:18">
      <c r="A8" s="2755"/>
      <c r="B8" s="2756"/>
      <c r="C8" s="2756"/>
      <c r="D8" s="2756"/>
      <c r="E8" s="2756"/>
      <c r="F8" s="2757"/>
    </row>
    <row r="9" spans="1:18">
      <c r="A9" s="2758" t="s">
        <v>2504</v>
      </c>
      <c r="B9" s="2761"/>
      <c r="C9" s="2761"/>
      <c r="D9" s="2761"/>
      <c r="E9" s="2761"/>
      <c r="F9" s="2765"/>
    </row>
    <row r="10" spans="1:18">
      <c r="A10" s="2758" t="s">
        <v>2505</v>
      </c>
      <c r="B10" s="2761"/>
      <c r="C10" s="2761"/>
      <c r="D10" s="2761" t="s">
        <v>2503</v>
      </c>
      <c r="E10" s="2761"/>
      <c r="F10" s="2765" t="s">
        <v>2502</v>
      </c>
    </row>
    <row r="11" spans="1:18">
      <c r="A11" s="2758" t="s">
        <v>2506</v>
      </c>
      <c r="B11" s="2766">
        <v>70</v>
      </c>
      <c r="C11" s="2761" t="s">
        <v>2507</v>
      </c>
      <c r="D11" s="2766">
        <v>4.4999999999999998E-2</v>
      </c>
      <c r="E11" s="2761" t="s">
        <v>2508</v>
      </c>
      <c r="F11" s="2767">
        <f>ROUND(1-(1/(POWER(1+D11,B11))),4)</f>
        <v>0.95409999999999995</v>
      </c>
    </row>
    <row r="12" spans="1:18">
      <c r="A12" s="2758" t="s">
        <v>2509</v>
      </c>
      <c r="B12" s="2766">
        <v>40</v>
      </c>
      <c r="C12" s="2761" t="s">
        <v>2510</v>
      </c>
      <c r="D12" s="2766">
        <v>4.4999999999999998E-2</v>
      </c>
      <c r="E12" s="2761" t="s">
        <v>2511</v>
      </c>
      <c r="F12" s="2767">
        <f>ROUND(1-(1/(POWER(1+D12,B12))),4)</f>
        <v>0.82809999999999995</v>
      </c>
    </row>
    <row r="13" spans="1:18">
      <c r="A13" s="2758" t="s">
        <v>2512</v>
      </c>
      <c r="B13" s="2761"/>
      <c r="C13" s="2761"/>
      <c r="D13" s="2756"/>
      <c r="E13" s="2756"/>
      <c r="F13" s="2757"/>
    </row>
    <row r="14" spans="1:18">
      <c r="A14" s="2758" t="s">
        <v>2513</v>
      </c>
      <c r="B14" s="2766">
        <v>5000</v>
      </c>
      <c r="C14" s="2760"/>
      <c r="D14" s="2756"/>
      <c r="E14" s="2756"/>
      <c r="F14" s="2757"/>
    </row>
    <row r="15" spans="1:18">
      <c r="A15" s="2758" t="s">
        <v>2514</v>
      </c>
      <c r="B15" s="2761">
        <f>ROUND(B14*F12/F11,2)</f>
        <v>4339.6899999999996</v>
      </c>
      <c r="C15" s="2761">
        <f>ROUND(F12/F11,4)</f>
        <v>0.8679</v>
      </c>
      <c r="D15" s="2756"/>
      <c r="E15" s="2756"/>
      <c r="F15" s="2757"/>
    </row>
    <row r="16" spans="1:18">
      <c r="A16" s="2758" t="s">
        <v>2515</v>
      </c>
      <c r="B16" s="2761"/>
      <c r="C16" s="2761"/>
      <c r="D16" s="2756"/>
      <c r="E16" s="2756"/>
      <c r="F16" s="2757"/>
    </row>
    <row r="17" spans="1:14">
      <c r="A17" s="2758" t="s">
        <v>2514</v>
      </c>
      <c r="B17" s="2766">
        <v>4810</v>
      </c>
      <c r="C17" s="2760"/>
      <c r="D17" s="2756"/>
      <c r="E17" s="2756"/>
      <c r="F17" s="2757"/>
    </row>
    <row r="18" spans="1:14" ht="15" thickBot="1">
      <c r="A18" s="2768" t="s">
        <v>2513</v>
      </c>
      <c r="B18" s="2769">
        <f>ROUND(B17*F11/F12,2)</f>
        <v>5541.87</v>
      </c>
      <c r="C18" s="2769">
        <f>ROUND(F11/F12,4)</f>
        <v>1.1521999999999999</v>
      </c>
      <c r="D18" s="2770"/>
      <c r="E18" s="2770"/>
      <c r="F18" s="2771"/>
    </row>
    <row r="19" spans="1:14" ht="15" thickBot="1"/>
    <row r="20" spans="1:14" s="2804" customFormat="1" ht="15" thickTop="1">
      <c r="A20" s="2801" t="s">
        <v>2516</v>
      </c>
      <c r="B20" s="2802"/>
      <c r="C20" s="2802"/>
      <c r="D20" s="2802"/>
      <c r="E20" s="2802"/>
      <c r="F20" s="2802"/>
      <c r="G20" s="2803"/>
      <c r="I20" s="2805" t="s">
        <v>2561</v>
      </c>
      <c r="J20" s="2805" t="s">
        <v>2566</v>
      </c>
      <c r="K20" s="2805"/>
      <c r="L20" s="2805"/>
      <c r="M20" s="2805"/>
    </row>
    <row r="21" spans="1:14">
      <c r="A21" s="2772"/>
      <c r="B21" s="2773" t="s">
        <v>2517</v>
      </c>
      <c r="C21" s="2773" t="s">
        <v>2518</v>
      </c>
      <c r="D21" s="2773" t="s">
        <v>2519</v>
      </c>
      <c r="E21" s="2773" t="s">
        <v>2520</v>
      </c>
      <c r="F21" s="2773" t="s">
        <v>2521</v>
      </c>
      <c r="G21" s="2774" t="s">
        <v>2522</v>
      </c>
      <c r="I21" s="2795">
        <v>5</v>
      </c>
      <c r="J21" s="2795">
        <v>54.2</v>
      </c>
    </row>
    <row r="22" spans="1:14">
      <c r="A22" s="2772" t="s">
        <v>2523</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2524</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2564</v>
      </c>
      <c r="N23" s="3148" t="s">
        <v>2565</v>
      </c>
    </row>
    <row r="24" spans="1:14">
      <c r="A24" s="2772" t="s">
        <v>2525</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2563</v>
      </c>
      <c r="N24" s="3148">
        <v>10</v>
      </c>
    </row>
    <row r="25" spans="1:14">
      <c r="A25" s="2772" t="s">
        <v>2526</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2567</v>
      </c>
      <c r="N25" s="3148">
        <v>8</v>
      </c>
    </row>
    <row r="26" spans="1:14">
      <c r="A26" s="2777"/>
      <c r="B26" s="2778"/>
      <c r="C26" s="2778"/>
      <c r="D26" s="2778"/>
      <c r="E26" s="2778"/>
      <c r="F26" s="2778"/>
      <c r="G26" s="2779"/>
      <c r="I26" s="2795">
        <v>30</v>
      </c>
      <c r="J26" s="2795">
        <v>90.5</v>
      </c>
      <c r="K26" s="2795">
        <f t="shared" si="2"/>
        <v>4.2000000000000028</v>
      </c>
      <c r="L26" s="2795" t="s">
        <v>2568</v>
      </c>
      <c r="N26" s="3148">
        <v>5</v>
      </c>
    </row>
    <row r="27" spans="1:14">
      <c r="A27" s="2777" t="s">
        <v>2527</v>
      </c>
      <c r="B27" s="2778"/>
      <c r="C27" s="2778"/>
      <c r="D27" s="2778"/>
      <c r="E27" s="2778"/>
      <c r="F27" s="2778"/>
      <c r="G27" s="2779"/>
      <c r="I27" s="2795">
        <v>35</v>
      </c>
      <c r="J27" s="2795">
        <v>93.8</v>
      </c>
      <c r="K27" s="2795">
        <f t="shared" si="2"/>
        <v>3.2999999999999972</v>
      </c>
      <c r="L27" s="2795" t="s">
        <v>2569</v>
      </c>
      <c r="N27" s="3148">
        <v>3</v>
      </c>
    </row>
    <row r="28" spans="1:14">
      <c r="A28" s="2777" t="s">
        <v>2528</v>
      </c>
      <c r="B28" s="2778"/>
      <c r="C28" s="2778"/>
      <c r="D28" s="2778"/>
      <c r="E28" s="2778"/>
      <c r="F28" s="2778"/>
      <c r="G28" s="2779"/>
      <c r="I28" s="2795">
        <v>40</v>
      </c>
      <c r="J28" s="2795">
        <v>96.4</v>
      </c>
      <c r="K28" s="2795">
        <f t="shared" si="2"/>
        <v>2.6000000000000085</v>
      </c>
      <c r="L28" s="2795" t="s">
        <v>2570</v>
      </c>
      <c r="N28" s="3148">
        <v>2</v>
      </c>
    </row>
    <row r="29" spans="1:14">
      <c r="A29" s="2777" t="s">
        <v>2529</v>
      </c>
      <c r="B29" s="2778"/>
      <c r="C29" s="2778"/>
      <c r="D29" s="2778"/>
      <c r="E29" s="2778"/>
      <c r="F29" s="2778"/>
      <c r="G29" s="2779"/>
      <c r="I29" s="2795">
        <v>45</v>
      </c>
      <c r="J29" s="2795">
        <v>98.4</v>
      </c>
      <c r="K29" s="2795">
        <f t="shared" si="2"/>
        <v>2</v>
      </c>
    </row>
    <row r="30" spans="1:14">
      <c r="A30" s="2777" t="s">
        <v>2530</v>
      </c>
      <c r="B30" s="2778"/>
      <c r="C30" s="2778"/>
      <c r="D30" s="2778"/>
      <c r="E30" s="2778"/>
      <c r="F30" s="2778"/>
      <c r="G30" s="2779"/>
      <c r="I30" s="2795">
        <v>50</v>
      </c>
      <c r="J30" s="2795">
        <v>100</v>
      </c>
      <c r="K30" s="2795">
        <f t="shared" si="2"/>
        <v>1.5999999999999943</v>
      </c>
    </row>
    <row r="31" spans="1:14">
      <c r="A31" s="2777" t="s">
        <v>2531</v>
      </c>
      <c r="B31" s="2778"/>
      <c r="C31" s="2778"/>
      <c r="D31" s="2778"/>
      <c r="E31" s="2778"/>
      <c r="F31" s="2778"/>
      <c r="G31" s="2779"/>
      <c r="I31" s="2795" t="s">
        <v>2562</v>
      </c>
    </row>
    <row r="32" spans="1:14">
      <c r="A32" s="2777" t="s">
        <v>2532</v>
      </c>
      <c r="B32" s="2778"/>
      <c r="C32" s="2778"/>
      <c r="D32" s="2778"/>
      <c r="E32" s="2778"/>
      <c r="F32" s="2778"/>
      <c r="G32" s="2779"/>
    </row>
    <row r="33" spans="1:14">
      <c r="A33" s="2777" t="s">
        <v>2533</v>
      </c>
      <c r="B33" s="2778"/>
      <c r="C33" s="2778"/>
      <c r="D33" s="2778"/>
      <c r="E33" s="2778"/>
      <c r="F33" s="2778"/>
      <c r="G33" s="2779"/>
      <c r="I33" s="2795" t="s">
        <v>2561</v>
      </c>
      <c r="J33" s="2795" t="s">
        <v>2571</v>
      </c>
    </row>
    <row r="34" spans="1:14">
      <c r="A34" s="2777" t="s">
        <v>2534</v>
      </c>
      <c r="B34" s="2778"/>
      <c r="C34" s="2778"/>
      <c r="D34" s="2778"/>
      <c r="E34" s="2778"/>
      <c r="F34" s="2778"/>
      <c r="G34" s="2779"/>
      <c r="I34" s="2795">
        <v>5</v>
      </c>
      <c r="J34" s="2795">
        <v>55.1</v>
      </c>
    </row>
    <row r="35" spans="1:14">
      <c r="A35" s="2777" t="s">
        <v>2535</v>
      </c>
      <c r="B35" s="2778"/>
      <c r="C35" s="2778"/>
      <c r="D35" s="2778"/>
      <c r="E35" s="2778"/>
      <c r="F35" s="2778"/>
      <c r="G35" s="2779"/>
      <c r="I35" s="2795">
        <v>10</v>
      </c>
      <c r="J35" s="2795">
        <v>67</v>
      </c>
      <c r="K35" s="2795">
        <f>J35-J34</f>
        <v>11.899999999999999</v>
      </c>
    </row>
    <row r="36" spans="1:14">
      <c r="A36" s="2777" t="s">
        <v>2536</v>
      </c>
      <c r="B36" s="2778"/>
      <c r="C36" s="2778"/>
      <c r="D36" s="2778"/>
      <c r="E36" s="2778"/>
      <c r="F36" s="2778"/>
      <c r="G36" s="2779"/>
      <c r="I36" s="2795">
        <v>15</v>
      </c>
      <c r="J36" s="2795">
        <v>76.3</v>
      </c>
      <c r="K36" s="2795">
        <f t="shared" ref="K36:K41" si="3">J36-J35</f>
        <v>9.2999999999999972</v>
      </c>
      <c r="L36" s="2795" t="s">
        <v>2564</v>
      </c>
      <c r="N36" s="3148" t="s">
        <v>2565</v>
      </c>
    </row>
    <row r="37" spans="1:14">
      <c r="A37" s="2777" t="s">
        <v>2537</v>
      </c>
      <c r="B37" s="2778"/>
      <c r="C37" s="2778"/>
      <c r="D37" s="2778"/>
      <c r="E37" s="2778"/>
      <c r="F37" s="2778"/>
      <c r="G37" s="2779"/>
      <c r="I37" s="2795">
        <v>20</v>
      </c>
      <c r="J37" s="2795">
        <v>83.6</v>
      </c>
      <c r="K37" s="2795">
        <f t="shared" si="3"/>
        <v>7.2999999999999972</v>
      </c>
      <c r="L37" s="2795" t="s">
        <v>2563</v>
      </c>
      <c r="N37" s="3148">
        <v>10</v>
      </c>
    </row>
    <row r="38" spans="1:14">
      <c r="A38" s="2777" t="s">
        <v>2538</v>
      </c>
      <c r="B38" s="2778"/>
      <c r="C38" s="2778"/>
      <c r="D38" s="2778"/>
      <c r="E38" s="2778"/>
      <c r="F38" s="2778"/>
      <c r="G38" s="2779"/>
      <c r="I38" s="2795">
        <v>25</v>
      </c>
      <c r="J38" s="2795">
        <v>89.3</v>
      </c>
      <c r="K38" s="2795">
        <f t="shared" si="3"/>
        <v>5.7000000000000028</v>
      </c>
      <c r="L38" s="2795" t="s">
        <v>2567</v>
      </c>
      <c r="N38" s="3148">
        <v>8</v>
      </c>
    </row>
    <row r="39" spans="1:14">
      <c r="A39" s="2777"/>
      <c r="B39" s="2778"/>
      <c r="C39" s="2778"/>
      <c r="D39" s="2778"/>
      <c r="E39" s="2778"/>
      <c r="F39" s="2778"/>
      <c r="G39" s="2779"/>
      <c r="I39" s="2795">
        <v>30</v>
      </c>
      <c r="J39" s="2795">
        <v>93.8</v>
      </c>
      <c r="K39" s="2795">
        <f t="shared" si="3"/>
        <v>4.5</v>
      </c>
      <c r="L39" s="2795" t="s">
        <v>2568</v>
      </c>
      <c r="N39" s="3148">
        <v>6</v>
      </c>
    </row>
    <row r="40" spans="1:14">
      <c r="A40" s="2780" t="s">
        <v>2539</v>
      </c>
      <c r="B40" s="2781"/>
      <c r="C40" s="2781"/>
      <c r="D40" s="2781"/>
      <c r="E40" s="2781"/>
      <c r="F40" s="2781"/>
      <c r="G40" s="2782"/>
      <c r="I40" s="2795">
        <v>35</v>
      </c>
      <c r="J40" s="2795">
        <v>97.2</v>
      </c>
      <c r="K40" s="2795">
        <f t="shared" si="3"/>
        <v>3.4000000000000057</v>
      </c>
      <c r="L40" s="2795" t="s">
        <v>2569</v>
      </c>
      <c r="N40" s="3148">
        <v>3</v>
      </c>
    </row>
    <row r="41" spans="1:14">
      <c r="A41" s="2783" t="s">
        <v>2540</v>
      </c>
      <c r="B41" s="2784" t="s">
        <v>2541</v>
      </c>
      <c r="C41" s="2785" t="s">
        <v>2542</v>
      </c>
      <c r="D41" s="2785" t="s">
        <v>2543</v>
      </c>
      <c r="E41" s="2786"/>
      <c r="F41" s="2787"/>
      <c r="G41" s="2788"/>
      <c r="I41" s="2795">
        <v>40</v>
      </c>
      <c r="J41" s="2795">
        <v>100</v>
      </c>
      <c r="K41" s="2795">
        <f t="shared" si="3"/>
        <v>2.7999999999999972</v>
      </c>
    </row>
    <row r="42" spans="1:14">
      <c r="A42" s="2783" t="s">
        <v>2544</v>
      </c>
      <c r="B42" s="2784" t="s">
        <v>2545</v>
      </c>
      <c r="C42" s="2785" t="s">
        <v>2546</v>
      </c>
      <c r="D42" s="2789" t="s">
        <v>2547</v>
      </c>
      <c r="E42" s="2781" t="s">
        <v>2548</v>
      </c>
      <c r="F42" s="2781"/>
      <c r="G42" s="2782"/>
    </row>
    <row r="43" spans="1:14">
      <c r="A43" s="2783" t="s">
        <v>2549</v>
      </c>
      <c r="B43" s="2784" t="s">
        <v>2550</v>
      </c>
      <c r="C43" s="2785" t="s">
        <v>2551</v>
      </c>
      <c r="D43" s="2785" t="s">
        <v>2552</v>
      </c>
      <c r="E43" s="2786" t="s">
        <v>2553</v>
      </c>
      <c r="F43" s="2787"/>
      <c r="G43" s="2788"/>
      <c r="I43" s="2795" t="s">
        <v>2561</v>
      </c>
      <c r="J43" s="2795" t="s">
        <v>2572</v>
      </c>
    </row>
    <row r="44" spans="1:14">
      <c r="A44" s="2783" t="s">
        <v>2554</v>
      </c>
      <c r="B44" s="2784" t="s">
        <v>2555</v>
      </c>
      <c r="C44" s="2785" t="s">
        <v>2556</v>
      </c>
      <c r="D44" s="2789">
        <v>0.5</v>
      </c>
      <c r="E44" s="2786" t="s">
        <v>2557</v>
      </c>
      <c r="F44" s="2787"/>
      <c r="G44" s="2788"/>
      <c r="I44" s="2795">
        <v>30</v>
      </c>
      <c r="J44" s="2795">
        <v>81.7</v>
      </c>
    </row>
    <row r="45" spans="1:14" ht="15" thickBot="1">
      <c r="A45" s="2790" t="s">
        <v>2558</v>
      </c>
      <c r="B45" s="2791" t="s">
        <v>2545</v>
      </c>
      <c r="C45" s="2792" t="s">
        <v>2545</v>
      </c>
      <c r="D45" s="2792" t="s">
        <v>2559</v>
      </c>
      <c r="E45" s="2793" t="s">
        <v>2560</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3383</v>
      </c>
    </row>
    <row r="50" spans="1:4">
      <c r="A50" s="3140" t="s">
        <v>3384</v>
      </c>
      <c r="B50" s="3140" t="s">
        <v>3385</v>
      </c>
      <c r="C50" s="3140" t="s">
        <v>3386</v>
      </c>
      <c r="D50" s="3140" t="s">
        <v>3387</v>
      </c>
    </row>
    <row r="51" spans="1:4">
      <c r="A51" s="3140" t="s">
        <v>3388</v>
      </c>
      <c r="B51" s="2760">
        <f>B52+B53</f>
        <v>15000</v>
      </c>
      <c r="C51" s="3141">
        <f>D51/B51</f>
        <v>2666.6666666666665</v>
      </c>
      <c r="D51" s="2760">
        <f>D52+D53</f>
        <v>40000000</v>
      </c>
    </row>
    <row r="52" spans="1:4">
      <c r="A52" s="3142" t="s">
        <v>3389</v>
      </c>
      <c r="B52" s="3143">
        <v>10000</v>
      </c>
      <c r="C52" s="3143">
        <v>1500</v>
      </c>
      <c r="D52" s="3144">
        <f>C52*B52</f>
        <v>15000000</v>
      </c>
    </row>
    <row r="53" spans="1:4">
      <c r="A53" s="3142" t="s">
        <v>3390</v>
      </c>
      <c r="B53" s="3143">
        <v>5000</v>
      </c>
      <c r="C53" s="3143">
        <v>5000</v>
      </c>
      <c r="D53" s="3144">
        <f>C53*B53</f>
        <v>25000000</v>
      </c>
    </row>
    <row r="54" spans="1:4">
      <c r="A54" s="3140" t="s">
        <v>3391</v>
      </c>
      <c r="B54" s="2760">
        <f>B51</f>
        <v>15000</v>
      </c>
      <c r="C54" s="2766">
        <v>700</v>
      </c>
      <c r="D54" s="2760">
        <f t="shared" ref="D54:D55" si="5">C54*B54</f>
        <v>10500000</v>
      </c>
    </row>
    <row r="55" spans="1:4">
      <c r="A55" s="3140" t="s">
        <v>3392</v>
      </c>
      <c r="B55" s="2760">
        <f>B51</f>
        <v>15000</v>
      </c>
      <c r="C55" s="2766">
        <v>1500</v>
      </c>
      <c r="D55" s="2760">
        <f t="shared" si="5"/>
        <v>22500000</v>
      </c>
    </row>
    <row r="56" spans="1:4">
      <c r="A56" s="3140" t="s">
        <v>3393</v>
      </c>
      <c r="B56" s="2760">
        <f>B51</f>
        <v>15000</v>
      </c>
      <c r="C56" s="3145">
        <f>C51+C54+C55</f>
        <v>4866.6666666666661</v>
      </c>
      <c r="D56" s="2760">
        <f>D51+D54+D55</f>
        <v>73000000</v>
      </c>
    </row>
    <row r="58" spans="1:4">
      <c r="A58" s="3140" t="s">
        <v>3394</v>
      </c>
      <c r="B58" s="3146">
        <v>0.05</v>
      </c>
      <c r="C58" s="2760">
        <f>C56*(1+B58)</f>
        <v>5110</v>
      </c>
      <c r="D58" s="2760">
        <f>D56*B58</f>
        <v>3650000</v>
      </c>
    </row>
    <row r="60" spans="1:4">
      <c r="A60" s="3140" t="s">
        <v>3395</v>
      </c>
      <c r="B60" s="2766">
        <v>3500</v>
      </c>
      <c r="C60" s="2766">
        <f>C53</f>
        <v>5000</v>
      </c>
      <c r="D60" s="2760">
        <f>C60*B60</f>
        <v>17500000</v>
      </c>
    </row>
    <row r="62" spans="1:4">
      <c r="A62" s="3140" t="s">
        <v>3396</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E13" sqref="E13"/>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77" t="s">
        <v>2165</v>
      </c>
      <c r="B1" s="3294" t="str">
        <f>IF(B10="北京市","北京市",C10)&amp;F10&amp;IF('结果表-住宅'!G1="在建","出让国有建设用地使用权及在建建筑物",IF('结果表-住宅'!G1="土地","出让国有建设用地使用权",))&amp;B9&amp;"预评估"</f>
        <v>北京市房山区揽秀南街15号院5号楼5-1-4等47套住宅、13号院10幢-1-1006等1147个地下车位房地产抵押价值预评估</v>
      </c>
      <c r="C1" s="3295"/>
      <c r="D1" s="3295"/>
      <c r="E1" s="3295"/>
      <c r="F1" s="3295"/>
      <c r="G1" s="3295"/>
      <c r="H1" s="3295"/>
      <c r="I1" s="3296"/>
      <c r="J1" s="2241"/>
      <c r="K1" s="2179"/>
      <c r="L1" s="2180"/>
      <c r="M1" s="2180"/>
      <c r="N1" s="2178"/>
      <c r="O1" s="1465"/>
      <c r="P1" s="2178"/>
      <c r="Q1" s="2178"/>
      <c r="R1" s="2178"/>
      <c r="S1" s="1560" t="str">
        <f>IF(B10="北京市","北京市",C10)&amp;F10&amp;IF('结果表-住宅'!G1="在建","出让国有建设用地使用权及在建建筑物房地产抵押价值",IF('结果表-住宅'!G1="土地","出让国有建设用地使用权抵押价值",B9))</f>
        <v>北京市房山区揽秀南街15号院5号楼5-1-4等47套住宅、13号院10幢-1-1006等1147个地下车位房地产抵押价值</v>
      </c>
      <c r="T1" s="1617"/>
      <c r="U1" s="1617"/>
      <c r="V1" s="1617"/>
      <c r="W1" s="1617"/>
      <c r="X1" s="1617"/>
      <c r="Y1" s="1617"/>
      <c r="Z1" s="1617"/>
      <c r="AA1" s="1617"/>
      <c r="AB1" s="1617"/>
    </row>
    <row r="2" spans="1:30">
      <c r="A2" s="2178" t="s">
        <v>2166</v>
      </c>
      <c r="B2" s="122"/>
      <c r="D2" s="2443"/>
      <c r="E2" s="2437"/>
      <c r="F2" s="2437"/>
      <c r="G2" s="2438"/>
      <c r="H2" s="2438"/>
      <c r="I2" s="2438"/>
      <c r="J2" s="2241"/>
      <c r="K2" s="2179"/>
      <c r="L2" s="2180"/>
      <c r="M2" s="2180"/>
      <c r="N2" s="2178"/>
      <c r="O2" s="1465"/>
      <c r="P2" s="2178"/>
      <c r="Q2" s="2178"/>
      <c r="R2" s="2178"/>
      <c r="S2" s="1560" t="str">
        <f>IF(B10="北京市","北京市",C10)&amp;F10&amp;IF('结果表-住宅'!G1="在建","出让国有建设用地使用权及在建建筑物房地产",IF('结果表-住宅'!G1="土地","出让国有建设用地使用权","房地产"))</f>
        <v>北京市房山区揽秀南街15号院5号楼5-1-4等47套住宅、13号院10幢-1-1006等1147个地下车位房地产</v>
      </c>
      <c r="T2" s="1617"/>
      <c r="U2" s="1617"/>
      <c r="V2" s="1617"/>
      <c r="W2" s="1617"/>
      <c r="X2" s="1617"/>
      <c r="Y2" s="1617"/>
      <c r="Z2" s="1617"/>
      <c r="AA2" s="1617"/>
      <c r="AB2" s="1617"/>
    </row>
    <row r="3" spans="1:30">
      <c r="A3" s="294" t="s">
        <v>2167</v>
      </c>
      <c r="B3" s="2181"/>
      <c r="C3" s="2182" t="s">
        <v>2168</v>
      </c>
      <c r="D3" s="2181">
        <v>45826</v>
      </c>
      <c r="E3" s="2438"/>
      <c r="F3" s="2438"/>
      <c r="G3" s="2438"/>
      <c r="H3" s="2438"/>
      <c r="I3" s="2438"/>
      <c r="J3" s="2241"/>
      <c r="K3" s="2179"/>
      <c r="L3" s="2180"/>
      <c r="M3" s="2180"/>
      <c r="N3" s="2178"/>
      <c r="O3" s="1465"/>
      <c r="P3" s="2178"/>
      <c r="Q3" s="2178"/>
      <c r="R3" s="2178"/>
      <c r="S3" s="1560"/>
      <c r="T3" s="1617"/>
      <c r="U3" s="1617"/>
      <c r="V3" s="1617"/>
      <c r="W3" s="1617"/>
      <c r="X3" s="1617"/>
      <c r="Y3" s="1617"/>
      <c r="Z3" s="1617"/>
      <c r="AA3" s="1617"/>
      <c r="AB3" s="1617"/>
    </row>
    <row r="4" spans="1:30" ht="13.8" thickBot="1">
      <c r="A4" s="1027" t="s">
        <v>2169</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5"/>
      <c r="P4" s="2178"/>
      <c r="Q4" s="2178"/>
      <c r="R4" s="2178"/>
      <c r="S4" s="1560"/>
      <c r="T4" s="1617"/>
      <c r="U4" s="1617"/>
      <c r="V4" s="1617"/>
      <c r="W4" s="1617"/>
      <c r="X4" s="1617"/>
      <c r="Y4" s="1617"/>
      <c r="Z4" s="1617"/>
      <c r="AA4" s="1617"/>
      <c r="AB4" s="1617"/>
    </row>
    <row r="5" spans="1:30" ht="13.8" thickTop="1">
      <c r="A5" s="2186" t="s">
        <v>2170</v>
      </c>
      <c r="B5" s="2187"/>
      <c r="C5" s="2188"/>
      <c r="D5" s="2189"/>
      <c r="E5" s="2438"/>
      <c r="F5" s="2438"/>
      <c r="G5" s="2438"/>
      <c r="H5" s="2438"/>
      <c r="I5" s="2438"/>
      <c r="J5" s="2241"/>
      <c r="K5" s="2185" t="str">
        <f>IF(F4="——","",IF(H4="——",F4&amp;"（注册号："&amp;G4&amp;")",CONCATENATE(F4,"（注册号：",G4,")、",H4,"（注册号：",I4,")")))</f>
        <v>（注册号：0)、（注册号：0)</v>
      </c>
      <c r="L5" s="2180"/>
      <c r="M5" s="2180"/>
      <c r="N5" s="2178"/>
      <c r="O5" s="1465"/>
      <c r="P5" s="2178"/>
      <c r="Q5" s="2178"/>
      <c r="R5" s="2178"/>
      <c r="S5" s="1617"/>
      <c r="T5" s="1617"/>
      <c r="U5" s="1617"/>
      <c r="V5" s="1617"/>
      <c r="W5" s="1617"/>
      <c r="X5" s="1617"/>
      <c r="Y5" s="1617"/>
      <c r="Z5" s="1617"/>
      <c r="AA5" s="1617"/>
      <c r="AB5" s="1617"/>
    </row>
    <row r="6" spans="1:30">
      <c r="A6" s="2190" t="s">
        <v>2171</v>
      </c>
      <c r="B6" s="2191"/>
      <c r="C6" s="2192"/>
      <c r="D6" s="2193"/>
      <c r="E6" s="2437"/>
      <c r="F6" s="2438"/>
      <c r="G6" s="2438"/>
      <c r="H6" s="2438"/>
      <c r="I6" s="2438"/>
      <c r="J6" s="2241"/>
      <c r="K6" s="2397" t="str">
        <f>IF(COUNTIF(B6,"*上海银行*"),"上海银行","")</f>
        <v/>
      </c>
      <c r="L6" s="2395"/>
      <c r="M6" s="2395"/>
      <c r="N6" s="2241"/>
      <c r="O6" s="1669"/>
      <c r="P6" s="2241"/>
      <c r="Q6" s="2241"/>
      <c r="R6" s="2241"/>
    </row>
    <row r="7" spans="1:30">
      <c r="A7" s="2190" t="s">
        <v>2172</v>
      </c>
      <c r="B7" s="2194"/>
      <c r="C7" s="2192"/>
      <c r="D7" s="2193"/>
      <c r="E7" s="2437"/>
      <c r="F7" s="2438"/>
      <c r="G7" s="2438"/>
      <c r="H7" s="2438"/>
      <c r="I7" s="2438"/>
      <c r="J7" s="2241"/>
      <c r="K7" s="2398"/>
      <c r="L7" s="2395"/>
      <c r="M7" s="2395"/>
      <c r="N7" s="2241"/>
      <c r="O7" s="1669"/>
      <c r="P7" s="2241"/>
      <c r="Q7" s="2241"/>
      <c r="R7" s="2241"/>
    </row>
    <row r="8" spans="1:30">
      <c r="A8" s="2195" t="s">
        <v>2173</v>
      </c>
      <c r="B8" s="2196" t="s">
        <v>3467</v>
      </c>
      <c r="C8" s="2197"/>
      <c r="D8" s="3297" t="s">
        <v>2174</v>
      </c>
      <c r="E8" s="2198" t="s">
        <v>3468</v>
      </c>
      <c r="F8" s="2199"/>
      <c r="G8" s="2438"/>
      <c r="H8" s="2438"/>
      <c r="I8" s="2438"/>
      <c r="J8" s="2241"/>
      <c r="K8" s="2396"/>
      <c r="L8" s="2395"/>
      <c r="M8" s="2395"/>
      <c r="N8" s="2241"/>
      <c r="O8" s="1669"/>
      <c r="P8" s="2241"/>
      <c r="Q8" s="2241"/>
      <c r="R8" s="2241"/>
    </row>
    <row r="9" spans="1:30" ht="13.8" thickBot="1">
      <c r="A9" s="2200" t="s">
        <v>2175</v>
      </c>
      <c r="B9" s="2201" t="s">
        <v>3468</v>
      </c>
      <c r="C9" s="2202"/>
      <c r="D9" s="3298"/>
      <c r="E9" s="2201" t="s">
        <v>43</v>
      </c>
      <c r="F9" s="2203"/>
      <c r="G9" s="2439"/>
      <c r="H9" s="2439"/>
      <c r="I9" s="2439"/>
      <c r="J9" s="2241"/>
      <c r="K9" s="2398"/>
      <c r="L9" s="2395"/>
      <c r="M9" s="2395"/>
      <c r="N9" s="2241"/>
      <c r="O9" s="1669"/>
      <c r="P9" s="2241"/>
      <c r="Q9" s="2241"/>
      <c r="R9" s="2241"/>
    </row>
    <row r="10" spans="1:30" ht="13.8" thickTop="1">
      <c r="A10" s="2204" t="s">
        <v>2176</v>
      </c>
      <c r="B10" s="2205" t="s">
        <v>3469</v>
      </c>
      <c r="C10" s="2206"/>
      <c r="D10" s="2189"/>
      <c r="E10" s="2207" t="s">
        <v>2177</v>
      </c>
      <c r="F10" s="3171" t="s">
        <v>3584</v>
      </c>
      <c r="G10" s="2440"/>
      <c r="H10" s="2441"/>
      <c r="I10" s="2442"/>
      <c r="J10" s="2241"/>
      <c r="K10" s="2398"/>
      <c r="L10" s="2395"/>
      <c r="M10" s="2395"/>
      <c r="N10" s="2241"/>
      <c r="O10" s="1669"/>
      <c r="P10" s="2241"/>
      <c r="Q10" s="2241"/>
      <c r="R10" s="2241"/>
    </row>
    <row r="11" spans="1:30">
      <c r="A11" s="2208" t="s">
        <v>2178</v>
      </c>
      <c r="B11" s="2209" t="s">
        <v>3470</v>
      </c>
      <c r="C11" s="2210"/>
      <c r="D11" s="2211"/>
      <c r="E11" s="2178"/>
      <c r="F11" s="2178"/>
      <c r="G11" s="2178"/>
      <c r="H11" s="2178"/>
      <c r="I11" s="2178"/>
      <c r="J11" s="2797"/>
      <c r="K11" s="2395"/>
      <c r="L11" s="2395"/>
      <c r="M11" s="2395"/>
      <c r="N11" s="2241"/>
      <c r="O11" s="1669"/>
      <c r="P11" s="2241"/>
      <c r="Q11" s="2241"/>
      <c r="R11" s="2241"/>
    </row>
    <row r="12" spans="1:30">
      <c r="A12" s="2212" t="s">
        <v>2179</v>
      </c>
      <c r="B12" s="315" t="s">
        <v>2180</v>
      </c>
      <c r="C12" s="2213" t="s">
        <v>2181</v>
      </c>
      <c r="D12" s="2213" t="s">
        <v>2182</v>
      </c>
      <c r="E12" s="2213" t="s">
        <v>2183</v>
      </c>
      <c r="F12" s="2213" t="s">
        <v>2184</v>
      </c>
      <c r="G12" s="2213" t="s">
        <v>2185</v>
      </c>
      <c r="H12" s="2213" t="s">
        <v>2186</v>
      </c>
      <c r="I12" s="2796" t="s">
        <v>2573</v>
      </c>
      <c r="J12" s="2798"/>
      <c r="K12" s="2395"/>
      <c r="L12" s="2395"/>
      <c r="M12" s="2241"/>
      <c r="N12" s="1669"/>
      <c r="O12" s="2241"/>
      <c r="P12" s="2241"/>
      <c r="Q12" s="2241"/>
      <c r="AD12" s="1617"/>
    </row>
    <row r="13" spans="1:30">
      <c r="A13" s="3117" t="s">
        <v>3328</v>
      </c>
      <c r="B13" s="2214" t="s">
        <v>2187</v>
      </c>
      <c r="C13" s="803">
        <v>67789</v>
      </c>
      <c r="D13" s="803"/>
      <c r="E13" s="803"/>
      <c r="F13" s="803">
        <v>60484</v>
      </c>
      <c r="G13" s="803"/>
      <c r="H13" s="803"/>
      <c r="I13" s="803"/>
      <c r="J13" s="2798"/>
      <c r="K13" s="2395"/>
      <c r="L13" s="2395"/>
      <c r="M13" s="2241"/>
      <c r="N13" s="1669"/>
      <c r="O13" s="2241"/>
      <c r="P13" s="2241"/>
      <c r="Q13" s="2241"/>
      <c r="AD13" s="1617"/>
    </row>
    <row r="14" spans="1:30">
      <c r="A14" s="1018"/>
      <c r="B14" s="2214" t="s">
        <v>2188</v>
      </c>
      <c r="C14" s="2215">
        <v>70</v>
      </c>
      <c r="D14" s="2215"/>
      <c r="E14" s="2215"/>
      <c r="F14" s="2215">
        <v>50</v>
      </c>
      <c r="G14" s="2215"/>
      <c r="H14" s="2215"/>
      <c r="I14" s="2215"/>
      <c r="J14" s="2799"/>
      <c r="K14" s="2395"/>
      <c r="L14" s="2395"/>
      <c r="M14" s="2241"/>
      <c r="N14" s="1669"/>
      <c r="O14" s="2241"/>
      <c r="P14" s="2241"/>
      <c r="Q14" s="2241"/>
      <c r="AD14" s="1617"/>
    </row>
    <row r="15" spans="1:30">
      <c r="A15" s="312"/>
      <c r="B15" s="2216" t="s">
        <v>2189</v>
      </c>
      <c r="C15" s="2217">
        <f>IF(A13="出让",IF(C13="","",ROUNDDOWN(MIN((C13-$D$3)/365,C14),2)),C14)</f>
        <v>60.17</v>
      </c>
      <c r="D15" s="2217" t="str">
        <f>IF(A13="出让",IF(D13="","",ROUNDDOWN(MIN((D13-$D$3)/365,D14),2)),D14)</f>
        <v/>
      </c>
      <c r="E15" s="2217" t="str">
        <f>IF(A13="出让",IF(E13="","",ROUNDDOWN(MIN((E13-$D$3)/365,E14),2)),E14)</f>
        <v/>
      </c>
      <c r="F15" s="2217">
        <f>IF(A13="出让",IF(F13="","",ROUNDDOWN(MIN((F13-$D$3)/365,F14),2)),F14)</f>
        <v>40.15</v>
      </c>
      <c r="G15" s="2217" t="str">
        <f>IF(A13="出让",IF(G13="","",ROUNDDOWN(MIN((G13-$D$3)/365,G14),2)),G14)</f>
        <v/>
      </c>
      <c r="H15" s="2217" t="str">
        <f>IF(A13="出让",IF(H13="","",ROUNDDOWN(MIN((H13-$D$3)/365,H14),2)),H14)</f>
        <v/>
      </c>
      <c r="I15" s="2217" t="str">
        <f>IF(A13="出让",IF(I13="","",ROUNDDOWN(MIN((I13-$D$3)/365,I14),2)),I14)</f>
        <v/>
      </c>
      <c r="J15" s="2800"/>
      <c r="K15" s="1669"/>
      <c r="L15" s="1669"/>
      <c r="M15" s="2241"/>
      <c r="N15" s="1669"/>
      <c r="O15" s="2241"/>
      <c r="P15" s="2241"/>
      <c r="Q15" s="2241"/>
      <c r="AD15" s="1617"/>
    </row>
    <row r="16" spans="1:30">
      <c r="A16" s="2207" t="s">
        <v>2190</v>
      </c>
      <c r="B16" s="3304"/>
      <c r="C16" s="3305"/>
      <c r="D16" s="3306"/>
      <c r="E16" s="2218" t="s">
        <v>2191</v>
      </c>
      <c r="F16" s="3307"/>
      <c r="G16" s="3308"/>
      <c r="H16" s="3308"/>
      <c r="I16" s="3309"/>
      <c r="J16" s="2241"/>
      <c r="K16" s="2399"/>
      <c r="L16" s="1669"/>
      <c r="M16" s="1669"/>
      <c r="N16" s="2241"/>
      <c r="O16" s="1669"/>
      <c r="P16" s="2241"/>
      <c r="Q16" s="2241"/>
      <c r="R16" s="2241"/>
    </row>
    <row r="17" spans="1:28">
      <c r="A17" s="305" t="s">
        <v>2192</v>
      </c>
      <c r="B17" s="294" t="s">
        <v>2193</v>
      </c>
      <c r="C17" s="8">
        <f>'数据-汇总表'!E3</f>
        <v>216.68</v>
      </c>
      <c r="D17" s="1255" t="s">
        <v>2194</v>
      </c>
      <c r="E17" s="3310" t="s">
        <v>2195</v>
      </c>
      <c r="F17" s="3311"/>
      <c r="G17" s="3311"/>
      <c r="H17" s="3311"/>
      <c r="I17" s="3312"/>
      <c r="J17" s="2241"/>
      <c r="K17" s="2400"/>
      <c r="L17" s="1669"/>
      <c r="M17" s="1669"/>
      <c r="N17" s="2241"/>
      <c r="O17" s="1669"/>
      <c r="P17" s="2241"/>
      <c r="Q17" s="2241"/>
      <c r="R17" s="2241"/>
      <c r="S17" s="2241"/>
      <c r="T17" s="2241"/>
      <c r="U17" s="2241"/>
      <c r="V17" s="2241"/>
    </row>
    <row r="18" spans="1:28" ht="24.6" thickBot="1">
      <c r="A18" s="2219" t="s">
        <v>2196</v>
      </c>
      <c r="B18" s="1027" t="s">
        <v>2197</v>
      </c>
      <c r="C18" s="2220">
        <f>'数据-汇总表'!D3</f>
        <v>0</v>
      </c>
      <c r="D18" s="1029" t="s">
        <v>2198</v>
      </c>
      <c r="E18" s="3313" t="s">
        <v>2199</v>
      </c>
      <c r="F18" s="3314"/>
      <c r="G18" s="3314"/>
      <c r="H18" s="3314"/>
      <c r="I18" s="3315"/>
      <c r="J18" s="2241"/>
      <c r="K18" s="2400"/>
      <c r="L18" s="1669"/>
      <c r="M18" s="1669"/>
      <c r="N18" s="2241"/>
      <c r="O18" s="1669"/>
      <c r="P18" s="2241"/>
      <c r="Q18" s="2241"/>
      <c r="R18" s="2241"/>
      <c r="S18" s="2241"/>
      <c r="T18" s="2241"/>
      <c r="U18" s="2241"/>
      <c r="V18" s="2241"/>
    </row>
    <row r="19" spans="1:28" ht="54" thickTop="1" thickBot="1">
      <c r="A19" s="319" t="s">
        <v>1055</v>
      </c>
      <c r="B19" s="299" t="s">
        <v>2200</v>
      </c>
      <c r="C19" s="1454" t="s">
        <v>3473</v>
      </c>
      <c r="D19" s="1455" t="s">
        <v>2201</v>
      </c>
      <c r="E19" s="1456" t="s">
        <v>3485</v>
      </c>
      <c r="F19" s="1457" t="str">
        <f>IF(AND(C19="是",E19="否"),"是否提供他项权证或相关说明","")</f>
        <v>是否提供他项权证或相关说明</v>
      </c>
      <c r="G19" s="1458"/>
      <c r="H19" s="2438"/>
      <c r="I19" s="2438"/>
      <c r="J19" s="2241"/>
      <c r="K19" s="2398"/>
      <c r="L19" s="2395"/>
      <c r="M19" s="2395"/>
      <c r="N19" s="2241"/>
      <c r="O19" s="1669"/>
      <c r="P19" s="2241"/>
      <c r="Q19" s="2241"/>
      <c r="R19" s="2241"/>
      <c r="S19" s="2241"/>
      <c r="T19" s="2241"/>
      <c r="U19" s="2241"/>
      <c r="V19" s="2241"/>
    </row>
    <row r="20" spans="1:28">
      <c r="A20" s="2413" t="s">
        <v>2202</v>
      </c>
      <c r="B20" s="3300" t="s">
        <v>2203</v>
      </c>
      <c r="C20" s="3301"/>
      <c r="D20" s="3302" t="s">
        <v>2204</v>
      </c>
      <c r="E20" s="3303"/>
      <c r="F20" s="2426" t="s">
        <v>1056</v>
      </c>
      <c r="G20" s="2438"/>
      <c r="H20" s="2438"/>
      <c r="I20" s="2438"/>
      <c r="J20" s="2241"/>
      <c r="K20" s="3299"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0"/>
      <c r="N20" s="2178"/>
      <c r="O20" s="1465"/>
      <c r="P20" s="2178"/>
      <c r="Q20" s="2178"/>
      <c r="R20" s="2178"/>
      <c r="S20" s="2178"/>
      <c r="T20" s="2178"/>
      <c r="U20" s="2178"/>
      <c r="V20" s="2178"/>
      <c r="W20" s="1617"/>
      <c r="X20" s="1617"/>
      <c r="Y20" s="1617"/>
      <c r="Z20" s="1617"/>
      <c r="AA20" s="1617"/>
      <c r="AB20" s="1617"/>
    </row>
    <row r="21" spans="1:28" ht="36.6" thickBot="1">
      <c r="A21" s="2413"/>
      <c r="B21" s="2414" t="s">
        <v>2206</v>
      </c>
      <c r="C21" s="2292" t="s">
        <v>1057</v>
      </c>
      <c r="D21" s="1459" t="s">
        <v>2207</v>
      </c>
      <c r="E21" s="2415" t="s">
        <v>1057</v>
      </c>
      <c r="F21" s="2427"/>
      <c r="G21" s="2438"/>
      <c r="H21" s="2438"/>
      <c r="I21" s="2438"/>
      <c r="J21" s="2241"/>
      <c r="K21" s="329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5"/>
      <c r="P21" s="2178"/>
      <c r="Q21" s="2178"/>
      <c r="R21" s="2178"/>
      <c r="S21" s="2178"/>
      <c r="T21" s="2178"/>
      <c r="U21" s="2178"/>
      <c r="V21" s="2178"/>
      <c r="W21" s="1617"/>
      <c r="X21" s="1617"/>
      <c r="Y21" s="1617"/>
      <c r="Z21" s="1617"/>
      <c r="AA21" s="1617"/>
      <c r="AB21" s="1617"/>
    </row>
    <row r="22" spans="1:28" ht="36.6" thickBot="1">
      <c r="A22" s="2413"/>
      <c r="B22" s="2416" t="s">
        <v>2208</v>
      </c>
      <c r="C22" s="2292" t="s">
        <v>1058</v>
      </c>
      <c r="D22" s="2438"/>
      <c r="E22" s="2438"/>
      <c r="F22" s="2438"/>
      <c r="G22" s="2438"/>
      <c r="H22" s="2438"/>
      <c r="I22" s="2438"/>
      <c r="J22" s="2241"/>
      <c r="K22" s="3299"/>
      <c r="L22" s="646"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5"/>
      <c r="P22" s="2178"/>
      <c r="Q22" s="2178"/>
      <c r="R22" s="2178"/>
      <c r="S22" s="2178"/>
      <c r="T22" s="2178"/>
      <c r="U22" s="2178"/>
      <c r="V22" s="2178"/>
      <c r="W22" s="1617"/>
      <c r="X22" s="1617"/>
      <c r="Y22" s="1617"/>
      <c r="Z22" s="1617"/>
      <c r="AA22" s="1617"/>
      <c r="AB22" s="1617"/>
    </row>
    <row r="23" spans="1:28">
      <c r="A23" s="2417" t="s">
        <v>2209</v>
      </c>
      <c r="B23" s="2289" t="s">
        <v>2210</v>
      </c>
      <c r="C23" s="2418"/>
      <c r="D23" s="2419" t="s">
        <v>2210</v>
      </c>
      <c r="E23" s="2420"/>
      <c r="F23" s="2438"/>
      <c r="G23" s="2438"/>
      <c r="H23" s="2438"/>
      <c r="I23" s="2438"/>
      <c r="J23" s="2241"/>
      <c r="K23" s="2397"/>
      <c r="L23" s="121"/>
      <c r="M23" s="2395"/>
      <c r="N23" s="2241"/>
      <c r="O23" s="1669"/>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9"/>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9"/>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9"/>
      <c r="P26" s="2241"/>
      <c r="Q26" s="2241"/>
      <c r="R26" s="2241"/>
      <c r="S26" s="2241"/>
      <c r="T26" s="2241"/>
      <c r="U26" s="2241"/>
      <c r="V26" s="2241"/>
    </row>
    <row r="27" spans="1:28" ht="13.8" thickTop="1">
      <c r="A27" s="3288" t="s">
        <v>2211</v>
      </c>
      <c r="B27" s="312" t="s">
        <v>2212</v>
      </c>
      <c r="C27" s="2221" t="s">
        <v>3471</v>
      </c>
      <c r="D27" s="2222"/>
      <c r="E27" s="2438"/>
      <c r="F27" s="2438"/>
      <c r="G27" s="2438"/>
      <c r="H27" s="2438"/>
      <c r="I27" s="2438"/>
      <c r="J27" s="2241"/>
      <c r="K27" s="2399"/>
      <c r="L27" s="1669"/>
      <c r="M27" s="1669"/>
      <c r="N27" s="2241"/>
      <c r="O27" s="1669"/>
      <c r="P27" s="2241"/>
      <c r="Q27" s="2241"/>
      <c r="R27" s="2241"/>
      <c r="S27" s="2241"/>
      <c r="T27" s="2241"/>
      <c r="U27" s="2241"/>
      <c r="V27" s="2241"/>
    </row>
    <row r="28" spans="1:28">
      <c r="A28" s="3288"/>
      <c r="B28" s="294" t="s">
        <v>2213</v>
      </c>
      <c r="C28" s="2223"/>
      <c r="D28" s="2224"/>
      <c r="E28" s="2438"/>
      <c r="F28" s="2438"/>
      <c r="G28" s="2438"/>
      <c r="H28" s="2438"/>
      <c r="I28" s="2438"/>
      <c r="J28" s="2241"/>
      <c r="K28" s="2398"/>
      <c r="L28" s="2395"/>
      <c r="M28" s="2395"/>
      <c r="N28" s="2241"/>
      <c r="O28" s="1669"/>
      <c r="P28" s="2241"/>
      <c r="Q28" s="2241"/>
      <c r="R28" s="2241"/>
      <c r="S28" s="2241"/>
      <c r="T28" s="2241"/>
      <c r="U28" s="2241"/>
      <c r="V28" s="2241"/>
    </row>
    <row r="29" spans="1:28">
      <c r="A29" s="3288"/>
      <c r="B29" s="294" t="s">
        <v>2214</v>
      </c>
      <c r="C29" s="2225"/>
      <c r="D29" s="2226"/>
      <c r="E29" s="2438"/>
      <c r="F29" s="2438"/>
      <c r="G29" s="2438"/>
      <c r="H29" s="2438"/>
      <c r="I29" s="2438"/>
      <c r="J29" s="2241"/>
      <c r="K29" s="2398"/>
      <c r="L29" s="2395"/>
      <c r="M29" s="2395"/>
      <c r="N29" s="2241"/>
      <c r="O29" s="1669"/>
      <c r="P29" s="2241"/>
      <c r="Q29" s="2241"/>
      <c r="R29" s="2241"/>
      <c r="S29" s="2241"/>
      <c r="T29" s="2241"/>
      <c r="U29" s="2241"/>
      <c r="V29" s="2241"/>
    </row>
    <row r="30" spans="1:28">
      <c r="A30" s="3289"/>
      <c r="B30" s="294" t="s">
        <v>2215</v>
      </c>
      <c r="C30" s="3290"/>
      <c r="D30" s="3291"/>
      <c r="E30" s="2438"/>
      <c r="F30" s="2438"/>
      <c r="G30" s="2438"/>
      <c r="H30" s="2438"/>
      <c r="I30" s="2438"/>
      <c r="J30" s="2241"/>
      <c r="K30" s="2398"/>
      <c r="L30" s="2395"/>
      <c r="M30" s="2395"/>
      <c r="N30" s="2241"/>
      <c r="O30" s="1669"/>
      <c r="P30" s="2241"/>
      <c r="Q30" s="2241"/>
      <c r="R30" s="2241"/>
      <c r="S30" s="2241"/>
      <c r="T30" s="2241"/>
      <c r="U30" s="2241"/>
      <c r="V30" s="2241"/>
    </row>
    <row r="31" spans="1:28">
      <c r="A31" s="3292" t="s">
        <v>2216</v>
      </c>
      <c r="B31" s="2227" t="s">
        <v>3472</v>
      </c>
      <c r="C31" s="12" t="str">
        <f>IF(B31="现房","成新及维护状况正常否",IF(B31="在建","工程状态是否正常",IF(B31="土地","是否闲置","-")))</f>
        <v>成新及维护状况正常否</v>
      </c>
      <c r="D31" s="1280"/>
      <c r="E31" s="2228"/>
      <c r="F31" s="2438"/>
      <c r="G31" s="2438"/>
      <c r="H31" s="2438"/>
      <c r="I31" s="2438"/>
      <c r="J31" s="2241"/>
      <c r="K31" s="2397"/>
      <c r="L31" s="2395"/>
      <c r="M31" s="2395"/>
      <c r="N31" s="2241"/>
      <c r="O31" s="1669"/>
      <c r="P31" s="2241"/>
      <c r="Q31" s="2241"/>
      <c r="R31" s="2241"/>
      <c r="S31" s="2241"/>
      <c r="T31" s="2241"/>
      <c r="U31" s="2241"/>
      <c r="V31" s="2241"/>
    </row>
    <row r="32" spans="1:28">
      <c r="A32" s="3293"/>
      <c r="B32" s="2227"/>
      <c r="C32" s="12" t="str">
        <f>IF(B32="现房","成新及维护状况是否正常",IF(B32="在建","工程状态是否正常",IF(B32="土地","是否闲置","-")))</f>
        <v>-</v>
      </c>
      <c r="D32" s="1280"/>
      <c r="E32" s="2228"/>
      <c r="F32" s="2438"/>
      <c r="G32" s="2438"/>
      <c r="H32" s="2438"/>
      <c r="I32" s="2438"/>
      <c r="J32" s="2241"/>
      <c r="K32" s="2398"/>
      <c r="L32" s="2395"/>
      <c r="M32" s="2395"/>
      <c r="N32" s="2241"/>
      <c r="O32" s="1669"/>
      <c r="P32" s="2241"/>
      <c r="Q32" s="2241"/>
      <c r="R32" s="2241"/>
      <c r="S32" s="2241"/>
      <c r="T32" s="2241"/>
      <c r="U32" s="2241"/>
      <c r="V32" s="2241"/>
    </row>
    <row r="33" spans="1:30">
      <c r="A33" s="3293"/>
      <c r="B33" s="2230"/>
      <c r="C33" s="1477" t="str">
        <f>IF(B33="现房","成新及维护状况是否正常",IF(B33="在建","工程状态是否正常",IF(B33="土地","是否闲置","-")))</f>
        <v>-</v>
      </c>
      <c r="D33" s="1273"/>
      <c r="E33" s="2231"/>
      <c r="F33" s="2438"/>
      <c r="G33" s="2438"/>
      <c r="H33" s="2438"/>
      <c r="I33" s="2438"/>
      <c r="J33" s="2241"/>
      <c r="K33" s="2398"/>
      <c r="L33" s="2395"/>
      <c r="M33" s="2395"/>
      <c r="N33" s="2241"/>
      <c r="O33" s="1669"/>
      <c r="P33" s="2241"/>
      <c r="Q33" s="2241"/>
      <c r="R33" s="2241"/>
      <c r="S33" s="2241"/>
      <c r="T33" s="2241"/>
      <c r="U33" s="2241"/>
      <c r="V33" s="2241"/>
    </row>
    <row r="34" spans="1:30">
      <c r="A34" s="294" t="s">
        <v>2217</v>
      </c>
      <c r="B34" s="1866"/>
      <c r="C34" s="1866"/>
      <c r="D34" s="1866"/>
      <c r="E34" s="1866"/>
      <c r="F34" s="1866"/>
      <c r="G34" s="1866"/>
      <c r="H34" s="1866"/>
      <c r="I34" s="2438"/>
      <c r="J34" s="2241"/>
      <c r="K34" s="8">
        <f>COUNTIF(B34:H34,"——")</f>
        <v>0</v>
      </c>
      <c r="L34" s="315" t="s">
        <v>2218</v>
      </c>
      <c r="M34" s="315" t="s">
        <v>2219</v>
      </c>
      <c r="N34" s="315" t="s">
        <v>2220</v>
      </c>
      <c r="O34" s="315" t="s">
        <v>2221</v>
      </c>
      <c r="P34" s="315" t="s">
        <v>2222</v>
      </c>
      <c r="Q34" s="315" t="s">
        <v>2223</v>
      </c>
      <c r="R34" s="315" t="s">
        <v>2224</v>
      </c>
      <c r="S34" s="3287" t="s">
        <v>2225</v>
      </c>
      <c r="T34" s="315" t="str">
        <f>NUMBERSTRING(7-K34,1)&amp;"通"</f>
        <v>七通</v>
      </c>
      <c r="U34" s="2241"/>
      <c r="V34" s="2241"/>
    </row>
    <row r="35" spans="1:30">
      <c r="A35" s="2232"/>
      <c r="B35" s="3287" t="s">
        <v>2226</v>
      </c>
      <c r="C35" s="3287"/>
      <c r="D35" s="3287"/>
      <c r="E35" s="3287"/>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87"/>
      <c r="T35" s="138" t="str">
        <f>IF(T34="一通",L35,IF(T34="二通",M35,IF(T34="三通",N35,IF(T34="四通",O35,IF(T34="五通",P35,IF(T34="六通",Q35,R35))))))</f>
        <v>、、、、、、</v>
      </c>
      <c r="U35" s="2241"/>
      <c r="V35" s="2241"/>
    </row>
    <row r="36" spans="1:30">
      <c r="A36" s="2179"/>
      <c r="B36" s="8" t="s">
        <v>2182</v>
      </c>
      <c r="C36" s="8" t="s">
        <v>2183</v>
      </c>
      <c r="D36" s="8" t="s">
        <v>2181</v>
      </c>
      <c r="E36" s="8" t="s">
        <v>2186</v>
      </c>
      <c r="F36" s="2796" t="s">
        <v>2576</v>
      </c>
      <c r="G36" s="2438"/>
      <c r="H36" s="2438"/>
      <c r="I36" s="2438"/>
      <c r="J36" s="2241"/>
      <c r="K36" s="2398"/>
      <c r="L36" s="2395"/>
      <c r="M36" s="2395"/>
      <c r="N36" s="2241"/>
      <c r="O36" s="1669"/>
      <c r="P36" s="2241"/>
      <c r="Q36" s="2241"/>
      <c r="R36" s="2241"/>
      <c r="S36" s="2241"/>
      <c r="T36" s="2241"/>
      <c r="U36" s="2241"/>
      <c r="V36" s="2241"/>
    </row>
    <row r="37" spans="1:30">
      <c r="A37" s="2411" t="s">
        <v>2227</v>
      </c>
      <c r="B37" s="2233"/>
      <c r="C37" s="2233"/>
      <c r="D37" s="2233" t="s">
        <v>304</v>
      </c>
      <c r="E37" s="2233"/>
      <c r="F37" s="2233"/>
      <c r="G37" s="2438"/>
      <c r="H37" s="2438"/>
      <c r="I37" s="2438"/>
      <c r="J37" s="2241"/>
      <c r="K37" s="2398"/>
      <c r="L37" s="2395"/>
      <c r="M37" s="2395"/>
      <c r="N37" s="2241"/>
      <c r="O37" s="1669"/>
      <c r="P37" s="2241"/>
      <c r="Q37" s="2241"/>
      <c r="R37" s="2241"/>
      <c r="S37" s="2241"/>
      <c r="T37" s="2241"/>
      <c r="U37" s="2241"/>
      <c r="V37" s="2241"/>
    </row>
    <row r="38" spans="1:30" ht="13.8" thickBot="1">
      <c r="A38" s="2412" t="s">
        <v>2228</v>
      </c>
      <c r="B38" s="2234"/>
      <c r="C38" s="2234"/>
      <c r="D38" s="2234" t="s">
        <v>3560</v>
      </c>
      <c r="E38" s="2234"/>
      <c r="F38" s="2234"/>
      <c r="G38" s="2439"/>
      <c r="H38" s="2439"/>
      <c r="I38" s="2439"/>
      <c r="J38" s="2241"/>
      <c r="K38" s="2398"/>
      <c r="L38" s="2395"/>
      <c r="M38" s="2395"/>
      <c r="N38" s="2241"/>
      <c r="O38" s="1669"/>
      <c r="P38" s="2241"/>
      <c r="Q38" s="2241"/>
      <c r="R38" s="2241"/>
      <c r="S38" s="2241"/>
      <c r="T38" s="2241"/>
      <c r="U38" s="2241"/>
      <c r="V38" s="2241"/>
    </row>
    <row r="39" spans="1:30" s="2237" customFormat="1" ht="14.4" thickTop="1" thickBot="1">
      <c r="A39" s="2235" t="s">
        <v>2229</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8"/>
      <c r="B40" s="2178"/>
      <c r="C40" s="2178"/>
      <c r="D40" s="2178"/>
      <c r="E40" s="2178"/>
      <c r="F40" s="2178"/>
      <c r="G40" s="2178"/>
      <c r="H40" s="2178"/>
      <c r="I40" s="1465"/>
      <c r="J40" s="2241"/>
      <c r="K40" s="2397"/>
      <c r="L40" s="1669"/>
      <c r="M40" s="1669"/>
      <c r="N40" s="2241"/>
      <c r="O40" s="1669"/>
      <c r="P40" s="2241"/>
      <c r="Q40" s="2241"/>
      <c r="R40" s="2241"/>
      <c r="S40" s="2241"/>
      <c r="T40" s="2241"/>
      <c r="U40" s="2241"/>
      <c r="V40" s="2241"/>
    </row>
    <row r="41" spans="1:30">
      <c r="A41" s="2238" t="s">
        <v>2230</v>
      </c>
      <c r="B41" s="1626"/>
      <c r="C41" s="1280"/>
      <c r="D41" s="2178"/>
      <c r="E41" s="2178"/>
      <c r="F41" s="2178"/>
      <c r="G41" s="2178"/>
      <c r="H41" s="2178"/>
      <c r="I41" s="1465"/>
      <c r="J41" s="2241"/>
      <c r="K41" s="2398"/>
      <c r="L41" s="2395"/>
      <c r="M41" s="2395"/>
      <c r="N41" s="2241"/>
      <c r="O41" s="1669"/>
      <c r="P41" s="2241"/>
      <c r="Q41" s="2241"/>
      <c r="R41" s="2241"/>
      <c r="S41" s="2241"/>
      <c r="T41" s="2241"/>
      <c r="U41" s="2241"/>
      <c r="V41" s="2241"/>
    </row>
    <row r="42" spans="1:30" ht="25.2">
      <c r="A42" s="315" t="s">
        <v>2231</v>
      </c>
      <c r="B42" s="8" t="s">
        <v>2232</v>
      </c>
      <c r="C42" s="8" t="s">
        <v>2233</v>
      </c>
      <c r="D42" s="8" t="s">
        <v>2234</v>
      </c>
      <c r="E42" s="8" t="s">
        <v>2235</v>
      </c>
      <c r="F42" s="8" t="s">
        <v>2236</v>
      </c>
      <c r="G42" s="8" t="s">
        <v>2237</v>
      </c>
      <c r="H42" s="8" t="s">
        <v>2238</v>
      </c>
      <c r="I42" s="8" t="s">
        <v>2239</v>
      </c>
      <c r="J42" s="2407" t="s">
        <v>2240</v>
      </c>
      <c r="K42" s="2408" t="s">
        <v>2241</v>
      </c>
      <c r="L42" s="2408" t="s">
        <v>2242</v>
      </c>
      <c r="M42" s="2408" t="s">
        <v>2243</v>
      </c>
      <c r="N42" s="2401" t="s">
        <v>2244</v>
      </c>
      <c r="O42" s="2401" t="s">
        <v>2245</v>
      </c>
      <c r="P42" s="2401" t="s">
        <v>2246</v>
      </c>
      <c r="Q42" s="2402" t="s">
        <v>2247</v>
      </c>
      <c r="R42" s="2402" t="s">
        <v>2248</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9"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C15" sqref="C15"/>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216.68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216.68</v>
      </c>
      <c r="H5" s="13">
        <f t="shared" ref="H5:AT5" si="0">SUM(H13:H656)</f>
        <v>216.68</v>
      </c>
      <c r="I5" s="13">
        <f t="shared" si="0"/>
        <v>185.94</v>
      </c>
      <c r="J5" s="13">
        <f t="shared" si="0"/>
        <v>0</v>
      </c>
      <c r="K5" s="13">
        <f t="shared" si="0"/>
        <v>30.74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216.68</v>
      </c>
      <c r="BA5" s="15">
        <f t="shared" si="1"/>
        <v>216.68</v>
      </c>
      <c r="BB5" s="15">
        <f t="shared" si="1"/>
        <v>185.94</v>
      </c>
      <c r="BC5" s="15">
        <f t="shared" si="1"/>
        <v>30.74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7"/>
      <c r="H9" s="1489" t="s">
        <v>1091</v>
      </c>
      <c r="I9" s="1490" t="s">
        <v>3474</v>
      </c>
      <c r="J9" s="761"/>
      <c r="K9" s="1490" t="s">
        <v>3475</v>
      </c>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3.2">
      <c r="A10" s="1481"/>
      <c r="B10" s="1481"/>
      <c r="C10" s="1481"/>
      <c r="D10" s="1481"/>
      <c r="E10" s="1481"/>
      <c r="F10" s="1481"/>
      <c r="G10" s="1007"/>
      <c r="H10" s="25"/>
      <c r="I10" s="1490" t="s">
        <v>3402</v>
      </c>
      <c r="J10" s="761"/>
      <c r="K10" s="1496" t="s">
        <v>3329</v>
      </c>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t="str">
        <f>K10</f>
        <v>车库</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8"/>
      <c r="B13" s="628"/>
      <c r="C13" s="3163" t="str">
        <f>住宅面积信息!A32</f>
        <v>5-1-4</v>
      </c>
      <c r="D13" s="1512" t="s">
        <v>3473</v>
      </c>
      <c r="E13" s="13">
        <f>IF($C$3="是",ROUND($A$3*G13/$B$3,2),ROUND($A$3*(G13-AT13)/$B$3,2))</f>
        <v>0</v>
      </c>
      <c r="F13" s="29"/>
      <c r="G13" s="30">
        <f>H13+AC13+AT13</f>
        <v>185.94</v>
      </c>
      <c r="H13" s="17">
        <f>SUMIF(I$12:AB$12,"总值",I13:AB13)</f>
        <v>185.94</v>
      </c>
      <c r="I13" s="1513">
        <f>住宅面积信息!B32</f>
        <v>185.94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t="str">
        <f t="shared" si="6"/>
        <v>5-1-4</v>
      </c>
      <c r="AY13" s="1259">
        <f>ROUND($AY$6*AZ13/$AZ$5,2)</f>
        <v>0</v>
      </c>
      <c r="AZ13" s="13">
        <f>BA13+BL13</f>
        <v>185.94</v>
      </c>
      <c r="BA13" s="13">
        <f>SUM(BB13:BK13)</f>
        <v>185.94</v>
      </c>
      <c r="BB13" s="13">
        <f>IF($D13="是",I13-J13,0)</f>
        <v>185.94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3160" t="str">
        <f>车位面积信息!I2</f>
        <v>10幢-2-2001</v>
      </c>
      <c r="D14" s="1512" t="s">
        <v>3473</v>
      </c>
      <c r="E14" s="13">
        <f>IF($C$3="是",ROUND($A$3*G14/$B$3,2),ROUND($A$3*(G14-AT14)/$B$3,2))</f>
        <v>0</v>
      </c>
      <c r="F14" s="29"/>
      <c r="G14" s="30">
        <f>H14+AC14+AT14</f>
        <v>30.74</v>
      </c>
      <c r="H14" s="17">
        <f>SUMIF(I$12:AB$12,"总值",I14:AB14)</f>
        <v>30.74</v>
      </c>
      <c r="I14" s="1513"/>
      <c r="J14" s="1513"/>
      <c r="K14" s="1513">
        <f>住宅面积信息!F16</f>
        <v>30.74</v>
      </c>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t="str">
        <f t="shared" si="6"/>
        <v>10幢-2-2001</v>
      </c>
      <c r="AY14" s="1259">
        <f>ROUND($AY$6*AZ14/$AZ$5,2)</f>
        <v>0</v>
      </c>
      <c r="AZ14" s="13">
        <f>BA14+BL14</f>
        <v>30.74</v>
      </c>
      <c r="BA14" s="13">
        <f>SUM(BB14:BK14)</f>
        <v>30.74</v>
      </c>
      <c r="BB14" s="13">
        <f>IF($D14="是",I14-J14,0)</f>
        <v>0</v>
      </c>
      <c r="BC14" s="13">
        <f>IF($D14="是",K14-L14,0)</f>
        <v>30.74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1" sqref="C21"/>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1"/>
      <c r="C1" s="1071"/>
      <c r="D1" s="1071"/>
      <c r="E1" s="1071"/>
      <c r="F1" s="1071"/>
      <c r="G1" s="1071"/>
      <c r="H1" s="1071"/>
      <c r="I1" s="1071"/>
      <c r="J1" s="1071"/>
      <c r="K1" s="1071"/>
      <c r="L1" s="1071"/>
      <c r="M1" s="1071"/>
      <c r="N1" s="1071"/>
      <c r="O1" s="1071"/>
      <c r="P1" s="1071"/>
    </row>
    <row r="2" spans="1:16" ht="14.4">
      <c r="A2" s="3325" t="s">
        <v>1131</v>
      </c>
      <c r="B2" s="3325"/>
      <c r="C2" s="3325"/>
      <c r="D2" s="748" t="s">
        <v>1107</v>
      </c>
      <c r="E2" s="1522" t="s">
        <v>1108</v>
      </c>
      <c r="F2" s="2435"/>
      <c r="G2" s="2428"/>
      <c r="H2" s="2429"/>
      <c r="I2" s="2142" t="s">
        <v>1132</v>
      </c>
      <c r="J2" s="2435"/>
      <c r="K2" s="2435"/>
      <c r="L2" s="2435"/>
      <c r="M2" s="2435"/>
      <c r="N2" s="2436"/>
      <c r="O2" s="2435"/>
      <c r="P2" s="2435"/>
    </row>
    <row r="3" spans="1:16" ht="15" thickBot="1">
      <c r="A3" s="3326" t="s">
        <v>1105</v>
      </c>
      <c r="B3" s="3326"/>
      <c r="C3" s="3326"/>
      <c r="D3" s="41">
        <f>'数据-基础表'!AY6</f>
        <v>0</v>
      </c>
      <c r="E3" s="41">
        <f>'数据-基础表'!AZ5</f>
        <v>216.68</v>
      </c>
      <c r="F3" s="2435"/>
      <c r="G3" s="42"/>
      <c r="H3" s="43" t="s">
        <v>1106</v>
      </c>
      <c r="I3" s="802" t="e">
        <f>ROUND('数据-基础表'!B3/'数据-基础表'!A3,2)</f>
        <v>#DIV/0!</v>
      </c>
      <c r="J3" s="2435"/>
      <c r="K3" s="2435"/>
      <c r="L3" s="2435"/>
      <c r="M3" s="2435"/>
      <c r="N3" s="2436"/>
      <c r="O3" s="2435"/>
      <c r="P3" s="2435"/>
    </row>
    <row r="4" spans="1:16" ht="14.4">
      <c r="A4" s="3327"/>
      <c r="B4" s="3328"/>
      <c r="C4" s="3329"/>
      <c r="D4" s="1523" t="s">
        <v>1107</v>
      </c>
      <c r="E4" s="1524" t="s">
        <v>1108</v>
      </c>
      <c r="F4" s="2435"/>
      <c r="G4" s="2430" t="s">
        <v>1133</v>
      </c>
      <c r="H4" s="43" t="s">
        <v>1113</v>
      </c>
      <c r="I4" s="802" t="e">
        <f>ROUND(SUMIF('数据-基础表'!I9:AS9,"地上",'数据-基础表'!I5:AS5)/'数据-基础表'!A3,2)</f>
        <v>#DIV/0!</v>
      </c>
      <c r="J4" s="2435"/>
      <c r="K4" s="2435"/>
      <c r="L4" s="2435"/>
      <c r="M4" s="2435"/>
      <c r="N4" s="2436"/>
      <c r="O4" s="2435"/>
      <c r="P4" s="2435"/>
    </row>
    <row r="5" spans="1:16" ht="14.4">
      <c r="A5" s="42" t="s">
        <v>1109</v>
      </c>
      <c r="B5" s="3330" t="s">
        <v>1110</v>
      </c>
      <c r="C5" s="3330"/>
      <c r="D5" s="43">
        <f>ROUND($D$3*E5/$E$3,2)</f>
        <v>0</v>
      </c>
      <c r="E5" s="44">
        <f>SUMIF('数据-基础表'!$11:$11,"住宅",'数据-基础表'!$5:$5)</f>
        <v>185.94</v>
      </c>
      <c r="F5" s="2435"/>
      <c r="G5" s="42"/>
      <c r="H5" s="43" t="s">
        <v>1106</v>
      </c>
      <c r="I5" s="802" t="e">
        <f>ROUND(E31/D31,2)</f>
        <v>#DIV/0!</v>
      </c>
      <c r="J5" s="2435"/>
      <c r="K5" s="2435"/>
      <c r="L5" s="2435"/>
      <c r="M5" s="2435"/>
      <c r="N5" s="2435"/>
      <c r="O5" s="2435"/>
      <c r="P5" s="2435"/>
    </row>
    <row r="6" spans="1:16" ht="15" thickBot="1">
      <c r="A6" s="1526"/>
      <c r="B6" s="3330" t="s">
        <v>1111</v>
      </c>
      <c r="C6" s="3330"/>
      <c r="D6" s="43">
        <f>ROUND($D$3*E6/$E$3,2)</f>
        <v>0</v>
      </c>
      <c r="E6" s="44">
        <f>E3-E5</f>
        <v>30.740000000000009</v>
      </c>
      <c r="F6" s="2435"/>
      <c r="G6" s="1528" t="s">
        <v>1112</v>
      </c>
      <c r="H6" s="45" t="s">
        <v>1113</v>
      </c>
      <c r="I6" s="2431" t="e">
        <f>ROUND(F31/D31,2)</f>
        <v>#DIV/0!</v>
      </c>
      <c r="J6" s="2435"/>
      <c r="K6" s="2435"/>
      <c r="L6" s="2435"/>
      <c r="M6" s="2435"/>
      <c r="N6" s="2435"/>
      <c r="O6" s="2435"/>
      <c r="P6" s="2435"/>
    </row>
    <row r="7" spans="1:16" ht="15" thickBot="1">
      <c r="A7" s="3322"/>
      <c r="B7" s="3323"/>
      <c r="C7" s="3324"/>
      <c r="D7" s="1523" t="s">
        <v>1107</v>
      </c>
      <c r="E7" s="1527" t="s">
        <v>1114</v>
      </c>
      <c r="F7" s="2435"/>
      <c r="G7" s="2432" t="s">
        <v>1115</v>
      </c>
      <c r="H7" s="95"/>
      <c r="I7" s="2433">
        <v>2.2000000000000002</v>
      </c>
      <c r="J7" s="3166"/>
      <c r="K7" s="2435"/>
      <c r="L7" s="2435"/>
      <c r="M7" s="2435"/>
      <c r="N7" s="2435"/>
      <c r="O7" s="2435"/>
      <c r="P7" s="2435"/>
    </row>
    <row r="8" spans="1:16" ht="14.4">
      <c r="A8" s="42" t="s">
        <v>1116</v>
      </c>
      <c r="B8" s="45" t="s">
        <v>1117</v>
      </c>
      <c r="C8" s="43" t="s">
        <v>1118</v>
      </c>
      <c r="D8" s="43">
        <f t="shared" ref="D8:D15" si="0">ROUND($D$3*E8/$E$3,2)</f>
        <v>0</v>
      </c>
      <c r="E8" s="46">
        <f>SUMIF('数据-基础表'!BB10:BK10,"地上",'数据-基础表'!BB5:BK5)</f>
        <v>185.94</v>
      </c>
      <c r="F8" s="2435"/>
      <c r="G8" s="2435"/>
      <c r="H8" s="2435"/>
      <c r="I8" s="2435"/>
      <c r="J8" s="2435"/>
      <c r="K8" s="2435"/>
      <c r="L8" s="2435"/>
      <c r="M8" s="2435"/>
      <c r="N8" s="2435"/>
      <c r="O8" s="2435"/>
      <c r="P8" s="2435"/>
    </row>
    <row r="9" spans="1:16" ht="14.4">
      <c r="A9" s="1528"/>
      <c r="B9" s="1529"/>
      <c r="C9" s="43" t="s">
        <v>1119</v>
      </c>
      <c r="D9" s="43">
        <f t="shared" si="0"/>
        <v>0</v>
      </c>
      <c r="E9" s="47">
        <v>0</v>
      </c>
      <c r="F9" s="2435"/>
      <c r="G9" s="2435"/>
      <c r="H9" s="2435"/>
      <c r="I9" s="2435"/>
      <c r="J9" s="2435"/>
      <c r="K9" s="2435"/>
      <c r="L9" s="2435"/>
      <c r="M9" s="2435"/>
      <c r="N9" s="2435"/>
      <c r="O9" s="2435"/>
      <c r="P9" s="2435"/>
    </row>
    <row r="10" spans="1:16" ht="14.4">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8"/>
      <c r="B13" s="1529"/>
      <c r="C13" s="43" t="s">
        <v>1122</v>
      </c>
      <c r="D13" s="43">
        <f t="shared" si="0"/>
        <v>0</v>
      </c>
      <c r="E13" s="46">
        <f>SUMPRODUCT(('数据-基础表'!BB10:BK10="地下")*('数据-基础表'!BB11:BK11="车库")*('数据-基础表'!BB5:BK5))</f>
        <v>30.74</v>
      </c>
      <c r="F13" s="2435"/>
      <c r="G13" s="2435"/>
      <c r="H13" s="2435"/>
      <c r="I13" s="2435"/>
      <c r="J13" s="2435"/>
      <c r="K13" s="2435"/>
      <c r="L13" s="2435"/>
      <c r="M13" s="2435"/>
      <c r="N13" s="2435"/>
      <c r="O13" s="2435"/>
      <c r="P13" s="2435"/>
    </row>
    <row r="14" spans="1:16" ht="14.4">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6"/>
      <c r="B16" s="1529"/>
      <c r="C16" s="45" t="s">
        <v>1123</v>
      </c>
      <c r="D16" s="45">
        <f>SUM(D8:D15)</f>
        <v>0</v>
      </c>
      <c r="E16" s="48">
        <f>SUM(E8:E15)</f>
        <v>216.68</v>
      </c>
      <c r="F16" s="2435"/>
      <c r="G16" s="2435"/>
      <c r="H16" s="1530" t="s">
        <v>1135</v>
      </c>
      <c r="I16" s="1531"/>
      <c r="J16" s="1071"/>
      <c r="K16" s="3319" t="s">
        <v>1135</v>
      </c>
      <c r="L16" s="3320"/>
      <c r="M16" s="3320"/>
      <c r="N16" s="3320"/>
      <c r="O16" s="3320"/>
      <c r="P16" s="3321"/>
    </row>
    <row r="17" spans="1:19" ht="14.4">
      <c r="A17" s="1532" t="s">
        <v>1136</v>
      </c>
      <c r="B17" s="1533" t="s">
        <v>1137</v>
      </c>
      <c r="C17" s="1534" t="s">
        <v>1138</v>
      </c>
      <c r="D17" s="1535" t="s">
        <v>1126</v>
      </c>
      <c r="E17" s="1536" t="s">
        <v>1127</v>
      </c>
      <c r="F17" s="1537"/>
      <c r="G17" s="1538"/>
      <c r="H17" s="1539" t="s">
        <v>1139</v>
      </c>
      <c r="I17" s="1540" t="s">
        <v>1124</v>
      </c>
      <c r="J17" s="1071"/>
      <c r="K17" s="3316" t="s">
        <v>1140</v>
      </c>
      <c r="L17" s="3317"/>
      <c r="M17" s="3318"/>
      <c r="N17" s="3316" t="s">
        <v>1141</v>
      </c>
      <c r="O17" s="3317"/>
      <c r="P17" s="3318"/>
      <c r="R17" s="769" t="s">
        <v>1142</v>
      </c>
      <c r="S17" s="54"/>
    </row>
    <row r="18" spans="1:19" ht="14.4">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ht="14.4">
      <c r="A19" s="1548"/>
      <c r="B19" s="45" t="s">
        <v>1125</v>
      </c>
      <c r="C19" s="3111" t="str">
        <f>'数据-基础表'!C13</f>
        <v>5-1-4</v>
      </c>
      <c r="D19" s="43">
        <f>ROUND($D$3*E19/$E$3,2)</f>
        <v>0</v>
      </c>
      <c r="E19" s="51">
        <f t="shared" ref="E19:E26" si="1">SUM(F19:G19)</f>
        <v>185.94</v>
      </c>
      <c r="F19" s="2553">
        <f>'数据-基础表'!G13</f>
        <v>185.94</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185.94</v>
      </c>
    </row>
    <row r="20" spans="1:19" ht="14.4">
      <c r="A20" s="1548"/>
      <c r="B20" s="45" t="s">
        <v>1153</v>
      </c>
      <c r="C20" s="3111" t="str">
        <f>'数据-基础表'!C14</f>
        <v>10幢-2-2001</v>
      </c>
      <c r="D20" s="43">
        <f t="shared" ref="D20:D26" si="6">ROUND($D$3*E20/$E$3,2)</f>
        <v>0</v>
      </c>
      <c r="E20" s="51">
        <f t="shared" si="1"/>
        <v>30.74</v>
      </c>
      <c r="F20" s="2553"/>
      <c r="G20" s="1242">
        <f>'数据-基础表'!G14</f>
        <v>30.74</v>
      </c>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30.74</v>
      </c>
    </row>
    <row r="21" spans="1:19" ht="14.4">
      <c r="A21" s="1548"/>
      <c r="B21" s="45" t="s">
        <v>1153</v>
      </c>
      <c r="C21" s="3111"/>
      <c r="D21" s="43">
        <f t="shared" si="6"/>
        <v>0</v>
      </c>
      <c r="E21" s="51">
        <f t="shared" si="1"/>
        <v>0</v>
      </c>
      <c r="F21" s="2553"/>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2">
        <f>SUM(D19:D26)</f>
        <v>0</v>
      </c>
      <c r="E27" s="1073">
        <f>IF(SUM(E19:E26)='数据-基础表'!BA5,SUM(E19:E26),IF(F27="地上面积有误","面积有误","地下面积有误"))</f>
        <v>216.68</v>
      </c>
      <c r="F27" s="1072">
        <f>IF(SUM(F19:F26)=E8,SUM(F19:F26),"地上面积有误")</f>
        <v>185.94</v>
      </c>
      <c r="G27" s="1074">
        <f>SUM(G19:G26)</f>
        <v>30.74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216.68</v>
      </c>
    </row>
    <row r="28" spans="1:19" ht="14.4">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8"/>
      <c r="B30" s="45"/>
      <c r="C30" s="1555" t="s">
        <v>1154</v>
      </c>
      <c r="D30" s="1072">
        <f>SUM(D28:D29)</f>
        <v>0</v>
      </c>
      <c r="E30" s="1072">
        <f>SUM(E28:E29)</f>
        <v>0</v>
      </c>
      <c r="F30" s="1072">
        <f>SUM(F28:F29)</f>
        <v>0</v>
      </c>
      <c r="G30" s="1074">
        <f>SUM(G28:G29)</f>
        <v>0</v>
      </c>
      <c r="H30" s="2435"/>
      <c r="I30" s="2435"/>
      <c r="J30" s="2435"/>
      <c r="K30" s="2435"/>
      <c r="L30" s="2435"/>
      <c r="M30" s="2435"/>
      <c r="N30" s="2435"/>
      <c r="O30" s="2435"/>
      <c r="P30" s="2435"/>
    </row>
    <row r="31" spans="1:19" ht="15" thickBot="1">
      <c r="A31" s="1556"/>
      <c r="B31" s="96"/>
      <c r="C31" s="785" t="s">
        <v>1158</v>
      </c>
      <c r="D31" s="643">
        <f>D27+D30</f>
        <v>0</v>
      </c>
      <c r="E31" s="643">
        <f>E27+E30</f>
        <v>216.68</v>
      </c>
      <c r="F31" s="644">
        <f>F27+F30</f>
        <v>185.94</v>
      </c>
      <c r="G31" s="645">
        <f>G27+G30</f>
        <v>30.74</v>
      </c>
      <c r="H31" s="2435"/>
      <c r="I31" s="2435"/>
      <c r="J31" s="2435"/>
      <c r="K31" s="2435"/>
      <c r="L31" s="2435"/>
      <c r="M31" s="2435"/>
      <c r="N31" s="2435"/>
      <c r="O31" s="2435"/>
      <c r="P31" s="2435"/>
    </row>
    <row r="32" spans="1:19" ht="14.4">
      <c r="A32" s="1525"/>
      <c r="B32" s="1525" t="s">
        <v>1159</v>
      </c>
      <c r="C32" s="1525"/>
      <c r="D32" s="1525"/>
      <c r="E32" s="990">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Y6" activePane="bottomRight" state="frozen"/>
      <selection activeCell="C50" sqref="C50"/>
      <selection pane="topRight" activeCell="C50" sqref="C50"/>
      <selection pane="bottomLeft" activeCell="C50" sqref="C50"/>
      <selection pane="bottomRight" activeCell="AN7" sqref="AN7"/>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11.7773437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 thickBot="1">
      <c r="A2" s="1561" t="s">
        <v>1161</v>
      </c>
      <c r="B2" s="984">
        <f>项目基本情况!D3</f>
        <v>45826</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3466</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5-1-4</v>
      </c>
      <c r="B6" s="1586" t="str">
        <f>IF(A6=0,"","经营性")</f>
        <v>经营性</v>
      </c>
      <c r="C6" s="1587" t="s">
        <v>3402</v>
      </c>
      <c r="D6" s="805">
        <f>SUMIF(项目基本情况!C$12:I$12,C6,项目基本情况!C$14:I$14)</f>
        <v>70</v>
      </c>
      <c r="E6" s="804">
        <f>IF(B6="","",SUMIF(项目基本情况!C$12:I$12,C6,项目基本情况!C$13:I$13))</f>
        <v>67789</v>
      </c>
      <c r="F6" s="61">
        <f>SUMIF(项目基本情况!C$12:I$12,C6,项目基本情况!C$15:I$15)</f>
        <v>60.17</v>
      </c>
      <c r="G6" s="62">
        <f>IF(ISERROR(ROUND(POWER(1+H6,D6-F6)*(POWER(1+H6,F6)-1)/(POWER(1+H6,D6)-1),3)),0,ROUND(POWER(1+H6,D6-F6)*(POWER(1+H6,F6)-1)/(POWER(1+H6,D6)-1),3))</f>
        <v>0.97899999999999998</v>
      </c>
      <c r="H6" s="691">
        <v>0.05</v>
      </c>
      <c r="I6" s="691">
        <v>5.5E-2</v>
      </c>
      <c r="J6" s="63">
        <v>7.0000000000000007E-2</v>
      </c>
      <c r="K6" s="970">
        <f>SUMIF('数据-汇总表'!C$19:C$33,A6,'数据-汇总表'!E$19:E$33)</f>
        <v>185.94</v>
      </c>
      <c r="L6" s="692">
        <v>6000</v>
      </c>
      <c r="M6" s="64">
        <f t="shared" ref="M6:M14" si="0">ROUND(K6*L6/10000,0)</f>
        <v>112</v>
      </c>
      <c r="N6" s="690">
        <f>N18</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2">
        <v>12000</v>
      </c>
      <c r="V6" s="67">
        <v>0.02</v>
      </c>
      <c r="W6" s="67">
        <v>0.1</v>
      </c>
      <c r="X6" s="979"/>
      <c r="Y6" s="68">
        <f>N6</f>
        <v>0.83</v>
      </c>
      <c r="Z6" s="69"/>
      <c r="AA6" s="63"/>
      <c r="AB6" s="63"/>
      <c r="AC6" s="979"/>
      <c r="AD6" s="70"/>
      <c r="AE6" s="980">
        <f ca="1">IF(AN6="",0,SUMIF(INDIRECT("'"&amp;AN6&amp;"'"&amp;"!E:E"),$AE$5,INDIRECT("'"&amp;AN6&amp;"'"&amp;"!F:F")))</f>
        <v>50</v>
      </c>
      <c r="AF6" s="74"/>
      <c r="AG6" s="130">
        <f>IF(AF6="",0,AE6-AF6)</f>
        <v>0</v>
      </c>
      <c r="AH6" s="71">
        <v>1</v>
      </c>
      <c r="AI6" s="73">
        <v>12</v>
      </c>
      <c r="AJ6" s="74"/>
      <c r="AK6" s="75">
        <v>0.01</v>
      </c>
      <c r="AL6" s="76">
        <v>1E-3</v>
      </c>
      <c r="AM6" s="77">
        <v>0.01</v>
      </c>
      <c r="AN6" s="1588" t="s">
        <v>6389</v>
      </c>
      <c r="AO6" s="50" t="e">
        <f ca="1">SUMIF(INDIRECT("'"&amp;AN6&amp;"'"&amp;"!A:A"),"总价",INDIRECT("'"&amp;AN6&amp;"'"&amp;"!B:B"))</f>
        <v>#DIV/0!</v>
      </c>
      <c r="AP6" s="1589">
        <f>IF(C6="住宅",K6*L6,0)</f>
        <v>1115640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t="str">
        <f>'数据-汇总表'!C20</f>
        <v>10幢-2-2001</v>
      </c>
      <c r="B7" s="1586" t="str">
        <f t="shared" ref="B7:B13" si="1">IF(A7=0,"","经营性")</f>
        <v>经营性</v>
      </c>
      <c r="C7" s="1587" t="s">
        <v>3329</v>
      </c>
      <c r="D7" s="805">
        <f>SUMIF(项目基本情况!C$12:I$12,C7,项目基本情况!C$14:I$14)</f>
        <v>50</v>
      </c>
      <c r="E7" s="804">
        <f>IF(B7="","",SUMIF(项目基本情况!C$12:I$12,C7,项目基本情况!C$13:I$13))</f>
        <v>60484</v>
      </c>
      <c r="F7" s="61">
        <f>SUMIF(项目基本情况!C$12:I$12,C7,项目基本情况!C$15:I$15)</f>
        <v>40.15</v>
      </c>
      <c r="G7" s="62">
        <f t="shared" ref="G7:G11" si="2">IF(ISERROR(ROUND(POWER(1+H7,D7-F7)*(POWER(1+H7,F7)-1)/(POWER(1+H7,D7)-1),3)),0,ROUND(POWER(1+H7,D7-F7)*(POWER(1+H7,F7)-1)/(POWER(1+H7,D7)-1),3))</f>
        <v>0.94099999999999995</v>
      </c>
      <c r="H7" s="691">
        <f>H6</f>
        <v>0.05</v>
      </c>
      <c r="I7" s="691">
        <f>I6</f>
        <v>5.5E-2</v>
      </c>
      <c r="J7" s="63">
        <f>J6</f>
        <v>7.0000000000000007E-2</v>
      </c>
      <c r="K7" s="970">
        <f>SUMIF('数据-汇总表'!C$19:C$33,A7,'数据-汇总表'!E$19:E$33)</f>
        <v>30.74</v>
      </c>
      <c r="L7" s="692">
        <f>L6</f>
        <v>6000</v>
      </c>
      <c r="M7" s="64">
        <f t="shared" si="0"/>
        <v>18</v>
      </c>
      <c r="N7" s="690">
        <f>N6</f>
        <v>0.83</v>
      </c>
      <c r="O7" s="64" t="str">
        <f t="shared" ref="O7:O14" si="3">IF($N$5="成新度","——",ROUND(M7*N7,0))</f>
        <v>——</v>
      </c>
      <c r="P7" s="65" t="str">
        <f t="shared" ref="P7:P14" si="4">IF($N$5="成新度","——",M7-O7)</f>
        <v>——</v>
      </c>
      <c r="Q7" s="693">
        <v>0.05</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f>售价案例!R11</f>
        <v>450</v>
      </c>
      <c r="V7" s="67">
        <v>1.4999999999999999E-2</v>
      </c>
      <c r="W7" s="67">
        <v>0.1</v>
      </c>
      <c r="X7" s="979"/>
      <c r="Y7" s="68">
        <f>Y6</f>
        <v>0.83</v>
      </c>
      <c r="Z7" s="69"/>
      <c r="AA7" s="63"/>
      <c r="AB7" s="63"/>
      <c r="AC7" s="979"/>
      <c r="AD7" s="70"/>
      <c r="AE7" s="980">
        <f t="shared" ref="AE7:AE13" ca="1" si="6">IF(AN7="",0,SUMIF(INDIRECT("'"&amp;AN7&amp;"'"&amp;"!E:E"),$AE$5,INDIRECT("'"&amp;AN7&amp;"'"&amp;"!F:F")))</f>
        <v>40.15</v>
      </c>
      <c r="AF7" s="74"/>
      <c r="AG7" s="130">
        <f t="shared" ref="AG7:AG13" si="7">IF(AF7="",0,AE7-AF7)</f>
        <v>0</v>
      </c>
      <c r="AH7" s="71">
        <v>1</v>
      </c>
      <c r="AI7" s="73">
        <v>12</v>
      </c>
      <c r="AJ7" s="74"/>
      <c r="AK7" s="75">
        <v>0.01</v>
      </c>
      <c r="AL7" s="76">
        <v>1E-3</v>
      </c>
      <c r="AM7" s="77">
        <v>0.01</v>
      </c>
      <c r="AN7" s="1588" t="s">
        <v>3508</v>
      </c>
      <c r="AO7" s="50">
        <f t="shared" ref="AO7:AO13" ca="1" si="8">SUMIF(INDIRECT("'"&amp;AN7&amp;"'"&amp;"!A:A"),"总价",INDIRECT("'"&amp;AN7&amp;"'"&amp;"!B:B"))</f>
        <v>3.18</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0.97399999999999998</v>
      </c>
      <c r="H16" s="84">
        <f>ROUND(SUMPRODUCT(H6:H13,K6:K13)/SUMPRODUCT((H6:H13&gt;0)*(K6:K13)),3)</f>
        <v>0.05</v>
      </c>
      <c r="I16" s="85"/>
      <c r="J16" s="85"/>
      <c r="K16" s="86">
        <f>SUM(K6:K15)</f>
        <v>216.68</v>
      </c>
      <c r="L16" s="87">
        <f>ROUND(M16*10000/SUM(K6:K14),0)</f>
        <v>6000</v>
      </c>
      <c r="M16" s="87">
        <f>SUM(M6:M14)</f>
        <v>130</v>
      </c>
      <c r="N16" s="88">
        <f>ROUND(SUMPRODUCT(M6:M14,N6:N14)/M16,3)</f>
        <v>0.83</v>
      </c>
      <c r="O16" s="87">
        <f>SUM(O6:O14)</f>
        <v>0</v>
      </c>
      <c r="P16" s="87">
        <f>SUM(P6:P14)</f>
        <v>0</v>
      </c>
      <c r="Q16" s="89">
        <f>ROUND(SUMPRODUCT(Q6:Q13,K6:K13)/SUMPRODUCT((Q6:Q13&gt;0)*(K6:K13)),2)</f>
        <v>0.14000000000000001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3"/>
      <c r="C17" s="2444"/>
      <c r="D17" s="2446"/>
      <c r="E17" s="2446"/>
      <c r="F17" s="2444"/>
      <c r="G17" s="2444"/>
      <c r="H17" s="2444"/>
      <c r="I17" s="2444"/>
      <c r="J17" s="2444"/>
      <c r="K17" s="2445"/>
      <c r="L17" s="2445"/>
      <c r="M17" s="3161" t="s">
        <v>3479</v>
      </c>
      <c r="N17" s="2444">
        <v>2015</v>
      </c>
      <c r="O17" s="3161" t="s">
        <v>3480</v>
      </c>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2444"/>
      <c r="N18" s="2444">
        <f>ROUND(1-(1-0)*(2025-N17)/60,2)</f>
        <v>0.83</v>
      </c>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5" t="s">
        <v>1211</v>
      </c>
      <c r="B19" s="97">
        <v>0</v>
      </c>
      <c r="C19" s="2556" t="s">
        <v>2299</v>
      </c>
      <c r="D19" s="2447"/>
      <c r="E19" s="2435"/>
      <c r="F19" s="2435"/>
      <c r="G19" s="2435"/>
      <c r="H19" s="2435"/>
      <c r="I19" s="2435"/>
      <c r="J19" s="2435"/>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6" t="s">
        <v>1212</v>
      </c>
      <c r="B20" s="98">
        <v>2</v>
      </c>
      <c r="C20" s="2557" t="s">
        <v>2297</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7" t="s">
        <v>1213</v>
      </c>
      <c r="B21" s="98">
        <f>B20</f>
        <v>2</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6"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7"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8"/>
      <c r="B25" s="1541"/>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600" t="s">
        <v>1220</v>
      </c>
      <c r="B27" s="101">
        <v>160</v>
      </c>
      <c r="C27" s="2558" t="s">
        <v>2301</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1"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2" t="s">
        <v>1222</v>
      </c>
      <c r="B29" s="105"/>
      <c r="C29" s="2559" t="s">
        <v>2291</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3"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1"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4"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600" t="s">
        <v>1226</v>
      </c>
      <c r="B33" s="640">
        <v>0.05</v>
      </c>
      <c r="C33" s="2560" t="s">
        <v>3379</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1" t="s">
        <v>1227</v>
      </c>
      <c r="B34" s="106">
        <v>0.1</v>
      </c>
      <c r="C34" s="2560" t="s">
        <v>2292</v>
      </c>
      <c r="D34" s="2455" t="s">
        <v>2298</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1" t="s">
        <v>1228</v>
      </c>
      <c r="B35" s="103">
        <v>200</v>
      </c>
      <c r="C35" s="2560" t="s">
        <v>2293</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0.02</v>
      </c>
      <c r="C36" s="2560" t="s">
        <v>3397</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3" t="s">
        <v>1230</v>
      </c>
      <c r="B37" s="108">
        <v>0.02</v>
      </c>
      <c r="C37" s="2560" t="s">
        <v>3380</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1" t="s">
        <v>1231</v>
      </c>
      <c r="B38" s="106">
        <v>0.03</v>
      </c>
      <c r="C38" s="2560" t="s">
        <v>3381</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4"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2307</v>
      </c>
      <c r="B40" s="1015">
        <f ca="1">IF(A40="利息：取LPR",存贷款利率!G1,存贷款利率!G1+C40)</f>
        <v>0.03</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600"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5"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5" t="s">
        <v>1235</v>
      </c>
      <c r="B43" s="111">
        <f>B42*(B44+B45+B46)+B47</f>
        <v>6.000000000000001E-3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6" t="s">
        <v>1236</v>
      </c>
      <c r="B44" s="112">
        <v>7.0000000000000007E-2</v>
      </c>
      <c r="C44" s="2560" t="s">
        <v>3382</v>
      </c>
      <c r="D44" s="3162" t="s">
        <v>3481</v>
      </c>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6" t="s">
        <v>1237</v>
      </c>
      <c r="B45" s="110">
        <v>0.03</v>
      </c>
      <c r="C45" s="2559" t="s">
        <v>2294</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6" t="s">
        <v>1238</v>
      </c>
      <c r="B46" s="110">
        <v>0.02</v>
      </c>
      <c r="C46" s="2559" t="s">
        <v>2295</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2302</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8" t="s">
        <v>1240</v>
      </c>
      <c r="B48" s="114">
        <v>0.03</v>
      </c>
      <c r="C48" s="2559" t="s">
        <v>2294</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2296</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9"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9" t="s">
        <v>1244</v>
      </c>
      <c r="B52" s="117">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1" t="s">
        <v>1245</v>
      </c>
      <c r="B53" s="1610" t="s">
        <v>29</v>
      </c>
      <c r="C53" s="2436" t="s">
        <v>1246</v>
      </c>
      <c r="D53" s="2561" t="s">
        <v>2300</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1"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1"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1"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1"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1"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1" t="s">
        <v>1252</v>
      </c>
      <c r="B59" s="72">
        <f>C59</f>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6"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1" customWidth="1"/>
    <col min="19" max="29" width="9" style="751"/>
    <col min="30" max="16384" width="9" style="1521"/>
  </cols>
  <sheetData>
    <row r="1" spans="1:29" s="2255" customFormat="1" ht="18" thickBot="1">
      <c r="A1" s="3331" t="s">
        <v>2283</v>
      </c>
      <c r="B1" s="3332"/>
      <c r="C1" s="3332"/>
      <c r="D1" s="3332"/>
      <c r="E1" s="3332"/>
      <c r="F1" s="3332"/>
      <c r="G1" s="3332"/>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2278</v>
      </c>
      <c r="D2" s="1594"/>
      <c r="E2" s="2256"/>
      <c r="F2" s="2259"/>
      <c r="G2" s="2258" t="s">
        <v>2279</v>
      </c>
      <c r="H2" s="751"/>
      <c r="I2" s="751"/>
      <c r="J2" s="751"/>
      <c r="K2" s="751"/>
      <c r="L2" s="751"/>
      <c r="M2" s="751"/>
      <c r="N2" s="751"/>
      <c r="O2" s="751"/>
      <c r="P2" s="751"/>
      <c r="Q2" s="751"/>
    </row>
    <row r="3" spans="1:29" ht="48">
      <c r="A3" s="2243" t="s">
        <v>2280</v>
      </c>
      <c r="B3" s="2260" t="s">
        <v>2249</v>
      </c>
      <c r="C3" s="2261" t="s">
        <v>2281</v>
      </c>
      <c r="D3" s="2262"/>
      <c r="E3" s="2244" t="s">
        <v>2280</v>
      </c>
      <c r="F3" s="2263" t="s">
        <v>2250</v>
      </c>
      <c r="G3" s="2264" t="s">
        <v>2282</v>
      </c>
      <c r="H3" s="751"/>
      <c r="I3" s="751"/>
      <c r="J3" s="751"/>
      <c r="K3" s="751"/>
      <c r="L3" s="751"/>
      <c r="M3" s="751"/>
      <c r="N3" s="751"/>
      <c r="O3" s="751"/>
      <c r="P3" s="751"/>
      <c r="Q3" s="751"/>
    </row>
    <row r="4" spans="1:29" ht="37.200000000000003">
      <c r="A4" s="2244"/>
      <c r="B4" s="315" t="s">
        <v>2251</v>
      </c>
      <c r="C4" s="2265" t="s">
        <v>2252</v>
      </c>
      <c r="D4" s="2262"/>
      <c r="E4" s="2266"/>
      <c r="F4" s="1280" t="s">
        <v>2253</v>
      </c>
      <c r="G4" s="2267" t="s">
        <v>2254</v>
      </c>
      <c r="H4" s="751"/>
      <c r="I4" s="751"/>
      <c r="J4" s="751"/>
      <c r="K4" s="751"/>
      <c r="L4" s="751"/>
      <c r="M4" s="751"/>
      <c r="N4" s="751"/>
      <c r="O4" s="751"/>
      <c r="P4" s="751"/>
      <c r="Q4" s="751"/>
    </row>
    <row r="5" spans="1:29" ht="37.200000000000003">
      <c r="A5" s="2244"/>
      <c r="B5" s="315" t="s">
        <v>2255</v>
      </c>
      <c r="C5" s="2265" t="s">
        <v>2256</v>
      </c>
      <c r="D5" s="2262"/>
      <c r="E5" s="2266"/>
      <c r="F5" s="315" t="s">
        <v>2257</v>
      </c>
      <c r="G5" s="2267" t="s">
        <v>2258</v>
      </c>
      <c r="H5" s="751"/>
      <c r="I5" s="751"/>
      <c r="J5" s="751"/>
      <c r="K5" s="751"/>
      <c r="L5" s="751"/>
      <c r="M5" s="751"/>
      <c r="N5" s="751"/>
      <c r="O5" s="751"/>
      <c r="P5" s="751"/>
      <c r="Q5" s="751"/>
    </row>
    <row r="6" spans="1:29" ht="48">
      <c r="A6" s="2244"/>
      <c r="B6" s="315" t="s">
        <v>2259</v>
      </c>
      <c r="C6" s="2267" t="s">
        <v>2254</v>
      </c>
      <c r="D6" s="2262"/>
      <c r="E6" s="2266"/>
      <c r="F6" s="315" t="s">
        <v>2260</v>
      </c>
      <c r="G6" s="2267" t="s">
        <v>2261</v>
      </c>
      <c r="H6" s="751"/>
      <c r="I6" s="751"/>
      <c r="J6" s="751"/>
      <c r="K6" s="751"/>
      <c r="L6" s="751"/>
      <c r="M6" s="751"/>
      <c r="N6" s="751"/>
      <c r="O6" s="751"/>
      <c r="P6" s="751"/>
      <c r="Q6" s="751"/>
    </row>
    <row r="7" spans="1:29" ht="36.6" thickBot="1">
      <c r="A7" s="2244"/>
      <c r="B7" s="315" t="s">
        <v>2257</v>
      </c>
      <c r="C7" s="2267" t="s">
        <v>2258</v>
      </c>
      <c r="D7" s="2241"/>
      <c r="E7" s="2268"/>
      <c r="F7" s="2269" t="s">
        <v>2262</v>
      </c>
      <c r="G7" s="2270" t="s">
        <v>2263</v>
      </c>
      <c r="H7" s="751"/>
      <c r="I7" s="751"/>
      <c r="J7" s="751"/>
      <c r="K7" s="751"/>
      <c r="L7" s="751"/>
      <c r="M7" s="751"/>
      <c r="N7" s="751"/>
      <c r="O7" s="751"/>
      <c r="P7" s="751"/>
      <c r="Q7" s="751"/>
    </row>
    <row r="8" spans="1:29" ht="24">
      <c r="A8" s="2244"/>
      <c r="B8" s="315" t="s">
        <v>2260</v>
      </c>
      <c r="C8" s="2267" t="s">
        <v>2261</v>
      </c>
      <c r="D8" s="2241"/>
      <c r="E8" s="2241"/>
      <c r="F8" s="121"/>
      <c r="G8" s="121"/>
      <c r="H8" s="751"/>
      <c r="I8" s="751"/>
      <c r="J8" s="751"/>
      <c r="K8" s="751"/>
      <c r="L8" s="751"/>
      <c r="M8" s="751"/>
      <c r="N8" s="751"/>
      <c r="O8" s="751"/>
      <c r="P8" s="751"/>
      <c r="Q8" s="751"/>
    </row>
    <row r="9" spans="1:29" ht="24">
      <c r="A9" s="2244"/>
      <c r="B9" s="315" t="s">
        <v>2264</v>
      </c>
      <c r="C9" s="2265" t="s">
        <v>2265</v>
      </c>
      <c r="D9" s="2262"/>
      <c r="E9" s="2241"/>
      <c r="F9" s="121"/>
      <c r="G9" s="121"/>
      <c r="H9" s="751"/>
      <c r="I9" s="751"/>
      <c r="J9" s="751"/>
      <c r="K9" s="751"/>
      <c r="L9" s="751"/>
      <c r="M9" s="751"/>
      <c r="N9" s="751"/>
      <c r="O9" s="751"/>
      <c r="P9" s="751"/>
      <c r="Q9" s="751"/>
    </row>
    <row r="10" spans="1:29" ht="14.4" thickBot="1">
      <c r="A10" s="2245"/>
      <c r="B10" s="2271" t="s">
        <v>2266</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2284</v>
      </c>
      <c r="B13" s="2276"/>
      <c r="C13" s="2276"/>
      <c r="D13" s="2275"/>
      <c r="E13" s="2276"/>
      <c r="F13" s="2276"/>
      <c r="G13" s="2276"/>
    </row>
    <row r="14" spans="1:29" ht="14.4" thickBot="1">
      <c r="A14" s="2281"/>
      <c r="B14" s="2281"/>
      <c r="C14" s="2282" t="s">
        <v>2267</v>
      </c>
      <c r="D14" s="2262"/>
      <c r="E14" s="2283"/>
      <c r="F14" s="2283"/>
      <c r="G14" s="2258" t="s">
        <v>2268</v>
      </c>
    </row>
    <row r="15" spans="1:29" ht="52.8">
      <c r="A15" s="2246" t="s">
        <v>2269</v>
      </c>
      <c r="B15" s="2284" t="s">
        <v>2249</v>
      </c>
      <c r="C15" s="2285" t="str">
        <f>C3</f>
        <v>估价对象周边居住用地比例、居住小区规模和社区发展完善程度，综合评价居住社区成熟度一般</v>
      </c>
      <c r="D15" s="2262"/>
      <c r="E15" s="2247" t="s">
        <v>2270</v>
      </c>
      <c r="F15" s="2284" t="s">
        <v>2271</v>
      </c>
      <c r="G15" s="2286" t="str">
        <f>G3</f>
        <v>估价对象位于XX开发区，园区建设成熟度XX，产业集聚程度XX</v>
      </c>
    </row>
    <row r="16" spans="1:29" ht="39.6">
      <c r="A16" s="2248"/>
      <c r="B16" s="2287" t="s">
        <v>2251</v>
      </c>
      <c r="C16" s="2288" t="str">
        <f>C4</f>
        <v>估价对象位于XX商圈，周边商业氛围成熟，人流量大，商业繁华度好</v>
      </c>
      <c r="D16" s="2262"/>
      <c r="E16" s="2249"/>
      <c r="F16" s="2289" t="s">
        <v>2253</v>
      </c>
      <c r="G16" s="2290" t="str">
        <f>G4</f>
        <v>估价对象周边道路状况、公共交通通达情况、停车便捷程度，综合评价交通便捷度较好</v>
      </c>
    </row>
    <row r="17" spans="1:17" ht="39.6">
      <c r="A17" s="2248"/>
      <c r="B17" s="2287" t="s">
        <v>2255</v>
      </c>
      <c r="C17" s="2288" t="str">
        <f>C5</f>
        <v>估价对象位于XX商圈，周边办公楼项目较多，入驻率高，办公集聚程度较好</v>
      </c>
      <c r="D17" s="2241"/>
      <c r="E17" s="2249"/>
      <c r="F17" s="2289" t="s">
        <v>2272</v>
      </c>
      <c r="G17" s="2291"/>
    </row>
    <row r="18" spans="1:17" ht="52.8">
      <c r="A18" s="2248"/>
      <c r="B18" s="2289" t="s">
        <v>2259</v>
      </c>
      <c r="C18" s="2290" t="str">
        <f>C6</f>
        <v>估价对象周边道路状况、公共交通通达情况、停车便捷程度，综合评价交通便捷度较好</v>
      </c>
      <c r="D18" s="2241"/>
      <c r="E18" s="2249"/>
      <c r="F18" s="2289" t="s">
        <v>2262</v>
      </c>
      <c r="G18" s="2290" t="str">
        <f>G7</f>
        <v>该园区内是否有污染型企业，绿化情况，卫生条件，整体环境状况判断</v>
      </c>
    </row>
    <row r="19" spans="1:17" ht="26.4">
      <c r="A19" s="2248"/>
      <c r="B19" s="2289" t="s">
        <v>2273</v>
      </c>
      <c r="C19" s="2291"/>
      <c r="D19" s="2262"/>
      <c r="E19" s="2249"/>
      <c r="F19" s="315" t="s">
        <v>2257</v>
      </c>
      <c r="G19" s="2290" t="str">
        <f>G5</f>
        <v>估价对象所在区域公共配套设施齐备情况</v>
      </c>
    </row>
    <row r="20" spans="1:17" ht="26.4">
      <c r="A20" s="2248"/>
      <c r="B20" s="2289" t="s">
        <v>2274</v>
      </c>
      <c r="C20" s="2288" t="str">
        <f>C9</f>
        <v>区域自然环境：；人文环境；综合评价环境状况一般</v>
      </c>
      <c r="D20" s="2241"/>
      <c r="E20" s="2249"/>
      <c r="F20" s="315" t="s">
        <v>2260</v>
      </c>
      <c r="G20" s="2290" t="str">
        <f>G6</f>
        <v>估价对象所在区域基础设施水平</v>
      </c>
    </row>
    <row r="21" spans="1:17" ht="26.4">
      <c r="A21" s="2248"/>
      <c r="B21" s="315" t="s">
        <v>2257</v>
      </c>
      <c r="C21" s="2290" t="str">
        <f>C7</f>
        <v>估价对象所在区域公共配套设施齐备情况</v>
      </c>
      <c r="D21" s="2262"/>
      <c r="E21" s="2249"/>
      <c r="F21" s="2289" t="s">
        <v>2275</v>
      </c>
      <c r="G21" s="2292"/>
    </row>
    <row r="22" spans="1:17" ht="13.5" customHeight="1">
      <c r="A22" s="2248"/>
      <c r="B22" s="315" t="s">
        <v>2260</v>
      </c>
      <c r="C22" s="2290" t="str">
        <f>C8</f>
        <v>估价对象所在区域基础设施水平</v>
      </c>
      <c r="D22" s="2262"/>
      <c r="E22" s="2249"/>
      <c r="F22" s="2289" t="s">
        <v>2266</v>
      </c>
      <c r="G22" s="2291"/>
    </row>
    <row r="23" spans="1:17" s="751" customFormat="1" ht="14.4" thickBot="1">
      <c r="A23" s="2248"/>
      <c r="B23" s="2289" t="s">
        <v>2275</v>
      </c>
      <c r="C23" s="2292"/>
      <c r="D23" s="1613"/>
      <c r="E23" s="2250"/>
      <c r="F23" s="2293" t="s">
        <v>2276</v>
      </c>
      <c r="G23" s="2294"/>
      <c r="H23" s="2273"/>
      <c r="I23" s="2273"/>
      <c r="J23" s="2273"/>
      <c r="K23" s="2273"/>
      <c r="L23" s="2273"/>
      <c r="M23" s="2273"/>
      <c r="N23" s="2273"/>
      <c r="O23" s="2273"/>
      <c r="P23" s="2273"/>
      <c r="Q23" s="2273"/>
    </row>
    <row r="24" spans="1:17" s="751" customFormat="1" ht="14.4" thickBot="1">
      <c r="A24" s="2251"/>
      <c r="B24" s="2293" t="s">
        <v>2277</v>
      </c>
      <c r="C24" s="2295">
        <f>C10</f>
        <v>0</v>
      </c>
      <c r="D24" s="1613"/>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N26"/>
  <sheetViews>
    <sheetView tabSelected="1" view="pageBreakPreview" zoomScale="80" zoomScaleNormal="80" zoomScaleSheetLayoutView="80" workbookViewId="0">
      <selection activeCell="B14" sqref="B14"/>
    </sheetView>
  </sheetViews>
  <sheetFormatPr defaultColWidth="9" defaultRowHeight="14.4"/>
  <cols>
    <col min="1" max="1" width="25" style="2297" customWidth="1"/>
    <col min="2" max="9" width="15.77734375" style="2297" customWidth="1"/>
    <col min="10" max="16384" width="9" style="2297"/>
  </cols>
  <sheetData>
    <row r="1" spans="1:14" ht="16.2">
      <c r="A1" s="2296" t="s">
        <v>665</v>
      </c>
      <c r="B1" s="2296">
        <f>SUM(B14:B23)</f>
        <v>46608.119999999995</v>
      </c>
      <c r="C1" s="2457"/>
      <c r="D1" s="2457"/>
      <c r="E1" s="2457"/>
      <c r="F1" s="2457"/>
      <c r="G1" s="2458"/>
      <c r="H1" s="2458"/>
      <c r="I1" s="2458"/>
      <c r="J1" s="2458"/>
      <c r="K1" s="2458"/>
    </row>
    <row r="2" spans="1:14" ht="16.2">
      <c r="A2" s="2296" t="s">
        <v>653</v>
      </c>
      <c r="B2" s="2296">
        <f>SUM(C14:C23)</f>
        <v>0</v>
      </c>
      <c r="C2" s="2457"/>
      <c r="D2" s="2457"/>
      <c r="E2" s="2457"/>
      <c r="F2" s="2457"/>
      <c r="G2" s="2458"/>
      <c r="H2" s="2458"/>
      <c r="I2" s="2458"/>
      <c r="J2" s="2458"/>
      <c r="K2" s="2458"/>
    </row>
    <row r="3" spans="1:14" ht="15.6">
      <c r="A3" s="2296" t="s">
        <v>662</v>
      </c>
      <c r="B3" s="2298">
        <f>项目基本情况!D3</f>
        <v>45826</v>
      </c>
      <c r="C3" s="2457"/>
      <c r="D3" s="2457"/>
      <c r="E3" s="2457"/>
      <c r="F3" s="2457"/>
      <c r="G3" s="2458"/>
      <c r="H3" s="2458"/>
      <c r="I3" s="2458"/>
      <c r="J3" s="2458"/>
      <c r="K3" s="2458"/>
    </row>
    <row r="4" spans="1:14" ht="31.2">
      <c r="A4" s="2296" t="s">
        <v>661</v>
      </c>
      <c r="B4" s="2296" t="s">
        <v>660</v>
      </c>
      <c r="C4" s="2296" t="s">
        <v>659</v>
      </c>
      <c r="D4" s="2296" t="s">
        <v>658</v>
      </c>
      <c r="E4" s="3168" t="s">
        <v>3576</v>
      </c>
      <c r="F4" s="3169">
        <v>62331</v>
      </c>
      <c r="G4" s="3170" t="s">
        <v>3581</v>
      </c>
      <c r="H4" s="3169"/>
      <c r="I4" s="3169"/>
      <c r="J4" s="3183"/>
      <c r="K4" s="3182" t="s">
        <v>3580</v>
      </c>
      <c r="L4" s="3183"/>
      <c r="M4" s="3183"/>
      <c r="N4" s="3169"/>
    </row>
    <row r="5" spans="1:14" ht="15.6">
      <c r="A5" s="2296" t="s">
        <v>657</v>
      </c>
      <c r="B5" s="2296">
        <f ca="1">SUM(D14:D23)</f>
        <v>52834</v>
      </c>
      <c r="C5" s="2296">
        <f ca="1">IF(B5=D14,'结果表-住宅'!H102,ROUND(B5*10000/$B$1,0))</f>
        <v>36904</v>
      </c>
      <c r="D5" s="2296" t="e">
        <f ca="1">ROUND(B5*10000/$B$2,0)</f>
        <v>#DIV/0!</v>
      </c>
      <c r="E5" s="3168"/>
      <c r="F5" s="3169"/>
      <c r="G5" s="3169"/>
      <c r="H5" s="3169"/>
      <c r="I5" s="3169"/>
      <c r="J5" s="3183"/>
      <c r="K5" s="3183">
        <f ca="1">D14</f>
        <v>52834</v>
      </c>
      <c r="L5" s="3182" t="s">
        <v>3581</v>
      </c>
      <c r="M5" s="3183"/>
      <c r="N5" s="3169"/>
    </row>
    <row r="6" spans="1:14" ht="15.6">
      <c r="A6" s="2296" t="s">
        <v>656</v>
      </c>
      <c r="B6" s="2296">
        <f ca="1">SUM(G14:G23)</f>
        <v>52834</v>
      </c>
      <c r="C6" s="2296">
        <f ca="1">IF(B6=G14,'结果表-住宅'!H108,ROUND(B6*10000/$B$1,0))</f>
        <v>36904</v>
      </c>
      <c r="D6" s="2296" t="e">
        <f ca="1">ROUND(B6*10000/$B$2,0)</f>
        <v>#DIV/0!</v>
      </c>
      <c r="E6" s="3168"/>
      <c r="F6" s="3170" t="s">
        <v>3577</v>
      </c>
      <c r="G6" s="3170" t="s">
        <v>3578</v>
      </c>
      <c r="H6" s="3170" t="s">
        <v>3574</v>
      </c>
      <c r="I6" s="3169"/>
      <c r="J6" s="3183"/>
      <c r="K6" s="3183"/>
      <c r="L6" s="3183"/>
      <c r="M6" s="3183"/>
      <c r="N6" s="3169"/>
    </row>
    <row r="7" spans="1:14" ht="15.6">
      <c r="A7" s="2296" t="s">
        <v>664</v>
      </c>
      <c r="B7" s="2296">
        <f>SUM(H14:H23)</f>
        <v>0</v>
      </c>
      <c r="C7" s="2296" t="str">
        <f>IF(B7=H14,'结果表-住宅'!H110,ROUND(B7*10000/$B$1,0))</f>
        <v>——</v>
      </c>
      <c r="D7" s="2296" t="e">
        <f>ROUND(B7*10000/$B$2,0)</f>
        <v>#DIV/0!</v>
      </c>
      <c r="E7" s="3168" t="s">
        <v>3575</v>
      </c>
      <c r="F7" s="3169">
        <v>42464</v>
      </c>
      <c r="G7" s="3169">
        <v>19867</v>
      </c>
      <c r="H7" s="3169">
        <f>F7+G7</f>
        <v>62331</v>
      </c>
      <c r="I7" s="3169"/>
      <c r="J7" s="3183"/>
      <c r="K7" s="3182" t="s">
        <v>3577</v>
      </c>
      <c r="L7" s="3182" t="s">
        <v>3578</v>
      </c>
      <c r="M7" s="3182" t="s">
        <v>3574</v>
      </c>
      <c r="N7" s="3169"/>
    </row>
    <row r="8" spans="1:14" ht="15.6">
      <c r="A8" s="2296" t="s">
        <v>587</v>
      </c>
      <c r="B8" s="2296">
        <f ca="1">SUM(I14:I23)</f>
        <v>48377</v>
      </c>
      <c r="C8" s="2296" t="str">
        <f ca="1">IF(B8=I14,'结果表-住宅'!H112,ROUND(B8*10000/$B$1,0))</f>
        <v>——</v>
      </c>
      <c r="D8" s="2296" t="e">
        <f ca="1">ROUND(B8*10000/$B$2,0)</f>
        <v>#DIV/0!</v>
      </c>
      <c r="E8" s="3168" t="s">
        <v>3579</v>
      </c>
      <c r="F8" s="3169">
        <v>47762</v>
      </c>
      <c r="G8" s="3169">
        <v>5267</v>
      </c>
      <c r="H8" s="3169"/>
      <c r="I8" s="3169"/>
      <c r="J8" s="3182" t="s">
        <v>3575</v>
      </c>
      <c r="K8" s="3183">
        <f ca="1">典型户型修正!S22</f>
        <v>33620</v>
      </c>
      <c r="L8" s="3183">
        <f ca="1">'典型户型修正-车位'!S22</f>
        <v>19214</v>
      </c>
      <c r="M8" s="3183">
        <f ca="1">K8+L8</f>
        <v>52834</v>
      </c>
      <c r="N8" s="3169"/>
    </row>
    <row r="9" spans="1:14" ht="15.6">
      <c r="A9" s="2296" t="s">
        <v>655</v>
      </c>
      <c r="B9" s="1243"/>
      <c r="C9" s="2457"/>
      <c r="D9" s="2457"/>
      <c r="E9" s="3168"/>
      <c r="F9" s="3169"/>
      <c r="G9" s="3169"/>
      <c r="H9" s="3169"/>
      <c r="I9" s="3169"/>
      <c r="J9" s="3182" t="s">
        <v>3579</v>
      </c>
      <c r="K9" s="3183">
        <f ca="1">典型户型修正!R22</f>
        <v>37815</v>
      </c>
      <c r="L9" s="3183">
        <f ca="1">'典型户型修正-车位'!R22</f>
        <v>5094</v>
      </c>
      <c r="M9" s="3183"/>
      <c r="N9" s="3169"/>
    </row>
    <row r="10" spans="1:14" ht="15.6">
      <c r="A10" s="2296" t="s">
        <v>654</v>
      </c>
      <c r="B10" s="2296">
        <f>IF(E10="",0,ROUND(B1*(E10*365/G10)/10000,0))</f>
        <v>0</v>
      </c>
      <c r="C10" s="2296" t="s">
        <v>3352</v>
      </c>
      <c r="D10" s="2296" t="s">
        <v>3353</v>
      </c>
      <c r="E10" s="3132"/>
      <c r="F10" s="3136" t="s">
        <v>3354</v>
      </c>
      <c r="G10" s="3133"/>
      <c r="H10" s="2458"/>
      <c r="I10" s="2458"/>
      <c r="J10" s="3183"/>
      <c r="K10" s="3183"/>
      <c r="L10" s="3183"/>
      <c r="M10" s="3183"/>
    </row>
    <row r="11" spans="1:14" ht="15.6">
      <c r="A11" s="2296" t="s">
        <v>670</v>
      </c>
      <c r="B11" s="1243"/>
      <c r="C11" s="2457"/>
      <c r="D11" s="2457"/>
      <c r="E11" s="2457"/>
      <c r="F11" s="2458"/>
      <c r="G11" s="2458"/>
      <c r="H11" s="2458"/>
      <c r="I11" s="2458"/>
      <c r="J11" s="3181" t="s">
        <v>3986</v>
      </c>
      <c r="K11" s="3183"/>
      <c r="L11" s="3183"/>
      <c r="M11" s="3183"/>
    </row>
    <row r="12" spans="1:14" ht="15.6">
      <c r="A12" s="2457"/>
      <c r="B12" s="2457"/>
      <c r="C12" s="2457"/>
      <c r="D12" s="2457"/>
      <c r="E12" s="2457"/>
      <c r="F12" s="2458"/>
      <c r="G12" s="2458"/>
      <c r="H12" s="2458"/>
      <c r="I12" s="2458"/>
      <c r="J12" s="3183"/>
      <c r="K12" s="3183"/>
      <c r="L12" s="3183"/>
      <c r="M12" s="3183"/>
    </row>
    <row r="13" spans="1:14" ht="31.8">
      <c r="A13" s="2299" t="s">
        <v>669</v>
      </c>
      <c r="B13" s="2300" t="s">
        <v>666</v>
      </c>
      <c r="C13" s="2300" t="s">
        <v>668</v>
      </c>
      <c r="D13" s="2300" t="s">
        <v>667</v>
      </c>
      <c r="E13" s="2296" t="s">
        <v>659</v>
      </c>
      <c r="F13" s="2296" t="s">
        <v>658</v>
      </c>
      <c r="G13" s="2300" t="s">
        <v>652</v>
      </c>
      <c r="H13" s="2300" t="s">
        <v>663</v>
      </c>
      <c r="I13" s="2300" t="s">
        <v>651</v>
      </c>
      <c r="J13" s="2458"/>
      <c r="K13" s="2458"/>
    </row>
    <row r="14" spans="1:14" ht="15.6">
      <c r="A14" s="2301" t="s">
        <v>650</v>
      </c>
      <c r="B14" s="2302">
        <f>住宅面积信息!G9+住宅面积信息!G11</f>
        <v>46608.119999999995</v>
      </c>
      <c r="C14" s="2302"/>
      <c r="D14" s="2302">
        <f ca="1">M8</f>
        <v>52834</v>
      </c>
      <c r="E14" s="2302">
        <f ca="1">ROUND(D14*10000/B14,0)</f>
        <v>11336</v>
      </c>
      <c r="F14" s="2302" t="e">
        <f ca="1">ROUND(D14*10000/C14,0)</f>
        <v>#DIV/0!</v>
      </c>
      <c r="G14" s="2302">
        <f ca="1">D14</f>
        <v>52834</v>
      </c>
      <c r="H14" s="2302"/>
      <c r="I14" s="2302">
        <f ca="1">'结果表-住宅'!N59+'结果表 -车位'!N59</f>
        <v>48377</v>
      </c>
      <c r="J14" s="2458"/>
      <c r="K14" s="2458"/>
    </row>
    <row r="15" spans="1:14" ht="15.6">
      <c r="A15" s="2301" t="s">
        <v>649</v>
      </c>
      <c r="B15" s="2303"/>
      <c r="C15" s="2303"/>
      <c r="D15" s="2303"/>
      <c r="E15" s="2302" t="e">
        <f t="shared" ref="E15:E23" si="0">ROUND(D15*10000/B15,0)</f>
        <v>#DIV/0!</v>
      </c>
      <c r="F15" s="2302" t="e">
        <f t="shared" ref="F15:F23" si="1">ROUND(D15*10000/C15,0)</f>
        <v>#DIV/0!</v>
      </c>
      <c r="G15" s="1243"/>
      <c r="H15" s="1243"/>
      <c r="I15" s="2303"/>
      <c r="J15" s="2458"/>
      <c r="K15" s="2458"/>
    </row>
    <row r="16" spans="1:14" ht="15.6">
      <c r="A16" s="2301" t="s">
        <v>648</v>
      </c>
      <c r="B16" s="2303"/>
      <c r="C16" s="2303"/>
      <c r="D16" s="2303"/>
      <c r="E16" s="2302" t="e">
        <f t="shared" si="0"/>
        <v>#DIV/0!</v>
      </c>
      <c r="F16" s="2302" t="e">
        <f t="shared" si="1"/>
        <v>#DIV/0!</v>
      </c>
      <c r="G16" s="1243"/>
      <c r="H16" s="1243"/>
      <c r="I16" s="2303"/>
      <c r="J16" s="2458"/>
      <c r="K16" s="2458"/>
    </row>
    <row r="17" spans="1:11" ht="15.6">
      <c r="A17" s="2301" t="s">
        <v>647</v>
      </c>
      <c r="B17" s="2303"/>
      <c r="C17" s="2303"/>
      <c r="D17" s="2303"/>
      <c r="E17" s="2302" t="e">
        <f t="shared" si="0"/>
        <v>#DIV/0!</v>
      </c>
      <c r="F17" s="2302" t="e">
        <f t="shared" si="1"/>
        <v>#DIV/0!</v>
      </c>
      <c r="G17" s="1243"/>
      <c r="H17" s="1243"/>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3" t="e">
        <f t="shared" si="0"/>
        <v>#DIV/0!</v>
      </c>
      <c r="F23" s="1243"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algorithmName="SHA-512" hashValue="yptN3cs79WHiPFqY93iuzijgjhj8PSfJzheisjbI0k1BJRuJnrxRAPiJ8s+RDXHEgXMn855CvR/vobyA/f3OQg==" saltValue="KCXvriCcBRkIhl3hIco1sg==" spinCount="100000"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M27" sqref="M27"/>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t="s">
        <v>3402</v>
      </c>
      <c r="D1" s="646"/>
      <c r="E1" s="646"/>
      <c r="F1" s="1620" t="s">
        <v>1263</v>
      </c>
      <c r="G1" s="1452" t="s">
        <v>3472</v>
      </c>
      <c r="H1" s="1620" t="str">
        <f>IF(G1="现房","——","估价对象范围")</f>
        <v>——</v>
      </c>
      <c r="I1" s="1621"/>
    </row>
    <row r="2" spans="1:12" ht="21.75" customHeight="1" thickBot="1">
      <c r="A2" s="3367" t="str">
        <f>项目基本情况!S2</f>
        <v>北京市房山区揽秀南街15号院5号楼5-1-4等47套住宅、13号院10幢-1-1006等1147个地下车位房地产</v>
      </c>
      <c r="B2" s="3368"/>
      <c r="C2" s="3368"/>
      <c r="D2" s="3368"/>
      <c r="E2" s="3368"/>
      <c r="F2" s="3368"/>
      <c r="G2" s="3368"/>
      <c r="H2" s="3368"/>
      <c r="I2" s="3369"/>
    </row>
    <row r="3" spans="1:12" ht="13.2">
      <c r="A3" s="3371" t="s">
        <v>1264</v>
      </c>
      <c r="B3" s="3372"/>
      <c r="C3" s="3372"/>
      <c r="D3" s="3372"/>
      <c r="E3" s="3372"/>
      <c r="F3" s="3372"/>
      <c r="G3" s="3372"/>
      <c r="H3" s="3372"/>
      <c r="I3" s="3372"/>
    </row>
    <row r="4" spans="1:12" ht="14.4">
      <c r="A4" s="1623" t="s">
        <v>1265</v>
      </c>
      <c r="B4" s="1624" t="s">
        <v>1266</v>
      </c>
      <c r="C4" s="1625" t="s">
        <v>3506</v>
      </c>
      <c r="D4" s="1625" t="s">
        <v>3591</v>
      </c>
      <c r="E4" s="3373" t="s">
        <v>1267</v>
      </c>
      <c r="F4" s="3374"/>
      <c r="G4" s="3374"/>
      <c r="H4" s="3374"/>
      <c r="I4" s="3375"/>
      <c r="K4" s="138" t="str">
        <f>IF(ISNUMBER(FIND("比较法",'结果表-住宅'!C4)),"比较法",IF(ISNUMBER(FIND("成本法",'结果表-住宅'!C4)),"成本法",IF(ISNUMBER(FIND("假设开发法",'结果表-住宅'!C4)),"假设开发法",IF(ISNUMBER(FIND("收益法",'结果表-住宅'!C4)),"收益法","基准地价系数修正法"))))</f>
        <v>比较法</v>
      </c>
      <c r="L4" s="138"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3.2">
      <c r="A5" s="3347" t="s">
        <v>1268</v>
      </c>
      <c r="B5" s="3334">
        <v>25</v>
      </c>
      <c r="C5" s="3350"/>
      <c r="D5" s="3370"/>
      <c r="E5" s="123" t="s">
        <v>1269</v>
      </c>
      <c r="F5" s="1626"/>
      <c r="G5" s="1626"/>
      <c r="H5" s="1626"/>
      <c r="I5" s="1280"/>
    </row>
    <row r="6" spans="1:12" ht="13.2">
      <c r="A6" s="3347"/>
      <c r="B6" s="3334"/>
      <c r="C6" s="3351"/>
      <c r="D6" s="3370"/>
      <c r="E6" s="123" t="s">
        <v>1270</v>
      </c>
      <c r="F6" s="1626"/>
      <c r="G6" s="1626"/>
      <c r="H6" s="1626"/>
      <c r="I6" s="1280"/>
    </row>
    <row r="7" spans="1:12" ht="13.2">
      <c r="A7" s="3347"/>
      <c r="B7" s="3334"/>
      <c r="C7" s="3352"/>
      <c r="D7" s="3370"/>
      <c r="E7" s="123" t="s">
        <v>1271</v>
      </c>
      <c r="F7" s="1626"/>
      <c r="G7" s="1626"/>
      <c r="H7" s="1626"/>
      <c r="I7" s="1280"/>
    </row>
    <row r="8" spans="1:12" ht="13.2">
      <c r="A8" s="3347" t="s">
        <v>1272</v>
      </c>
      <c r="B8" s="3334">
        <v>15</v>
      </c>
      <c r="C8" s="3350"/>
      <c r="D8" s="3370"/>
      <c r="E8" s="123" t="s">
        <v>1273</v>
      </c>
      <c r="F8" s="1626"/>
      <c r="G8" s="1626"/>
      <c r="H8" s="1626"/>
      <c r="I8" s="1280"/>
    </row>
    <row r="9" spans="1:12" ht="13.2">
      <c r="A9" s="3347"/>
      <c r="B9" s="3334"/>
      <c r="C9" s="3352"/>
      <c r="D9" s="3370"/>
      <c r="E9" s="123" t="s">
        <v>1274</v>
      </c>
      <c r="F9" s="1626"/>
      <c r="G9" s="1626"/>
      <c r="H9" s="1626"/>
      <c r="I9" s="1280"/>
    </row>
    <row r="10" spans="1:12" ht="13.2">
      <c r="A10" s="3347" t="s">
        <v>1275</v>
      </c>
      <c r="B10" s="3334">
        <v>15</v>
      </c>
      <c r="C10" s="3350"/>
      <c r="D10" s="3370"/>
      <c r="E10" s="123" t="s">
        <v>1276</v>
      </c>
      <c r="F10" s="1626"/>
      <c r="G10" s="1626"/>
      <c r="H10" s="1626"/>
      <c r="I10" s="1280"/>
    </row>
    <row r="11" spans="1:12" ht="13.2">
      <c r="A11" s="3347"/>
      <c r="B11" s="3334"/>
      <c r="C11" s="3352"/>
      <c r="D11" s="3370"/>
      <c r="E11" s="123" t="s">
        <v>1277</v>
      </c>
      <c r="F11" s="1626"/>
      <c r="G11" s="1626"/>
      <c r="H11" s="1626"/>
      <c r="I11" s="1280"/>
    </row>
    <row r="12" spans="1:12" ht="13.2">
      <c r="A12" s="3347" t="s">
        <v>1278</v>
      </c>
      <c r="B12" s="3334">
        <v>15</v>
      </c>
      <c r="C12" s="3350"/>
      <c r="D12" s="3370"/>
      <c r="E12" s="123" t="s">
        <v>1279</v>
      </c>
      <c r="F12" s="1626"/>
      <c r="G12" s="1626"/>
      <c r="H12" s="1626"/>
      <c r="I12" s="1280"/>
    </row>
    <row r="13" spans="1:12" ht="13.2">
      <c r="A13" s="3347"/>
      <c r="B13" s="3334"/>
      <c r="C13" s="3352"/>
      <c r="D13" s="3370"/>
      <c r="E13" s="123" t="s">
        <v>1280</v>
      </c>
      <c r="F13" s="1626"/>
      <c r="G13" s="1626"/>
      <c r="H13" s="1626"/>
      <c r="I13" s="1280"/>
    </row>
    <row r="14" spans="1:12" ht="13.2">
      <c r="A14" s="3347" t="s">
        <v>1281</v>
      </c>
      <c r="B14" s="3334">
        <v>30</v>
      </c>
      <c r="C14" s="3350">
        <v>5</v>
      </c>
      <c r="D14" s="3370">
        <v>5</v>
      </c>
      <c r="E14" s="123" t="s">
        <v>1282</v>
      </c>
      <c r="F14" s="1626"/>
      <c r="G14" s="1626"/>
      <c r="H14" s="1626"/>
      <c r="I14" s="1280"/>
    </row>
    <row r="15" spans="1:12" ht="13.2">
      <c r="A15" s="3347"/>
      <c r="B15" s="3334"/>
      <c r="C15" s="3351"/>
      <c r="D15" s="3370"/>
      <c r="E15" s="123" t="s">
        <v>1283</v>
      </c>
      <c r="F15" s="1626"/>
      <c r="G15" s="1626"/>
      <c r="H15" s="1626"/>
      <c r="I15" s="1280"/>
    </row>
    <row r="16" spans="1:12" ht="13.2">
      <c r="A16" s="3347"/>
      <c r="B16" s="3334"/>
      <c r="C16" s="3352"/>
      <c r="D16" s="3370"/>
      <c r="E16" s="123" t="s">
        <v>1284</v>
      </c>
      <c r="F16" s="1626"/>
      <c r="G16" s="1626"/>
      <c r="H16" s="1626"/>
      <c r="I16" s="1280"/>
    </row>
    <row r="17" spans="1:36" ht="14.4">
      <c r="A17" s="1627" t="s">
        <v>1285</v>
      </c>
      <c r="B17" s="54"/>
      <c r="C17" s="124">
        <f>SUM(C5:C16)</f>
        <v>5</v>
      </c>
      <c r="D17" s="124">
        <f>SUM(D5:D16)</f>
        <v>5</v>
      </c>
      <c r="E17" s="121"/>
      <c r="F17" s="121"/>
      <c r="G17" s="121"/>
      <c r="H17" s="121"/>
      <c r="I17" s="121"/>
      <c r="K17" s="294"/>
      <c r="L17" s="294" t="s">
        <v>1286</v>
      </c>
      <c r="M17" s="294" t="s">
        <v>1287</v>
      </c>
    </row>
    <row r="18" spans="1:36" ht="31.95" customHeight="1" thickBot="1">
      <c r="A18" s="1628" t="s">
        <v>1288</v>
      </c>
      <c r="B18" s="1541"/>
      <c r="C18" s="125">
        <f>ROUND(C17/SUM(C17:D17),2)</f>
        <v>0.5</v>
      </c>
      <c r="D18" s="125">
        <f>1-C18</f>
        <v>0.5</v>
      </c>
      <c r="E18" s="3357" t="s">
        <v>2128</v>
      </c>
      <c r="F18" s="3358"/>
      <c r="G18" s="3358"/>
      <c r="H18" s="3358"/>
      <c r="I18" s="3358"/>
      <c r="K18" s="294" t="s">
        <v>1289</v>
      </c>
      <c r="L18" s="294">
        <f>IF(C1="",'数据-汇总表'!E3,SUMIF(项目类型,C1,'数据-汇总表'!E17:E26)+SUMIF(项目类型,C1,'数据-汇总表'!I17:I26))</f>
        <v>0</v>
      </c>
      <c r="M18" s="294">
        <f>IF(C1="",'数据-汇总表'!E3,SUMIF(项目类型,C1,'数据-汇总表'!E17:E26))</f>
        <v>0</v>
      </c>
    </row>
    <row r="19" spans="1:36" ht="14.4">
      <c r="A19" s="1629" t="s">
        <v>1290</v>
      </c>
      <c r="B19" s="1630" t="s">
        <v>1291</v>
      </c>
      <c r="C19" s="126">
        <f ca="1">SUMIF(INDIRECT("'"&amp;C4&amp;"'"&amp;"!A:A"),'结果表-住宅'!B19,INDIRECT("'"&amp;C4&amp;"'"&amp;"!B:B"))</f>
        <v>707.39009999999996</v>
      </c>
      <c r="D19" s="127">
        <f ca="1">SUMIF(INDIRECT("'"&amp;D4&amp;"'"&amp;"!A:A"),'结果表-住宅'!B19,INDIRECT("'"&amp;D4&amp;"'"&amp;"!B:B"))</f>
        <v>665</v>
      </c>
      <c r="E19" s="1629" t="s">
        <v>1292</v>
      </c>
      <c r="F19" s="1630" t="s">
        <v>1291</v>
      </c>
      <c r="G19" s="128">
        <f ca="1">ROUND(C19*$C$18+D19*$D$18,0)</f>
        <v>686</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SUMIF(INDIRECT("'"&amp;C4&amp;"'"&amp;"!A:A"),'结果表-住宅'!B20,INDIRECT("'"&amp;C4&amp;"'"&amp;"!B:B"))</f>
        <v>38044</v>
      </c>
      <c r="D20" s="130">
        <f ca="1">SUMIF(INDIRECT("'"&amp;D4&amp;"'"&amp;"!A:A"),'结果表-住宅'!B20,INDIRECT("'"&amp;D4&amp;"'"&amp;"!B:B"))</f>
        <v>35764</v>
      </c>
      <c r="E20" s="1632"/>
      <c r="F20" s="43" t="s">
        <v>1295</v>
      </c>
      <c r="G20" s="131">
        <f ca="1">ROUND(C20*$C$18+D20*$D$18,0)</f>
        <v>36904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6.3744511278195359E-2</v>
      </c>
      <c r="E22" s="121"/>
      <c r="F22" s="121"/>
      <c r="G22" s="121"/>
      <c r="H22" s="121"/>
      <c r="I22" s="121"/>
    </row>
    <row r="23" spans="1:36" ht="13.8" thickBot="1">
      <c r="A23" s="646"/>
      <c r="B23" s="646"/>
      <c r="C23" s="646"/>
      <c r="D23" s="646"/>
      <c r="E23" s="121"/>
      <c r="F23" s="121"/>
      <c r="G23" s="121"/>
      <c r="H23" s="121"/>
      <c r="I23" s="121"/>
    </row>
    <row r="24" spans="1:36" ht="14.4">
      <c r="A24" s="3341" t="s">
        <v>1299</v>
      </c>
      <c r="B24" s="1630" t="s">
        <v>1291</v>
      </c>
      <c r="C24" s="128">
        <f>IF(B30=0,0,D30)</f>
        <v>0</v>
      </c>
      <c r="D24" s="1636"/>
      <c r="E24" s="121"/>
      <c r="F24" s="121"/>
      <c r="G24" s="121"/>
      <c r="H24" s="121"/>
      <c r="I24" s="121"/>
    </row>
    <row r="25" spans="1:36" ht="14.4">
      <c r="A25" s="3342"/>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3" t="s">
        <v>2129</v>
      </c>
      <c r="F30" s="121"/>
      <c r="G30" s="121"/>
      <c r="H30" s="121"/>
      <c r="I30" s="121"/>
    </row>
    <row r="31" spans="1:36" s="2129" customFormat="1" ht="26.4" customHeight="1" thickTop="1" thickBot="1">
      <c r="A31" s="2124"/>
      <c r="B31" s="2125"/>
      <c r="C31" s="2125"/>
      <c r="D31" s="2125"/>
      <c r="E31" s="2125"/>
      <c r="F31" s="2125"/>
      <c r="G31" s="2125"/>
      <c r="H31" s="2125"/>
      <c r="I31" s="2126" t="s">
        <v>2130</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9" t="s">
        <v>1305</v>
      </c>
      <c r="B32" s="1534"/>
      <c r="C32" s="136">
        <f ca="1">IF(D32="总价",G19-C24,G20-C25)</f>
        <v>36904</v>
      </c>
      <c r="D32" s="1640" t="s">
        <v>3557</v>
      </c>
      <c r="E32" s="121"/>
      <c r="F32" s="121"/>
      <c r="G32" s="121"/>
      <c r="H32" s="121"/>
      <c r="I32" s="121"/>
    </row>
    <row r="33" spans="1:15" ht="14.4">
      <c r="A33" s="740" t="s">
        <v>1306</v>
      </c>
      <c r="B33" s="123"/>
      <c r="C33" s="1641" t="s">
        <v>3500</v>
      </c>
      <c r="D33" s="1642"/>
      <c r="E33" s="1643" t="s">
        <v>1307</v>
      </c>
      <c r="F33" s="1644" t="str">
        <f>IF(D32="楼面单价","取值（单价）","取值（总价）")</f>
        <v>取值（单价）</v>
      </c>
      <c r="G33" s="121"/>
      <c r="H33" s="121"/>
      <c r="I33" s="121"/>
    </row>
    <row r="34" spans="1:15" ht="14.4">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2"/>
      <c r="G34" s="121"/>
      <c r="H34" s="121"/>
      <c r="I34" s="121"/>
    </row>
    <row r="35" spans="1:15" ht="15" thickBot="1">
      <c r="A35" s="1648"/>
      <c r="B35" s="1649"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 thickBot="1">
      <c r="A36" s="3361" t="s">
        <v>1312</v>
      </c>
      <c r="B36" s="1651" t="s">
        <v>1313</v>
      </c>
      <c r="C36" s="137"/>
      <c r="D36" s="1652"/>
      <c r="E36" s="1566"/>
      <c r="F36" s="1653"/>
      <c r="G36" s="121"/>
      <c r="H36" s="121"/>
      <c r="I36" s="121"/>
    </row>
    <row r="37" spans="1:15" ht="15" thickBot="1">
      <c r="A37" s="3362"/>
      <c r="B37" s="1554" t="s">
        <v>1314</v>
      </c>
      <c r="C37" s="139"/>
      <c r="D37" s="1071"/>
      <c r="E37" s="1071"/>
      <c r="F37" s="1653"/>
      <c r="G37" s="121"/>
      <c r="H37" s="121"/>
      <c r="I37" s="121"/>
    </row>
    <row r="38" spans="1:15" ht="15" thickBot="1">
      <c r="A38" s="3363"/>
      <c r="B38" s="1654" t="s">
        <v>1315</v>
      </c>
      <c r="C38" s="641"/>
      <c r="D38" s="1655" t="s">
        <v>1316</v>
      </c>
      <c r="E38" s="1071"/>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38" t="s">
        <v>1326</v>
      </c>
      <c r="B45" s="3339"/>
      <c r="C45" s="3340"/>
      <c r="D45" s="3172">
        <f ca="1">M48</f>
        <v>33620</v>
      </c>
      <c r="E45" s="148" t="s">
        <v>1327</v>
      </c>
      <c r="F45" s="149">
        <v>1</v>
      </c>
      <c r="G45" s="150" t="s">
        <v>1328</v>
      </c>
      <c r="H45" s="121"/>
      <c r="I45" s="121"/>
      <c r="J45" s="3416" t="s">
        <v>1329</v>
      </c>
      <c r="K45" s="3416"/>
      <c r="L45" s="3416"/>
      <c r="M45" s="3416"/>
      <c r="N45" s="3416"/>
      <c r="O45" s="3416"/>
    </row>
    <row r="46" spans="1:15" ht="14.25" customHeight="1">
      <c r="A46" s="3335" t="s">
        <v>1330</v>
      </c>
      <c r="B46" s="3336"/>
      <c r="C46" s="3336"/>
      <c r="D46" s="3336"/>
      <c r="E46" s="3336"/>
      <c r="F46" s="3336"/>
      <c r="G46" s="3337"/>
      <c r="H46" s="1667"/>
      <c r="I46" s="151"/>
      <c r="J46" s="2306">
        <v>1</v>
      </c>
      <c r="K46" s="3397" t="s">
        <v>1331</v>
      </c>
      <c r="L46" s="3397"/>
      <c r="M46" s="3417"/>
      <c r="N46" s="3417"/>
      <c r="O46" s="3417"/>
    </row>
    <row r="47" spans="1:15" ht="12" customHeight="1">
      <c r="A47" s="152" t="s">
        <v>1332</v>
      </c>
      <c r="B47" s="153"/>
      <c r="C47" s="154"/>
      <c r="D47" s="1024" t="s">
        <v>1333</v>
      </c>
      <c r="E47" s="294" t="s">
        <v>1334</v>
      </c>
      <c r="F47" s="155" t="s">
        <v>1335</v>
      </c>
      <c r="G47" s="2329" t="s">
        <v>1336</v>
      </c>
      <c r="H47" s="2330"/>
      <c r="I47" s="151"/>
      <c r="J47" s="2306">
        <v>2</v>
      </c>
      <c r="K47" s="3397" t="s">
        <v>1337</v>
      </c>
      <c r="L47" s="3397"/>
      <c r="M47" s="3418">
        <f>'数据-取费表'!B2</f>
        <v>45826</v>
      </c>
      <c r="N47" s="3418"/>
      <c r="O47" s="3418"/>
    </row>
    <row r="48" spans="1:15" ht="26.4">
      <c r="A48" s="3366" t="s">
        <v>1338</v>
      </c>
      <c r="B48" s="3349"/>
      <c r="C48" s="3349"/>
      <c r="D48" s="12">
        <f ca="1">IF(H48="情况1",0,IF(H48="情况2",D52,IF(H48="情况3",D53,IF(H48="情况4",D54))))</f>
        <v>1793</v>
      </c>
      <c r="E48" s="1255" t="str">
        <f>IF(H48="情况4","(销售额-原购置价)×税（费）率","销售额×税（费）率")</f>
        <v>销售额×税（费）率</v>
      </c>
      <c r="F48" s="2331">
        <f>IF(H48="情况1","免征",'数据-取费表'!B41)</f>
        <v>5.6000000000000001E-2</v>
      </c>
      <c r="G48" s="2332" t="s">
        <v>1339</v>
      </c>
      <c r="H48" s="2333" t="s">
        <v>3585</v>
      </c>
      <c r="I48" s="1667"/>
      <c r="J48" s="2306">
        <v>3</v>
      </c>
      <c r="K48" s="3397" t="s">
        <v>1340</v>
      </c>
      <c r="L48" s="3397"/>
      <c r="M48" s="3419">
        <f ca="1">典型户型修正!S22</f>
        <v>33620</v>
      </c>
      <c r="N48" s="3419"/>
      <c r="O48" s="3419"/>
    </row>
    <row r="49" spans="1:35" ht="25.5" customHeight="1">
      <c r="A49" s="2148" t="s">
        <v>1341</v>
      </c>
      <c r="B49" s="3333" t="s">
        <v>1342</v>
      </c>
      <c r="C49" s="3333"/>
      <c r="D49" s="1477">
        <v>0</v>
      </c>
      <c r="E49" s="316" t="s">
        <v>1343</v>
      </c>
      <c r="F49" s="2229" t="s">
        <v>28</v>
      </c>
      <c r="G49" s="3403"/>
      <c r="H49" s="2130" t="s">
        <v>2131</v>
      </c>
      <c r="I49" s="2131"/>
      <c r="J49" s="2306">
        <v>4</v>
      </c>
      <c r="K49" s="3397" t="str">
        <f>IF(项目基本情况!E8="房地产抵押价值","房地产抵押价值","抵押担保权已注销时的房地产抵押价值")</f>
        <v>房地产抵押价值</v>
      </c>
      <c r="L49" s="3397"/>
      <c r="M49" s="3420">
        <f ca="1">M48</f>
        <v>33620</v>
      </c>
      <c r="N49" s="3420"/>
      <c r="O49" s="3420"/>
    </row>
    <row r="50" spans="1:35" ht="25.5" customHeight="1">
      <c r="A50" s="2334"/>
      <c r="B50" s="3333" t="s">
        <v>1344</v>
      </c>
      <c r="C50" s="3333"/>
      <c r="D50" s="2185"/>
      <c r="E50" s="323"/>
      <c r="F50" s="2229"/>
      <c r="G50" s="3404"/>
      <c r="H50" s="2132" t="s">
        <v>2132</v>
      </c>
      <c r="I50" s="2131"/>
      <c r="J50" s="3416" t="s">
        <v>1345</v>
      </c>
      <c r="K50" s="3416"/>
      <c r="L50" s="3416"/>
      <c r="M50" s="3416"/>
      <c r="N50" s="3416"/>
      <c r="O50" s="3416"/>
    </row>
    <row r="51" spans="1:35" ht="20.399999999999999" customHeight="1">
      <c r="A51" s="2335"/>
      <c r="B51" s="3333" t="s">
        <v>1346</v>
      </c>
      <c r="C51" s="3333"/>
      <c r="D51" s="1024"/>
      <c r="E51" s="319"/>
      <c r="F51" s="2229"/>
      <c r="G51" s="3405"/>
      <c r="H51" s="2132" t="s">
        <v>2133</v>
      </c>
      <c r="I51" s="2131"/>
      <c r="J51" s="2307" t="s">
        <v>1347</v>
      </c>
      <c r="K51" s="3397" t="s">
        <v>1348</v>
      </c>
      <c r="L51" s="3397"/>
      <c r="M51" s="2307" t="s">
        <v>1349</v>
      </c>
      <c r="N51" s="2307" t="s">
        <v>1350</v>
      </c>
      <c r="O51" s="2307" t="s">
        <v>1351</v>
      </c>
    </row>
    <row r="52" spans="1:35" ht="24" customHeight="1">
      <c r="A52" s="2149" t="s">
        <v>1352</v>
      </c>
      <c r="B52" s="3333" t="s">
        <v>1353</v>
      </c>
      <c r="C52" s="3333"/>
      <c r="D52" s="1024">
        <f ca="1">ROUND(D45*'数据-取费表'!B41/(1+'数据-取费表'!C42),0)</f>
        <v>1793</v>
      </c>
      <c r="E52" s="1255" t="s">
        <v>1354</v>
      </c>
      <c r="F52" s="2336">
        <f>'数据-取费表'!B41</f>
        <v>5.6000000000000001E-2</v>
      </c>
      <c r="G52" s="2337"/>
      <c r="H52" s="2327"/>
      <c r="I52" s="1668"/>
      <c r="J52" s="2306">
        <v>1</v>
      </c>
      <c r="K52" s="3398" t="s">
        <v>1355</v>
      </c>
      <c r="L52" s="3398"/>
      <c r="M52" s="2308">
        <f ca="1">D48</f>
        <v>1793</v>
      </c>
      <c r="N52" s="2306" t="str">
        <f>E48</f>
        <v>销售额×税（费）率</v>
      </c>
      <c r="O52" s="2309">
        <f>F48</f>
        <v>5.6000000000000001E-2</v>
      </c>
    </row>
    <row r="53" spans="1:35" ht="12" customHeight="1">
      <c r="A53" s="2149" t="s">
        <v>1356</v>
      </c>
      <c r="B53" s="3359" t="s">
        <v>2288</v>
      </c>
      <c r="C53" s="3360"/>
      <c r="D53" s="1024">
        <f ca="1">ROUND(D45*'数据-取费表'!B41/(1+'数据-取费表'!C42),0)</f>
        <v>1793</v>
      </c>
      <c r="E53" s="1255" t="s">
        <v>1354</v>
      </c>
      <c r="F53" s="2336">
        <f>'数据-取费表'!B41</f>
        <v>5.6000000000000001E-2</v>
      </c>
      <c r="G53" s="2337"/>
      <c r="H53" s="2327"/>
      <c r="I53" s="1668"/>
      <c r="J53" s="2306">
        <v>2</v>
      </c>
      <c r="K53" s="3398" t="s">
        <v>1357</v>
      </c>
      <c r="L53" s="3398"/>
      <c r="M53" s="2308">
        <f t="shared" ref="M53:O54" ca="1" si="0">D55</f>
        <v>17</v>
      </c>
      <c r="N53" s="2306" t="str">
        <f t="shared" si="0"/>
        <v>销售额×税（费）率</v>
      </c>
      <c r="O53" s="2309">
        <f t="shared" si="0"/>
        <v>5.0000000000000001E-4</v>
      </c>
    </row>
    <row r="54" spans="1:35" ht="12" customHeight="1">
      <c r="A54" s="2149" t="s">
        <v>1358</v>
      </c>
      <c r="B54" s="3359" t="s">
        <v>2289</v>
      </c>
      <c r="C54" s="3360"/>
      <c r="D54" s="1024">
        <f ca="1">C68</f>
        <v>1793</v>
      </c>
      <c r="E54" s="319" t="s">
        <v>1359</v>
      </c>
      <c r="F54" s="2336">
        <f>'数据-取费表'!B41</f>
        <v>5.6000000000000001E-2</v>
      </c>
      <c r="G54" s="2337"/>
      <c r="H54" s="2338"/>
      <c r="I54" s="1668"/>
      <c r="J54" s="2306">
        <v>3</v>
      </c>
      <c r="K54" s="3398" t="s">
        <v>1360</v>
      </c>
      <c r="L54" s="3398"/>
      <c r="M54" s="2308">
        <f t="shared" ca="1" si="0"/>
        <v>1612</v>
      </c>
      <c r="N54" s="2306" t="str">
        <f t="shared" si="0"/>
        <v>增值额×税（费）率</v>
      </c>
      <c r="O54" s="2310" t="str">
        <f t="shared" si="0"/>
        <v>——</v>
      </c>
    </row>
    <row r="55" spans="1:35" ht="24" customHeight="1">
      <c r="A55" s="3348" t="s">
        <v>1361</v>
      </c>
      <c r="B55" s="3349"/>
      <c r="C55" s="3349"/>
      <c r="D55" s="12">
        <f ca="1">IF(H55="个人住宅",0,ROUND(D45*I55,0))</f>
        <v>17</v>
      </c>
      <c r="E55" s="1255" t="s">
        <v>1362</v>
      </c>
      <c r="F55" s="2336">
        <f>IF(H55="正常",I55,"免征")</f>
        <v>5.0000000000000001E-4</v>
      </c>
      <c r="G55" s="2337"/>
      <c r="H55" s="2333" t="s">
        <v>3489</v>
      </c>
      <c r="I55" s="157">
        <f>'数据-取费表'!B49</f>
        <v>5.0000000000000001E-4</v>
      </c>
      <c r="J55" s="2306" t="str">
        <f>IF(H59="非个人房产","",4)</f>
        <v/>
      </c>
      <c r="K55" s="3398" t="str">
        <f>IF(H59="非个人房产","——","个人所得税")</f>
        <v>——</v>
      </c>
      <c r="L55" s="3398"/>
      <c r="M55" s="2311" t="str">
        <f>D59</f>
        <v>——</v>
      </c>
      <c r="N55" s="1879" t="str">
        <f>E59</f>
        <v>——</v>
      </c>
      <c r="O55" s="2312" t="str">
        <f>F59</f>
        <v>——</v>
      </c>
    </row>
    <row r="56" spans="1:35" ht="25.2">
      <c r="A56" s="3348" t="s">
        <v>1363</v>
      </c>
      <c r="B56" s="3349"/>
      <c r="C56" s="3349"/>
      <c r="D56" s="12">
        <f ca="1">IF(H56="个人住宅",D57,D58)</f>
        <v>1612</v>
      </c>
      <c r="E56" s="1255" t="s">
        <v>1364</v>
      </c>
      <c r="F56" s="2336" t="str">
        <f>IF(H56="正常",F58,"免征")</f>
        <v>——</v>
      </c>
      <c r="G56" s="2339" t="s">
        <v>1365</v>
      </c>
      <c r="H56" s="2340" t="s">
        <v>3489</v>
      </c>
      <c r="I56" s="1669"/>
      <c r="J56" s="2306" t="str">
        <f>IF(项目基本情况!K6="上海银行",IF(J55="",4,J55+1),"")</f>
        <v/>
      </c>
      <c r="K56" s="3422" t="str">
        <f>IF(项目基本情况!K6="上海银行","其他处置费用","")</f>
        <v/>
      </c>
      <c r="L56" s="3423"/>
      <c r="M56" s="2308" t="str">
        <f>IF(项目基本情况!K6="上海银行",M69,"")</f>
        <v/>
      </c>
      <c r="N56" s="3422" t="str">
        <f>IF(项目基本情况!K6="上海银行","包含处置中涉及的律师、诉讼、拍卖、评估等费用","")</f>
        <v/>
      </c>
      <c r="O56" s="3425"/>
    </row>
    <row r="57" spans="1:35" ht="13.2">
      <c r="A57" s="2149" t="s">
        <v>1341</v>
      </c>
      <c r="B57" s="3359" t="s">
        <v>1366</v>
      </c>
      <c r="C57" s="3360"/>
      <c r="D57" s="1477">
        <v>0</v>
      </c>
      <c r="E57" s="316" t="s">
        <v>1343</v>
      </c>
      <c r="F57" s="294"/>
      <c r="G57" s="2337"/>
      <c r="H57" s="2341"/>
      <c r="I57" s="1669"/>
      <c r="J57" s="3398">
        <f>IF(AND(J55="",J56=""),4,IF(项目基本情况!K6="上海银行",'结果表-住宅'!J56+1,'结果表-住宅'!J55+1))</f>
        <v>4</v>
      </c>
      <c r="K57" s="3398" t="s">
        <v>1367</v>
      </c>
      <c r="L57" s="2313" t="s">
        <v>1368</v>
      </c>
      <c r="M57" s="2314"/>
      <c r="N57" s="2315">
        <f ca="1">SUMIF(M52:M56,"&lt;9e307")</f>
        <v>3422</v>
      </c>
      <c r="O57" s="2316"/>
      <c r="P57" s="2460">
        <f ca="1">N57/M49</f>
        <v>0.10178465199286139</v>
      </c>
    </row>
    <row r="58" spans="1:35" ht="25.2">
      <c r="A58" s="2149" t="s">
        <v>1352</v>
      </c>
      <c r="B58" s="3359" t="s">
        <v>1369</v>
      </c>
      <c r="C58" s="3333"/>
      <c r="D58" s="12">
        <f ca="1">IF(H58="转让取得",C81,C97)</f>
        <v>1612</v>
      </c>
      <c r="E58" s="1255" t="s">
        <v>1364</v>
      </c>
      <c r="F58" s="294" t="s">
        <v>28</v>
      </c>
      <c r="G58" s="2337"/>
      <c r="H58" s="2340" t="s">
        <v>3586</v>
      </c>
      <c r="I58" s="1669"/>
      <c r="J58" s="3398"/>
      <c r="K58" s="3398"/>
      <c r="L58" s="2313" t="s">
        <v>1370</v>
      </c>
      <c r="M58" s="2317"/>
      <c r="N58" s="2318" t="str">
        <f ca="1">NUMBERSTRING(INT(N57*10000),2)&amp;"元整"</f>
        <v>叁仟肆佰贰拾贰万元整</v>
      </c>
      <c r="O58" s="2319"/>
    </row>
    <row r="59" spans="1:35" ht="24.6" thickBot="1">
      <c r="A59" s="3401" t="s">
        <v>1371</v>
      </c>
      <c r="B59" s="3402"/>
      <c r="C59" s="3402"/>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1365</v>
      </c>
      <c r="H59" s="2134" t="s">
        <v>3587</v>
      </c>
      <c r="I59" s="2133" t="s">
        <v>2134</v>
      </c>
      <c r="J59" s="3399">
        <f>J57+1</f>
        <v>5</v>
      </c>
      <c r="K59" s="3398" t="s">
        <v>1372</v>
      </c>
      <c r="L59" s="2306" t="s">
        <v>1368</v>
      </c>
      <c r="M59" s="2320"/>
      <c r="N59" s="2321">
        <f ca="1">M49-N57</f>
        <v>30198</v>
      </c>
      <c r="O59" s="2322"/>
    </row>
    <row r="60" spans="1:35" ht="12" customHeight="1">
      <c r="A60" s="1670"/>
      <c r="B60" s="646"/>
      <c r="C60" s="646"/>
      <c r="D60" s="646"/>
      <c r="E60" s="1465"/>
      <c r="F60" s="1669"/>
      <c r="G60" s="1669"/>
      <c r="H60" s="151"/>
      <c r="I60" s="121"/>
      <c r="J60" s="3400"/>
      <c r="K60" s="3398"/>
      <c r="L60" s="2313" t="s">
        <v>1370</v>
      </c>
      <c r="M60" s="2317"/>
      <c r="N60" s="2318" t="str">
        <f ca="1">NUMBERSTRING(INT(N59*10000),2)&amp;"元整"</f>
        <v>叁亿零壹佰玖拾捌万元整</v>
      </c>
      <c r="O60" s="2319"/>
    </row>
    <row r="61" spans="1:35" ht="13.8" thickBot="1">
      <c r="A61" s="3346" t="s">
        <v>1373</v>
      </c>
      <c r="B61" s="3346"/>
      <c r="C61" s="3346"/>
      <c r="D61" s="3346"/>
      <c r="E61" s="3346"/>
      <c r="F61" s="1669"/>
      <c r="G61" s="1669"/>
      <c r="H61" s="151"/>
      <c r="I61" s="121"/>
      <c r="J61" s="2306">
        <f>J59+1</f>
        <v>6</v>
      </c>
      <c r="K61" s="3398" t="s">
        <v>1374</v>
      </c>
      <c r="L61" s="3398"/>
      <c r="M61" s="2323"/>
      <c r="N61" s="2324">
        <f ca="1">ROUND(N59*10000/'数据-汇总表'!E3,0)</f>
        <v>1393668</v>
      </c>
      <c r="O61" s="2325"/>
    </row>
    <row r="62" spans="1:35" ht="13.2">
      <c r="A62" s="3364" t="s">
        <v>1375</v>
      </c>
      <c r="B62" s="3365"/>
      <c r="C62" s="1861"/>
      <c r="D62" s="1861" t="s">
        <v>1376</v>
      </c>
      <c r="E62" s="158" t="s">
        <v>1377</v>
      </c>
      <c r="F62" s="1669"/>
      <c r="G62" s="1669"/>
      <c r="H62" s="151"/>
      <c r="I62" s="121"/>
    </row>
    <row r="63" spans="1:35" ht="13.2">
      <c r="A63" s="165" t="s">
        <v>330</v>
      </c>
      <c r="B63" s="159" t="s">
        <v>1378</v>
      </c>
      <c r="C63" s="2346">
        <f ca="1">ROUND((C64+C65)/(1+'数据-取费表'!C42),0)</f>
        <v>32019</v>
      </c>
      <c r="D63" s="159"/>
      <c r="E63" s="160"/>
      <c r="F63" s="1669"/>
      <c r="G63" s="1669"/>
      <c r="H63" s="151"/>
      <c r="I63" s="121"/>
      <c r="J63" s="3424" t="s">
        <v>1379</v>
      </c>
      <c r="K63" s="1244" t="s">
        <v>1380</v>
      </c>
      <c r="L63" s="1244">
        <f ca="1">IF(M49&gt;10000,M49*0.5%,IF(AND(M49&gt;1000,M49&lt;=10000),M49*1%,IF(AND(M49&gt;100,M49&lt;=1000),M49*3%,IF(AND(M49&gt;10,M49&lt;=100),M49*5%,M49*8%))))</f>
        <v>168.1</v>
      </c>
      <c r="M63" s="294">
        <f ca="1">ROUND(L63,1)</f>
        <v>168.1</v>
      </c>
      <c r="N63" s="2326"/>
      <c r="Z63" s="1622"/>
      <c r="AI63" s="1560"/>
    </row>
    <row r="64" spans="1:35" ht="14.25" customHeight="1">
      <c r="A64" s="161" t="s">
        <v>325</v>
      </c>
      <c r="B64" s="162" t="s">
        <v>1381</v>
      </c>
      <c r="C64" s="2347">
        <f ca="1">D45</f>
        <v>33620</v>
      </c>
      <c r="D64" s="162" t="s">
        <v>26</v>
      </c>
      <c r="E64" s="164"/>
      <c r="F64" s="1669"/>
      <c r="G64" s="1669"/>
      <c r="H64" s="151"/>
      <c r="I64" s="121"/>
      <c r="J64" s="3424"/>
      <c r="K64" s="1244" t="s">
        <v>1382</v>
      </c>
      <c r="L64" s="1244">
        <f ca="1">IF(M49&gt;2000,M49*0.5%,IF(AND(M49&gt;1000,M49&lt;=2000),M49*0.6%,IF(AND(M49&gt;500,M49&lt;=1000),M49*0.7%,IF(AND(M49&gt;200,M49&lt;=500),M49*0.8%,IF(AND(M49&gt;100,M49&lt;=200),M49*0.9%,IF(AND(M49&gt;50,M49&lt;=100),M49*1%,IF(AND(M49&gt;20,M49&lt;=50),M49*1.5%,IF(AND(M49&gt;10,M49&lt;=20),M49*2%,IF(AND(M49&gt;1,M49&lt;=10),M49*2.5%)))))))))</f>
        <v>168.1</v>
      </c>
      <c r="M64" s="294">
        <f t="shared" ref="M64:M65" ca="1" si="1">ROUND(L64,1)</f>
        <v>168.1</v>
      </c>
      <c r="N64" s="2327" t="s">
        <v>1383</v>
      </c>
      <c r="Z64" s="1622"/>
      <c r="AI64" s="1560"/>
    </row>
    <row r="65" spans="1:35" ht="14.25" customHeight="1">
      <c r="A65" s="161" t="s">
        <v>326</v>
      </c>
      <c r="B65" s="162" t="s">
        <v>1384</v>
      </c>
      <c r="C65" s="2348"/>
      <c r="D65" s="162"/>
      <c r="E65" s="164"/>
      <c r="F65" s="1669"/>
      <c r="G65" s="1669"/>
      <c r="H65" s="151"/>
      <c r="I65" s="121"/>
      <c r="J65" s="3424"/>
      <c r="K65" s="1244" t="s">
        <v>1385</v>
      </c>
      <c r="L65" s="1244">
        <f ca="1">IF(M49&gt;1000,M49*0.1%,IF(AND(M49&gt;500,M49&lt;=1000),M49*0.5%,IF(AND(M49&gt;50,M49&lt;=500),M49*1%,IF(AND(M49&gt;1,M49&lt;=50),M49*1.5%))))</f>
        <v>33.619999999999997</v>
      </c>
      <c r="M65" s="294">
        <f t="shared" ca="1" si="1"/>
        <v>33.6</v>
      </c>
      <c r="N65" s="2327" t="s">
        <v>1383</v>
      </c>
      <c r="Z65" s="1622"/>
      <c r="AI65" s="1560"/>
    </row>
    <row r="66" spans="1:35" ht="14.25" customHeight="1">
      <c r="A66" s="165" t="s">
        <v>327</v>
      </c>
      <c r="B66" s="166" t="s">
        <v>1386</v>
      </c>
      <c r="C66" s="2349"/>
      <c r="D66" s="166" t="s">
        <v>26</v>
      </c>
      <c r="E66" s="1250" t="s">
        <v>671</v>
      </c>
      <c r="F66" s="1669"/>
      <c r="G66" s="1669"/>
      <c r="H66" s="151"/>
      <c r="I66" s="121"/>
      <c r="J66" s="3424"/>
      <c r="K66" s="1244" t="s">
        <v>1387</v>
      </c>
      <c r="L66" s="1244">
        <f ca="1">M49*0.5%</f>
        <v>168.1</v>
      </c>
      <c r="M66" s="294">
        <f ca="1">IF(L66&gt;0.5,0.5,ROUND(L66,0))</f>
        <v>0.5</v>
      </c>
      <c r="N66" s="2327" t="s">
        <v>1388</v>
      </c>
      <c r="Z66" s="1622"/>
      <c r="AI66" s="1560"/>
    </row>
    <row r="67" spans="1:35" ht="14.25" customHeight="1">
      <c r="A67" s="165" t="s">
        <v>328</v>
      </c>
      <c r="B67" s="166" t="s">
        <v>1389</v>
      </c>
      <c r="C67" s="2350">
        <f ca="1">C63-C66</f>
        <v>32019</v>
      </c>
      <c r="D67" s="162" t="s">
        <v>26</v>
      </c>
      <c r="E67" s="164"/>
      <c r="F67" s="1669"/>
      <c r="G67" s="1669"/>
      <c r="H67" s="151"/>
      <c r="I67" s="121"/>
      <c r="J67" s="3424"/>
      <c r="K67" s="1244" t="s">
        <v>1390</v>
      </c>
      <c r="L67" s="1244">
        <f ca="1">IF(M49&gt;=10000,(8.25+(M49-10000)*0.01%),IF(AND(M49&gt;=8000,M49&lt;10000),(7.85+(M49-8000)*0.02%),IF(AND(M49&gt;=5000,M49&lt;8000),(6.65+(M49-5000)*0.04%),IF(AND(M49&gt;=2000,M49&lt;5000),(4.25+(PM49-2000)*0.08%),IF(AND(M49&gt;=1000,M49&lt;2000),(2.75+(M49-1000)*0.15%),IF(AND(M49&gt;=100,M49&lt;1000),(0.5+(M49-100)*0.25%),IF(AND(M49&gt;0,M49&lt;100),M49*0.5%)))))))</f>
        <v>10.612</v>
      </c>
      <c r="M67" s="294">
        <f ca="1">ROUND(L67*0.9,1)</f>
        <v>9.6</v>
      </c>
      <c r="N67" s="2326"/>
      <c r="Z67" s="1622"/>
      <c r="AI67" s="1560"/>
    </row>
    <row r="68" spans="1:35" ht="14.25" customHeight="1" thickBot="1">
      <c r="A68" s="168" t="s">
        <v>329</v>
      </c>
      <c r="B68" s="169" t="s">
        <v>1391</v>
      </c>
      <c r="C68" s="2351">
        <f ca="1">IF(C67&lt;=0,0,ROUND(C67*D68,0))</f>
        <v>1793</v>
      </c>
      <c r="D68" s="2352">
        <f>'数据-取费表'!B41</f>
        <v>5.6000000000000001E-2</v>
      </c>
      <c r="E68" s="170"/>
      <c r="F68" s="1669"/>
      <c r="G68" s="1669"/>
      <c r="H68" s="151"/>
      <c r="I68" s="121"/>
      <c r="J68" s="3424"/>
      <c r="K68" s="1244" t="s">
        <v>1392</v>
      </c>
      <c r="L68" s="1244">
        <f ca="1">IF(M49&gt;10000,M49*0.5%,IF(AND(M49&gt;5000,M49&lt;=10000),M49*1%,IF(AND(M49&gt;1000,M49&lt;=5000),M49*2%,IF(AND(M49&gt;200,M49&lt;=1000),M49*3%,M49*5%))))</f>
        <v>168.1</v>
      </c>
      <c r="M68" s="294">
        <f ca="1">ROUND(L68,1)</f>
        <v>168.1</v>
      </c>
      <c r="N68" s="2326"/>
      <c r="Z68" s="1622"/>
      <c r="AI68" s="1560"/>
    </row>
    <row r="69" spans="1:35" ht="16.5" customHeight="1">
      <c r="A69" s="1671"/>
      <c r="B69" s="1672"/>
      <c r="C69" s="1673"/>
      <c r="D69" s="1674"/>
      <c r="E69" s="1675"/>
      <c r="F69" s="1465"/>
      <c r="G69" s="1465"/>
      <c r="H69" s="1466"/>
      <c r="I69" s="646"/>
      <c r="J69" s="3424"/>
      <c r="K69" s="1244" t="s">
        <v>1393</v>
      </c>
      <c r="L69" s="1244"/>
      <c r="M69" s="294">
        <f ca="1">ROUND(SUM(M63:M68),0)</f>
        <v>548</v>
      </c>
      <c r="N69" s="2328">
        <f ca="1">M69/M49</f>
        <v>1.6299821534800713E-2</v>
      </c>
      <c r="Z69" s="1622"/>
      <c r="AI69" s="1560"/>
    </row>
    <row r="70" spans="1:35" s="642" customFormat="1" ht="14.4" thickBot="1">
      <c r="A70" s="3385" t="s">
        <v>1394</v>
      </c>
      <c r="B70" s="3386"/>
      <c r="C70" s="3386"/>
      <c r="D70" s="3386"/>
      <c r="E70" s="3386"/>
      <c r="F70" s="3386"/>
      <c r="G70" s="3386"/>
      <c r="H70" s="338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364" t="s">
        <v>1375</v>
      </c>
      <c r="B71" s="3365"/>
      <c r="C71" s="1861"/>
      <c r="D71" s="1861"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0">
        <f ca="1">ROUND(D45/(1+'数据-取费表'!C42),0)</f>
        <v>32019</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0">
        <f ca="1">C74+C78</f>
        <v>192</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3"/>
      <c r="D75" s="162" t="s">
        <v>26</v>
      </c>
      <c r="E75" s="176" t="s">
        <v>1399</v>
      </c>
      <c r="F75" s="2354"/>
      <c r="G75" s="176" t="s">
        <v>1400</v>
      </c>
      <c r="H75" s="2355"/>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6">
        <v>0.05</v>
      </c>
      <c r="E76" s="3359" t="s">
        <v>1402</v>
      </c>
      <c r="F76" s="3333"/>
      <c r="G76" s="3333"/>
      <c r="H76" s="338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8">
        <f ca="1">ROUND(D45*D78/(1+'数据-取费表'!C42),0)</f>
        <v>192</v>
      </c>
      <c r="D78" s="2359">
        <f>'数据-取费表'!B43</f>
        <v>6.000000000000001E-3</v>
      </c>
      <c r="E78" s="3343" t="s">
        <v>1406</v>
      </c>
      <c r="F78" s="3344"/>
      <c r="G78" s="3344"/>
      <c r="H78" s="335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0">
        <f ca="1">C72-C73</f>
        <v>31827</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0">
        <f ca="1">IF(C79&lt;=0,0,C79/C73)</f>
        <v>165.765625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1">
        <f ca="1">ROUND(IF(C79&lt;=0,0,IF(C80&gt;=200%,C79*60%-C73*35%,IF(C80&gt;=100%,C79*50%-C73*15%,IF(C80&gt;=50%,C79*40%-C73*5%,IF(C80&lt;50%,C79*30%,0))))),0)</f>
        <v>19029</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85" t="s">
        <v>1410</v>
      </c>
      <c r="B83" s="3386"/>
      <c r="C83" s="3386"/>
      <c r="D83" s="3386"/>
      <c r="E83" s="3386"/>
      <c r="F83" s="3386"/>
      <c r="G83" s="3386"/>
      <c r="H83" s="338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364" t="s">
        <v>1375</v>
      </c>
      <c r="B84" s="3365"/>
      <c r="C84" s="1861"/>
      <c r="D84" s="1861"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0">
        <f ca="1">ROUND(D45/(1+'数据-取费表'!C42),0)</f>
        <v>32019</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0">
        <f ca="1">IF(H88="仅含出让金",C87+C90+C91+C92+C93+C94,C87+C91+C92+C93+C94)</f>
        <v>26647</v>
      </c>
      <c r="D86" s="2363"/>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58">
        <f>C88+C89</f>
        <v>14568</v>
      </c>
      <c r="D87" s="2359"/>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26.4">
      <c r="A88" s="161" t="s">
        <v>331</v>
      </c>
      <c r="B88" s="162" t="s">
        <v>1412</v>
      </c>
      <c r="C88" s="2364">
        <f>住宅面积信息!B7</f>
        <v>14137</v>
      </c>
      <c r="D88" s="2359"/>
      <c r="E88" s="185" t="s">
        <v>1413</v>
      </c>
      <c r="F88" s="2144"/>
      <c r="G88" s="186" t="s">
        <v>1414</v>
      </c>
      <c r="H88" s="1683" t="s">
        <v>3588</v>
      </c>
      <c r="I88" s="1680"/>
      <c r="J88" s="2304" t="s">
        <v>2285</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58">
        <f>ROUND(C88*D89,0)</f>
        <v>431</v>
      </c>
      <c r="D89" s="2359">
        <f>'数据-取费表'!B48+'数据-取费表'!B49</f>
        <v>3.0499999999999999E-2</v>
      </c>
      <c r="E89" s="185" t="s">
        <v>1415</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4"/>
      <c r="D90" s="2359"/>
      <c r="E90" s="185" t="str">
        <f>IF(H88="-","土地取得成本中已包含该笔费用"," ")</f>
        <v xml:space="preserve"> </v>
      </c>
      <c r="F90" s="2144"/>
      <c r="G90" s="3426" t="s">
        <v>2126</v>
      </c>
      <c r="H90" s="3427"/>
      <c r="I90" s="1680"/>
      <c r="J90" s="2304" t="s">
        <v>2286</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8">
        <f>IF(H91="——",'成本法-住宅'!C33,I91)</f>
        <v>5782</v>
      </c>
      <c r="D91" s="2359"/>
      <c r="E91" s="3343" t="s">
        <v>1419</v>
      </c>
      <c r="F91" s="3344"/>
      <c r="G91" s="3344"/>
      <c r="H91" s="1684" t="s">
        <v>3589</v>
      </c>
      <c r="I91" s="1685">
        <f>住宅面积信息!C7</f>
        <v>5782</v>
      </c>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8">
        <f>ROUND((C87+C90+C91)*D92,0)</f>
        <v>2035</v>
      </c>
      <c r="D92" s="2365">
        <v>0.1</v>
      </c>
      <c r="E92" s="3343" t="s">
        <v>1422</v>
      </c>
      <c r="F92" s="3344"/>
      <c r="G92" s="3344"/>
      <c r="H92" s="3353"/>
      <c r="I92" s="1680"/>
      <c r="J92" s="2305" t="s">
        <v>2287</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8">
        <f ca="1">ROUND(D45*D93/(1+'数据-取费表'!C42),0)</f>
        <v>192</v>
      </c>
      <c r="D93" s="2359">
        <f>'数据-取费表'!B43</f>
        <v>6.000000000000001E-3</v>
      </c>
      <c r="E93" s="3343" t="s">
        <v>1406</v>
      </c>
      <c r="F93" s="3344"/>
      <c r="G93" s="3344"/>
      <c r="H93" s="335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4">
        <f>ROUND((C87+C90+C91)*D94,0)</f>
        <v>4070</v>
      </c>
      <c r="D94" s="2359">
        <v>0.2</v>
      </c>
      <c r="E94" s="3354" t="s">
        <v>1426</v>
      </c>
      <c r="F94" s="3355"/>
      <c r="G94" s="3355"/>
      <c r="H94" s="335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0">
        <f ca="1">ROUND(C85-C86,0)</f>
        <v>5372</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0">
        <f ca="1">IF(C95&lt;=0,0,C95/C86)</f>
        <v>0.20159867902578152</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1">
        <f ca="1">ROUND(IF(C95&lt;=0,0,IF(C96&gt;=200%,C95*60%-C86*35%,IF(C96&gt;=100%,C95*50%-C86*15%,IF(C96&gt;=50%,C95*40%-C86*5%,IF(C96&lt;50%,C95*30%,0))))),0)</f>
        <v>1612</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327" t="s">
        <v>1428</v>
      </c>
      <c r="B100" s="3328"/>
      <c r="C100" s="3328"/>
      <c r="D100" s="3345"/>
      <c r="E100" s="3328" t="s">
        <v>1429</v>
      </c>
      <c r="F100" s="3328"/>
      <c r="G100" s="3328"/>
      <c r="H100" s="3345"/>
      <c r="I100" s="121"/>
    </row>
    <row r="101" spans="1:35" ht="18.75" customHeight="1">
      <c r="A101" s="3406" t="s">
        <v>1430</v>
      </c>
      <c r="B101" s="3407"/>
      <c r="C101" s="2367" t="str">
        <f>C4</f>
        <v>比较法-住宅</v>
      </c>
      <c r="D101" s="2368" t="str">
        <f>D4</f>
        <v>成本法-住宅</v>
      </c>
      <c r="E101" s="3421" t="s">
        <v>1431</v>
      </c>
      <c r="F101" s="3377"/>
      <c r="G101" s="1686" t="s">
        <v>1432</v>
      </c>
      <c r="H101" s="2377">
        <f ca="1">H118</f>
        <v>0</v>
      </c>
      <c r="I101" s="121"/>
    </row>
    <row r="102" spans="1:35" ht="18.75" customHeight="1">
      <c r="A102" s="3379" t="s">
        <v>1433</v>
      </c>
      <c r="B102" s="2366" t="s">
        <v>1432</v>
      </c>
      <c r="C102" s="2367">
        <f ca="1">IF(D32="楼面单价",ROUND(C19,0),C19)</f>
        <v>707</v>
      </c>
      <c r="D102" s="2368">
        <f ca="1">IF(D32="楼面单价",ROUND(D19,0),D19)</f>
        <v>665</v>
      </c>
      <c r="E102" s="3421"/>
      <c r="F102" s="3377"/>
      <c r="G102" s="1686" t="s">
        <v>1434</v>
      </c>
      <c r="H102" s="2337">
        <f ca="1">I118</f>
        <v>36904</v>
      </c>
      <c r="I102" s="121"/>
    </row>
    <row r="103" spans="1:35" ht="42.75" customHeight="1">
      <c r="A103" s="3379"/>
      <c r="B103" s="2366" t="s">
        <v>1434</v>
      </c>
      <c r="C103" s="2369">
        <f ca="1">C20</f>
        <v>38044</v>
      </c>
      <c r="D103" s="2370">
        <f ca="1">D20</f>
        <v>35764</v>
      </c>
      <c r="E103" s="3414" t="s">
        <v>1435</v>
      </c>
      <c r="F103" s="3415"/>
      <c r="G103" s="1687" t="s">
        <v>1436</v>
      </c>
      <c r="H103" s="2377">
        <f>IF(D36="正常操作",H104+H105+H106,H105+H106)</f>
        <v>0</v>
      </c>
      <c r="I103" s="121"/>
    </row>
    <row r="104" spans="1:35" ht="18.75" customHeight="1">
      <c r="A104" s="3379" t="s">
        <v>1437</v>
      </c>
      <c r="B104" s="2371" t="s">
        <v>1432</v>
      </c>
      <c r="C104" s="2372">
        <f ca="1">H118</f>
        <v>0</v>
      </c>
      <c r="D104" s="2373"/>
      <c r="E104" s="1554" t="s">
        <v>1438</v>
      </c>
      <c r="F104" s="1547"/>
      <c r="G104" s="1687" t="s">
        <v>1436</v>
      </c>
      <c r="H104" s="2378">
        <f>IF(D36="同一抵押权人同一抵押物续贷",C36&amp;"（续贷，未扣减，详见特别提示）",C36)</f>
        <v>0</v>
      </c>
      <c r="I104" s="121"/>
    </row>
    <row r="105" spans="1:35" ht="18.75" customHeight="1" thickBot="1">
      <c r="A105" s="3380"/>
      <c r="B105" s="2374" t="s">
        <v>1434</v>
      </c>
      <c r="C105" s="2375">
        <f ca="1">I118</f>
        <v>36904</v>
      </c>
      <c r="D105" s="2376"/>
      <c r="E105" s="1554" t="s">
        <v>1439</v>
      </c>
      <c r="F105" s="1547"/>
      <c r="G105" s="1687" t="s">
        <v>1436</v>
      </c>
      <c r="H105" s="2379">
        <f>C37</f>
        <v>0</v>
      </c>
      <c r="I105" s="121"/>
    </row>
    <row r="106" spans="1:35" ht="18.75" customHeight="1">
      <c r="A106" s="646" t="s">
        <v>1440</v>
      </c>
      <c r="B106" s="646"/>
      <c r="C106" s="646"/>
      <c r="D106" s="646"/>
      <c r="E106" s="1688" t="s">
        <v>1441</v>
      </c>
      <c r="F106" s="1547"/>
      <c r="G106" s="1687" t="s">
        <v>1436</v>
      </c>
      <c r="H106" s="2379">
        <f>C38</f>
        <v>0</v>
      </c>
      <c r="I106" s="121"/>
    </row>
    <row r="107" spans="1:35" ht="18.75" customHeight="1">
      <c r="A107" s="121"/>
      <c r="B107" s="121"/>
      <c r="C107" s="121"/>
      <c r="D107" s="121"/>
      <c r="E107" s="3376" t="str">
        <f>IF(项目基本情况!E8="已注销","——","3.房地产抵押价值")</f>
        <v>3.房地产抵押价值</v>
      </c>
      <c r="F107" s="3377"/>
      <c r="G107" s="1686" t="s">
        <v>1432</v>
      </c>
      <c r="H107" s="2377">
        <f ca="1">IF(E107="——","——",H101-H103)</f>
        <v>0</v>
      </c>
      <c r="I107" s="121"/>
    </row>
    <row r="108" spans="1:35" ht="18.75" customHeight="1">
      <c r="A108" s="121"/>
      <c r="B108" s="121"/>
      <c r="C108" s="121"/>
      <c r="D108" s="121"/>
      <c r="E108" s="3376"/>
      <c r="F108" s="3377"/>
      <c r="G108" s="1686" t="s">
        <v>1434</v>
      </c>
      <c r="H108" s="2337">
        <f ca="1">IF(H107=H101,H102,ROUND(H107*10000/'数据-汇总表'!E3,0))</f>
        <v>36904</v>
      </c>
      <c r="I108" s="121"/>
    </row>
    <row r="109" spans="1:35" ht="18.75" customHeight="1">
      <c r="A109" s="121"/>
      <c r="B109" s="121"/>
      <c r="C109" s="121"/>
      <c r="D109" s="121"/>
      <c r="E109" s="3376" t="str">
        <f>IF(项目基本情况!E8="已注销及未注销","4.抵押担保权已注销时的房地产抵押价值",IF(项目基本情况!E8="已注销","3.抵押担保权已注销时的房地产抵押价值","——"))</f>
        <v>——</v>
      </c>
      <c r="F109" s="3377"/>
      <c r="G109" s="1686" t="s">
        <v>1432</v>
      </c>
      <c r="H109" s="2380" t="str">
        <f>IF(E109="——","——",H101-H105-H106)</f>
        <v>——</v>
      </c>
      <c r="I109" s="121"/>
    </row>
    <row r="110" spans="1:35" ht="18.75" customHeight="1">
      <c r="A110" s="121"/>
      <c r="B110" s="121"/>
      <c r="C110" s="121"/>
      <c r="D110" s="121"/>
      <c r="E110" s="3376"/>
      <c r="F110" s="3377"/>
      <c r="G110" s="1686" t="s">
        <v>1434</v>
      </c>
      <c r="H110" s="2337" t="str">
        <f>IF(H109="——","——",ROUND(H109*10000/'数据-汇总表'!E3,0))</f>
        <v>——</v>
      </c>
      <c r="I110" s="121"/>
    </row>
    <row r="111" spans="1:35" ht="18.75" customHeight="1">
      <c r="A111" s="121"/>
      <c r="B111" s="121"/>
      <c r="C111" s="121"/>
      <c r="D111" s="121"/>
      <c r="E111" s="3408" t="str">
        <f>IF(项目基本情况!E9="抵押净值",IF(OR(项目基本情况!E8="已注销",项目基本情况!E8="房地产抵押价值"),"4.抵押净值","5.抵押净值"),"——")</f>
        <v>——</v>
      </c>
      <c r="F111" s="3378"/>
      <c r="G111" s="1686" t="s">
        <v>1432</v>
      </c>
      <c r="H111" s="2377" t="str">
        <f>IF(E111="——","——",N59)</f>
        <v>——</v>
      </c>
      <c r="I111" s="121"/>
    </row>
    <row r="112" spans="1:35" ht="18.75" customHeight="1" thickBot="1">
      <c r="A112" s="121"/>
      <c r="B112" s="121"/>
      <c r="C112" s="121"/>
      <c r="D112" s="121"/>
      <c r="E112" s="3409"/>
      <c r="F112" s="3410"/>
      <c r="G112" s="1689" t="s">
        <v>1434</v>
      </c>
      <c r="H112" s="2381" t="str">
        <f>IF(E111="——","——",N61)</f>
        <v>——</v>
      </c>
      <c r="I112" s="121"/>
    </row>
    <row r="113" spans="1:27" ht="18.75" customHeight="1">
      <c r="A113" s="121"/>
      <c r="B113" s="121"/>
      <c r="C113" s="121"/>
      <c r="D113" s="121"/>
      <c r="E113" s="3381" t="s">
        <v>1440</v>
      </c>
      <c r="F113" s="3381"/>
      <c r="G113" s="3381"/>
      <c r="H113" s="3381"/>
      <c r="I113" s="121"/>
    </row>
    <row r="114" spans="1:27" ht="3.75" customHeight="1">
      <c r="A114" s="646"/>
      <c r="B114" s="646"/>
      <c r="C114" s="646"/>
      <c r="D114" s="646"/>
      <c r="E114" s="1670"/>
      <c r="F114" s="1670"/>
      <c r="G114" s="1670"/>
      <c r="H114" s="1670"/>
      <c r="I114" s="646"/>
    </row>
    <row r="115" spans="1:27" ht="18.75" customHeight="1">
      <c r="A115" s="3391" t="s">
        <v>1442</v>
      </c>
      <c r="B115" s="3392"/>
      <c r="C115" s="3392"/>
      <c r="D115" s="3392"/>
      <c r="E115" s="3392"/>
      <c r="F115" s="3392"/>
      <c r="G115" s="3392"/>
      <c r="H115" s="3392"/>
      <c r="I115" s="3393"/>
    </row>
    <row r="116" spans="1:27" ht="27" customHeight="1">
      <c r="A116" s="3347" t="s">
        <v>1443</v>
      </c>
      <c r="B116" s="3382" t="s">
        <v>1444</v>
      </c>
      <c r="C116" s="3382" t="s">
        <v>1445</v>
      </c>
      <c r="D116" s="3395" t="s">
        <v>1446</v>
      </c>
      <c r="E116" s="3396"/>
      <c r="F116" s="3390" t="s">
        <v>1447</v>
      </c>
      <c r="G116" s="3390"/>
      <c r="H116" s="3347" t="s">
        <v>1448</v>
      </c>
      <c r="I116" s="3347"/>
    </row>
    <row r="117" spans="1:27" ht="18.75" customHeight="1">
      <c r="A117" s="3347"/>
      <c r="B117" s="3383"/>
      <c r="C117" s="3383"/>
      <c r="D117" s="2146" t="s">
        <v>1449</v>
      </c>
      <c r="E117" s="2146" t="s">
        <v>1450</v>
      </c>
      <c r="F117" s="2146" t="s">
        <v>1449</v>
      </c>
      <c r="G117" s="2146" t="s">
        <v>1451</v>
      </c>
      <c r="H117" s="2146" t="s">
        <v>1449</v>
      </c>
      <c r="I117" s="2146" t="s">
        <v>1451</v>
      </c>
    </row>
    <row r="118" spans="1:27" ht="24.75" customHeight="1">
      <c r="A118" s="2382" t="str">
        <f>项目基本情况!S2</f>
        <v>北京市房山区揽秀南街15号院5号楼5-1-4等47套住宅、13号院10幢-1-1006等1147个地下车位房地产</v>
      </c>
      <c r="B118" s="2146">
        <f>M18</f>
        <v>0</v>
      </c>
      <c r="C118" s="2146">
        <f>M19</f>
        <v>0</v>
      </c>
      <c r="D118" s="2146">
        <f>ROUND(IF(D32="总价",C34,E118*B118/10000),0)</f>
        <v>0</v>
      </c>
      <c r="E118" s="2146">
        <f>ROUND(IF(C33="自定义",IF(D32="楼面单价",C34,D118*10000/B118),I118-G118),0)</f>
        <v>0</v>
      </c>
      <c r="F118" s="2146">
        <f>ROUND(IF(D32="总价",C35,G118*B118/10000),0)</f>
        <v>0</v>
      </c>
      <c r="G118" s="2146">
        <f>ROUND(IF(D32="楼面单价",C35,F118*10000/B118),0)</f>
        <v>0</v>
      </c>
      <c r="H118" s="2146">
        <f ca="1">ROUND(IF(D32="总价",C32,I118*B118/10000),0)</f>
        <v>0</v>
      </c>
      <c r="I118" s="2146">
        <f ca="1">ROUND(IF(D32="楼面单价",C32,H118*10000/B118),0)</f>
        <v>36904</v>
      </c>
    </row>
    <row r="119" spans="1:27" ht="18.75" customHeight="1">
      <c r="A119" s="3347" t="s">
        <v>1452</v>
      </c>
      <c r="B119" s="3347"/>
      <c r="C119" s="3347"/>
      <c r="D119" s="3387" t="str">
        <f>NUMBERSTRING(INT(D118*10000),2)&amp;"元整"</f>
        <v>零元整</v>
      </c>
      <c r="E119" s="3389"/>
      <c r="F119" s="3387" t="str">
        <f>NUMBERSTRING(INT(F118*10000),2)&amp;"元整"</f>
        <v>零元整</v>
      </c>
      <c r="G119" s="3389"/>
      <c r="H119" s="3387" t="str">
        <f ca="1">NUMBERSTRING(INT(H118*10000),2)&amp;"元整"</f>
        <v>零元整</v>
      </c>
      <c r="I119" s="3389"/>
    </row>
    <row r="120" spans="1:27" ht="18.75" customHeight="1">
      <c r="A120" s="3411" t="str">
        <f>IF(项目基本情况!B9="房地产市场价值","",MID(E103,3,LEN(E103)-2))</f>
        <v>估价师知悉的法定优先受偿款</v>
      </c>
      <c r="B120" s="3412"/>
      <c r="C120" s="3413"/>
      <c r="D120" s="3411">
        <f>H103</f>
        <v>0</v>
      </c>
      <c r="E120" s="3412"/>
      <c r="F120" s="3412"/>
      <c r="G120" s="3412"/>
      <c r="H120" s="3412"/>
      <c r="I120" s="3413"/>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87" t="s">
        <v>1452</v>
      </c>
      <c r="B121" s="3388"/>
      <c r="C121" s="3389"/>
      <c r="D121" s="3387" t="str">
        <f>IF(D120=0,"零元整",NUMBERSTRING(INT(D120*10000),2)&amp;"元整")</f>
        <v>零元整</v>
      </c>
      <c r="E121" s="3388"/>
      <c r="F121" s="3388"/>
      <c r="G121" s="3388"/>
      <c r="H121" s="3388"/>
      <c r="I121" s="3389"/>
      <c r="AA121" s="684"/>
    </row>
    <row r="122" spans="1:27" ht="18.75" customHeight="1">
      <c r="A122" s="3378" t="str">
        <f>IF(项目基本情况!B9="房地产市场价值","",MID(E107,3,LEN(E107)-2))</f>
        <v>房地产抵押价值</v>
      </c>
      <c r="B122" s="3378"/>
      <c r="C122" s="3378"/>
      <c r="D122" s="3411">
        <f ca="1">H107</f>
        <v>0</v>
      </c>
      <c r="E122" s="3412"/>
      <c r="F122" s="3412"/>
      <c r="G122" s="3412"/>
      <c r="H122" s="3412"/>
      <c r="I122" s="3413"/>
      <c r="AA122" s="684"/>
    </row>
    <row r="123" spans="1:27" ht="18.75" customHeight="1">
      <c r="A123" s="3347" t="s">
        <v>1452</v>
      </c>
      <c r="B123" s="3347"/>
      <c r="C123" s="3347"/>
      <c r="D123" s="3387" t="str">
        <f ca="1">NUMBERSTRING(INT(D122*10000),2)&amp;"元整"</f>
        <v>零元整</v>
      </c>
      <c r="E123" s="3388"/>
      <c r="F123" s="3388"/>
      <c r="G123" s="3388"/>
      <c r="H123" s="3388"/>
      <c r="I123" s="3389"/>
      <c r="AA123" s="684"/>
    </row>
    <row r="124" spans="1:27" ht="18.75" customHeight="1">
      <c r="A124" s="3378" t="str">
        <f>IF(项目基本情况!B9="房地产市场价值","",MID(E109,3,LEN(E109)-2))</f>
        <v/>
      </c>
      <c r="B124" s="3378"/>
      <c r="C124" s="3378"/>
      <c r="D124" s="3411" t="str">
        <f>H109</f>
        <v>——</v>
      </c>
      <c r="E124" s="3412"/>
      <c r="F124" s="3412"/>
      <c r="G124" s="3412"/>
      <c r="H124" s="3412"/>
      <c r="I124" s="3413"/>
      <c r="AA124" s="684"/>
    </row>
    <row r="125" spans="1:27" ht="18.75" customHeight="1">
      <c r="A125" s="3347" t="s">
        <v>1452</v>
      </c>
      <c r="B125" s="3347"/>
      <c r="C125" s="3347"/>
      <c r="D125" s="3387" t="e">
        <f>NUMBERSTRING(INT(D124*10000),2)&amp;"元整"</f>
        <v>#VALUE!</v>
      </c>
      <c r="E125" s="3388"/>
      <c r="F125" s="3388"/>
      <c r="G125" s="3388"/>
      <c r="H125" s="3388"/>
      <c r="I125" s="3389"/>
      <c r="AA125" s="684"/>
    </row>
    <row r="126" spans="1:27" ht="18.75" customHeight="1">
      <c r="A126" s="3378" t="str">
        <f>IF(项目基本情况!B9="房地产市场价值","",MID(E111,3,LEN(E111)-2))</f>
        <v/>
      </c>
      <c r="B126" s="3378"/>
      <c r="C126" s="3378"/>
      <c r="D126" s="3411" t="str">
        <f>H111</f>
        <v>——</v>
      </c>
      <c r="E126" s="3412"/>
      <c r="F126" s="3412"/>
      <c r="G126" s="3412"/>
      <c r="H126" s="3412"/>
      <c r="I126" s="3413"/>
      <c r="AA126" s="684"/>
    </row>
    <row r="127" spans="1:27" ht="18.75" customHeight="1">
      <c r="A127" s="3347" t="s">
        <v>1452</v>
      </c>
      <c r="B127" s="3347"/>
      <c r="C127" s="3347"/>
      <c r="D127" s="3387" t="e">
        <f>NUMBERSTRING(INT(D126*10000),2)&amp;"元整"</f>
        <v>#VALUE!</v>
      </c>
      <c r="E127" s="3388"/>
      <c r="F127" s="3388"/>
      <c r="G127" s="3388"/>
      <c r="H127" s="3388"/>
      <c r="I127" s="3389"/>
      <c r="AA127" s="684"/>
    </row>
    <row r="128" spans="1:27" ht="21.75" customHeight="1">
      <c r="A128" s="3394" t="s">
        <v>1453</v>
      </c>
      <c r="B128" s="3394"/>
      <c r="C128" s="3394"/>
      <c r="D128" s="3394"/>
      <c r="E128" s="3394"/>
      <c r="F128" s="3394"/>
      <c r="G128" s="3394"/>
      <c r="H128" s="3394"/>
      <c r="I128" s="3394"/>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gSASqU2HKHbVB/b3tGZd+I+T77JRfszYzv9sjM1UjeMUr9UhofRRu4uQoCX8EwvrMt/GxYMDOlzTtlRd9KEHaQ==" saltValue="zU9MS3HMmqZOALduAK6np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1" type="noConversion"/>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C5:D7">
    <cfRule type="cellIs" dxfId="153" priority="10" stopIfTrue="1" operator="equal">
      <formula>25</formula>
    </cfRule>
  </conditionalFormatting>
  <conditionalFormatting sqref="C8:D13">
    <cfRule type="cellIs" dxfId="152" priority="8" stopIfTrue="1" operator="equal">
      <formula>15</formula>
    </cfRule>
  </conditionalFormatting>
  <conditionalFormatting sqref="C14:D16">
    <cfRule type="cellIs" dxfId="151" priority="6" stopIfTrue="1" operator="equal">
      <formula>30</formula>
    </cfRule>
  </conditionalFormatting>
  <conditionalFormatting sqref="E36">
    <cfRule type="expression" dxfId="15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2">
        <f>MATCH(B1,'数据-取费表'!A6:A16,0)+5</f>
        <v>8</v>
      </c>
      <c r="H1" s="998" t="str">
        <f>IF(ISERROR(FIND("住宅",B1)),"非住宅","住宅")</f>
        <v>非住宅</v>
      </c>
    </row>
    <row r="2" spans="1:8" s="192" customFormat="1" ht="18" customHeight="1">
      <c r="A2" s="193" t="s">
        <v>1462</v>
      </c>
      <c r="B2" s="3118">
        <f ca="1">ROUND(IF(D2="——",C52/10000,C52/10000-E2),4)</f>
        <v>178.62450000000001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8244</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35898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35898</v>
      </c>
      <c r="D8" s="214"/>
      <c r="E8" s="212"/>
      <c r="F8" s="213"/>
      <c r="G8" s="1713"/>
    </row>
    <row r="9" spans="1:8" s="206" customFormat="1" ht="13.5" customHeight="1">
      <c r="A9" s="733" t="s">
        <v>355</v>
      </c>
      <c r="B9" s="216" t="s">
        <v>1478</v>
      </c>
      <c r="C9" s="217">
        <f ca="1">ROUND(D9*E9,0)</f>
        <v>29750</v>
      </c>
      <c r="D9" s="795">
        <f ca="1">IF(B1="",'数据-汇总表'!E5,IF(INDIRECT("'数据-取费表'!c"&amp;$G$1)="住宅",INDIRECT("'数据-取费表'!k"&amp;$G$1),0))</f>
        <v>185.94</v>
      </c>
      <c r="E9" s="217">
        <f>'数据-取费表'!B27</f>
        <v>160</v>
      </c>
      <c r="F9" s="213"/>
      <c r="G9" s="218"/>
    </row>
    <row r="10" spans="1:8" s="206" customFormat="1" ht="13.5" customHeight="1">
      <c r="A10" s="733" t="s">
        <v>356</v>
      </c>
      <c r="B10" s="216" t="s">
        <v>1480</v>
      </c>
      <c r="C10" s="217">
        <f ca="1">ROUND(D10*E10,0)</f>
        <v>6148</v>
      </c>
      <c r="D10" s="795">
        <f ca="1">IF(B1="",'数据-汇总表'!E6,IF(INDIRECT("'数据-取费表'!c"&amp;$G$1)="住宅",INDIRECT("'数据-取费表'!s"&amp;$G$1),INDIRECT("'数据-取费表'!k"&amp;$G$1)+INDIRECT("'数据-取费表'!s"&amp;$G$1)))</f>
        <v>30.740000000000009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43336</v>
      </c>
      <c r="D19" s="204">
        <f ca="1">D9+D10</f>
        <v>216.68</v>
      </c>
      <c r="E19" s="203">
        <f>'数据-取费表'!B31</f>
        <v>200</v>
      </c>
      <c r="F19" s="223"/>
      <c r="G19" s="1713"/>
    </row>
    <row r="20" spans="1:7" s="206" customFormat="1" ht="13.5" customHeight="1">
      <c r="A20" s="247" t="s">
        <v>1574</v>
      </c>
      <c r="B20" s="202" t="s">
        <v>1575</v>
      </c>
      <c r="C20" s="224">
        <f ca="1">ROUND((C5+C19)*F20,0)</f>
        <v>1585</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4873</v>
      </c>
      <c r="D22" s="227">
        <f ca="1">C26</f>
        <v>8.9999999999999998E-4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2186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2639</v>
      </c>
      <c r="D24" s="230"/>
      <c r="E24" s="230"/>
      <c r="F24" s="231"/>
      <c r="G24" s="232" t="s">
        <v>1586</v>
      </c>
    </row>
    <row r="25" spans="1:7" s="206" customFormat="1" ht="24">
      <c r="A25" s="734" t="s">
        <v>1476</v>
      </c>
      <c r="B25" s="207" t="s">
        <v>1587</v>
      </c>
      <c r="C25" s="230">
        <f ca="1">ROUND(IF('数据-取费表'!B22&lt;=1,C20*F22*'数据-取费表'!B22/2,C20*(POWER((1+F22),'数据-取费表'!B22/2)-1)),0)</f>
        <v>48</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11315</v>
      </c>
      <c r="D27" s="227">
        <f ca="1">C29</f>
        <v>4.1999999999999997E-3</v>
      </c>
      <c r="E27" s="228" t="s">
        <v>1514</v>
      </c>
      <c r="F27" s="238">
        <f ca="1">IF(B1="",'数据-取费表'!Q16,INDIRECT("'数据-取费表'!q"&amp;$G$1))</f>
        <v>0.14000000000000001</v>
      </c>
      <c r="G27" s="239" t="s">
        <v>1515</v>
      </c>
    </row>
    <row r="28" spans="1:7" s="206" customFormat="1" ht="13.5" customHeight="1">
      <c r="A28" s="734" t="s">
        <v>346</v>
      </c>
      <c r="B28" s="240" t="s">
        <v>1516</v>
      </c>
      <c r="C28" s="241">
        <f ca="1">ROUND((C5+C19+C20)*F27,0)</f>
        <v>11315</v>
      </c>
      <c r="D28" s="227"/>
      <c r="E28" s="228"/>
      <c r="F28" s="238"/>
      <c r="G28" s="239"/>
    </row>
    <row r="29" spans="1:7" s="206" customFormat="1" ht="13.5" customHeight="1">
      <c r="A29" s="734" t="s">
        <v>347</v>
      </c>
      <c r="B29" s="240" t="s">
        <v>1517</v>
      </c>
      <c r="C29" s="230">
        <f ca="1">ROUND(C21*F27,4)</f>
        <v>4.1999999999999997E-3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106414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1545986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1300080</v>
      </c>
      <c r="D34" s="209"/>
      <c r="E34" s="212"/>
      <c r="F34" s="249"/>
      <c r="G34" s="211"/>
    </row>
    <row r="35" spans="1:7" ht="13.5" customHeight="1">
      <c r="A35" s="734" t="s">
        <v>351</v>
      </c>
      <c r="B35" s="207" t="s">
        <v>1527</v>
      </c>
      <c r="C35" s="212">
        <f ca="1">ROUND(C34*F35,0)</f>
        <v>65004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111564</v>
      </c>
      <c r="D36" s="212"/>
      <c r="E36" s="212"/>
      <c r="F36" s="251">
        <f>'数据-取费表'!B34</f>
        <v>0.1</v>
      </c>
      <c r="G36" s="252" t="s">
        <v>1530</v>
      </c>
    </row>
    <row r="37" spans="1:7" s="250" customFormat="1" ht="13.5" customHeight="1">
      <c r="A37" s="734" t="s">
        <v>353</v>
      </c>
      <c r="B37" s="207" t="s">
        <v>1531</v>
      </c>
      <c r="C37" s="241">
        <f ca="1">ROUND(E37*D37,0)</f>
        <v>43336</v>
      </c>
      <c r="D37" s="209">
        <f ca="1">D19</f>
        <v>216.68</v>
      </c>
      <c r="E37" s="241">
        <f>'数据-取费表'!B35</f>
        <v>200</v>
      </c>
      <c r="F37" s="251"/>
      <c r="G37" s="253"/>
    </row>
    <row r="38" spans="1:7" ht="13.5" customHeight="1">
      <c r="A38" s="734" t="s">
        <v>354</v>
      </c>
      <c r="B38" s="207" t="s">
        <v>1533</v>
      </c>
      <c r="C38" s="212">
        <f ca="1">ROUND(C34*F38,0)</f>
        <v>26002</v>
      </c>
      <c r="D38" s="212"/>
      <c r="E38" s="212"/>
      <c r="F38" s="251">
        <f>'数据-取费表'!B36</f>
        <v>0.02</v>
      </c>
      <c r="G38" s="211" t="s">
        <v>1528</v>
      </c>
    </row>
    <row r="39" spans="1:7" s="206" customFormat="1" ht="13.5" customHeight="1">
      <c r="A39" s="247" t="s">
        <v>1534</v>
      </c>
      <c r="B39" s="202" t="s">
        <v>1535</v>
      </c>
      <c r="C39" s="224">
        <f ca="1">ROUND(C33*F20,0)</f>
        <v>30920</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47308</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46380</v>
      </c>
      <c r="D42" s="230"/>
      <c r="E42" s="230"/>
      <c r="F42" s="231"/>
      <c r="G42" s="3428" t="s">
        <v>1591</v>
      </c>
    </row>
    <row r="43" spans="1:7" ht="13.5" customHeight="1">
      <c r="A43" s="734" t="s">
        <v>347</v>
      </c>
      <c r="B43" s="207" t="s">
        <v>1545</v>
      </c>
      <c r="C43" s="230">
        <f ca="1">ROUND(IF('数据-取费表'!B22&lt;=1,C39*F22*'数据-取费表'!B20/2,C39*(POWER((1+F22),'数据-取费表'!B20/2)-1)),0)</f>
        <v>928</v>
      </c>
      <c r="D43" s="230"/>
      <c r="E43" s="230"/>
      <c r="F43" s="231"/>
      <c r="G43" s="3429"/>
    </row>
    <row r="44" spans="1:7" ht="13.5" customHeight="1">
      <c r="A44" s="734" t="s">
        <v>348</v>
      </c>
      <c r="B44" s="207" t="s">
        <v>1546</v>
      </c>
      <c r="C44" s="230">
        <f ca="1">ROUND(IF('数据-取费表'!B22&lt;=1,C40*F22*'数据-取费表'!B20/2,C40*(POWER((1+F22),'数据-取费表'!B20/2)-1)),4)</f>
        <v>8.9999999999999998E-4</v>
      </c>
      <c r="D44" s="230"/>
      <c r="E44" s="230"/>
      <c r="F44" s="231"/>
      <c r="G44" s="3430"/>
    </row>
    <row r="45" spans="1:7" s="206" customFormat="1" ht="13.5" customHeight="1">
      <c r="A45" s="247" t="s">
        <v>1547</v>
      </c>
      <c r="B45" s="236" t="s">
        <v>1513</v>
      </c>
      <c r="C45" s="237">
        <f ca="1">C46</f>
        <v>220767</v>
      </c>
      <c r="D45" s="227">
        <f ca="1">C47</f>
        <v>4.1999999999999997E-3</v>
      </c>
      <c r="E45" s="228" t="s">
        <v>1539</v>
      </c>
      <c r="F45" s="238">
        <f ca="1">F27</f>
        <v>0.14000000000000001</v>
      </c>
      <c r="G45" s="239" t="s">
        <v>1548</v>
      </c>
    </row>
    <row r="46" spans="1:7" s="206" customFormat="1" ht="13.5" customHeight="1">
      <c r="A46" s="734" t="s">
        <v>346</v>
      </c>
      <c r="B46" s="240" t="s">
        <v>1549</v>
      </c>
      <c r="C46" s="241">
        <f ca="1">ROUND((C33+C39)*F27,0)</f>
        <v>220767</v>
      </c>
      <c r="D46" s="255"/>
      <c r="E46" s="228"/>
      <c r="F46" s="238"/>
      <c r="G46" s="239"/>
    </row>
    <row r="47" spans="1:7" s="206" customFormat="1" ht="13.5" customHeight="1">
      <c r="A47" s="734" t="s">
        <v>347</v>
      </c>
      <c r="B47" s="240" t="s">
        <v>1550</v>
      </c>
      <c r="C47" s="230">
        <f ca="1">ROUND(C40*F27,4)</f>
        <v>4.1999999999999997E-3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2023893</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1679831</v>
      </c>
      <c r="D51" s="224"/>
      <c r="E51" s="224"/>
      <c r="F51" s="256"/>
      <c r="G51" s="226" t="s">
        <v>1560</v>
      </c>
    </row>
    <row r="52" spans="1:7" s="200" customFormat="1" ht="16.8" thickBot="1">
      <c r="A52" s="257" t="s">
        <v>1561</v>
      </c>
      <c r="B52" s="258"/>
      <c r="C52" s="259">
        <f ca="1">C31+C51</f>
        <v>1786245</v>
      </c>
      <c r="D52" s="258"/>
      <c r="E52" s="258"/>
      <c r="F52" s="258"/>
      <c r="G52" s="260"/>
    </row>
    <row r="55" spans="1:7" ht="15">
      <c r="B55" s="262" t="s">
        <v>1562</v>
      </c>
      <c r="C55" s="263"/>
    </row>
    <row r="56" spans="1:7">
      <c r="B56" s="265" t="s">
        <v>802</v>
      </c>
      <c r="C56" s="267">
        <f ca="1">1-C57</f>
        <v>6.0000000000000053E-2</v>
      </c>
    </row>
    <row r="57" spans="1:7">
      <c r="B57" s="265" t="s">
        <v>803</v>
      </c>
      <c r="C57" s="266">
        <f ca="1">ROUND(C51/C52,3)</f>
        <v>0.94</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45" t="str">
        <f>项目基本情况!B1</f>
        <v>北京市房山区揽秀南街15号院5号楼5-1-4等47套住宅、13号院10幢-1-1006等1147个地下车位房地产抵押价值预评估</v>
      </c>
      <c r="C37" s="3245"/>
      <c r="D37" s="3245"/>
      <c r="E37" s="3245"/>
      <c r="F37" s="3245"/>
      <c r="G37" s="3245"/>
      <c r="H37" s="3245"/>
      <c r="I37" s="3245"/>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9"/>
      <c r="D1" s="1108"/>
      <c r="E1" s="2563"/>
      <c r="F1" s="2563"/>
      <c r="G1" s="2444"/>
      <c r="H1" s="2563"/>
      <c r="I1" s="2563"/>
      <c r="J1" s="2563"/>
      <c r="K1" s="2564">
        <f>MATCH(C1,'数据-取费表'!A6:A16,0)+5</f>
        <v>8</v>
      </c>
    </row>
    <row r="2" spans="1:33" ht="18" customHeight="1">
      <c r="A2" s="193" t="s">
        <v>1462</v>
      </c>
      <c r="B2" s="196">
        <f ca="1">C32</f>
        <v>-5</v>
      </c>
      <c r="C2" s="268" t="s">
        <v>1595</v>
      </c>
      <c r="D2" s="268"/>
      <c r="E2" s="2563"/>
      <c r="F2" s="2563"/>
      <c r="G2" s="2563"/>
      <c r="H2" s="2563"/>
      <c r="I2" s="2563"/>
      <c r="J2" s="2563"/>
      <c r="K2" s="2563"/>
    </row>
    <row r="3" spans="1:33" ht="18" customHeight="1" thickBot="1">
      <c r="A3" s="195" t="s">
        <v>1464</v>
      </c>
      <c r="B3" s="196">
        <f ca="1">ROUND(B2*10000/IF(C1="",'数据-汇总表'!E3,INDIRECT("'数据-取费表'!K"&amp;$K$1)),0)</f>
        <v>-231</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216.68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216.68</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v>
      </c>
      <c r="D18" s="796"/>
      <c r="E18" s="21"/>
      <c r="F18" s="756"/>
      <c r="G18" s="1719"/>
      <c r="H18" s="1105"/>
      <c r="I18" s="1720"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185.94</v>
      </c>
      <c r="E19" s="21">
        <f>'数据-取费表'!B27</f>
        <v>160</v>
      </c>
      <c r="F19" s="756"/>
      <c r="G19" s="12"/>
      <c r="H19" s="1107"/>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30.740000000000009</v>
      </c>
      <c r="E20" s="21">
        <f>'数据-取费表'!B28</f>
        <v>200</v>
      </c>
      <c r="F20" s="756"/>
      <c r="G20" s="12"/>
      <c r="H20" s="761"/>
      <c r="I20" s="761"/>
      <c r="J20" s="761"/>
      <c r="K20" s="762"/>
    </row>
    <row r="21" spans="1:33" s="755" customFormat="1" ht="13.5" customHeight="1">
      <c r="A21" s="744" t="s">
        <v>357</v>
      </c>
      <c r="B21" s="765" t="s">
        <v>1628</v>
      </c>
      <c r="C21" s="766">
        <f ca="1">C16+C17+C18</f>
        <v>4</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1</v>
      </c>
      <c r="D28" s="272">
        <f ca="1">C29</f>
        <v>0</v>
      </c>
      <c r="E28" s="274" t="s">
        <v>12</v>
      </c>
      <c r="F28" s="280">
        <f ca="1">IF(C1="",'数据-取费表'!Q16,INDIRECT("'数据-取费表'!q"&amp;$K$1))</f>
        <v>0.14000000000000001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-5</v>
      </c>
      <c r="D32" s="779"/>
      <c r="E32" s="779"/>
      <c r="F32" s="779"/>
      <c r="G32" s="781" t="s">
        <v>1650</v>
      </c>
      <c r="H32" s="779"/>
      <c r="I32" s="779"/>
      <c r="J32" s="779"/>
      <c r="K32" s="782"/>
    </row>
    <row r="34" ht="12.75" customHeight="1"/>
  </sheetData>
  <sheetProtection password="CEE9" sheet="1" objects="1" scenarios="1" formatCells="0" formatColumns="0" formatRows="0"/>
  <phoneticPr fontId="21"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zoomScale="70" zoomScaleNormal="60" zoomScaleSheetLayoutView="70" workbookViewId="0">
      <selection activeCell="D1" sqref="D1"/>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20.21875" style="347" customWidth="1"/>
    <col min="8" max="8" width="12.21875" style="347" customWidth="1"/>
    <col min="9" max="9" width="18.66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t="s">
        <v>3509</v>
      </c>
      <c r="E1" s="3120" t="s">
        <v>3487</v>
      </c>
      <c r="F1" s="1734" t="s">
        <v>3488</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1">
        <f>IF(E1="项目模式",IF(C2="——",ROUND(C49*D3/10000,0),ROUND(C49*D3/10000,0)-D2),IF(E1="单套模式",IF(C2="——",ROUND(C49*D3/10000,4),ROUND(C49*D3/10000,4)-D2)))</f>
        <v>707.39009999999996</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0"/>
      <c r="M2" s="2481"/>
      <c r="N2" s="2481"/>
      <c r="O2" s="2481"/>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38044</v>
      </c>
      <c r="C3" s="344" t="s">
        <v>1665</v>
      </c>
      <c r="D3" s="343">
        <f>IF(D1="",'数据-汇总表'!E3,SUMIF('数据-汇总表'!$C19:$C33,D1,'数据-汇总表'!$E19:$E33))</f>
        <v>185.94</v>
      </c>
      <c r="E3" s="854"/>
      <c r="F3" s="1742"/>
      <c r="G3" s="854"/>
      <c r="H3" s="854"/>
      <c r="I3" s="854"/>
      <c r="J3" s="854"/>
      <c r="K3" s="1739"/>
      <c r="L3" s="2480"/>
      <c r="M3" s="2481"/>
      <c r="N3" s="2481"/>
      <c r="O3" s="2481"/>
      <c r="P3" s="1740"/>
      <c r="Q3" s="1741"/>
      <c r="R3" s="1741"/>
      <c r="S3" s="1741"/>
      <c r="T3" s="1741"/>
      <c r="U3" s="1741"/>
      <c r="V3" s="1741"/>
      <c r="W3" s="1741"/>
      <c r="X3" s="1741"/>
      <c r="Y3" s="1741"/>
      <c r="Z3" s="1741"/>
      <c r="AA3" s="1741"/>
      <c r="AB3" s="1741"/>
      <c r="AC3" s="998"/>
    </row>
    <row r="4" spans="1:29" ht="14.4">
      <c r="A4" s="345" t="s">
        <v>1666</v>
      </c>
      <c r="B4" s="346"/>
      <c r="C4" s="3449" t="s">
        <v>1667</v>
      </c>
      <c r="D4" s="3450"/>
      <c r="E4" s="3451" t="s">
        <v>1668</v>
      </c>
      <c r="F4" s="3452"/>
      <c r="G4" s="3449" t="s">
        <v>1669</v>
      </c>
      <c r="H4" s="3450"/>
      <c r="I4" s="3449" t="s">
        <v>1670</v>
      </c>
      <c r="J4" s="3450"/>
      <c r="K4" s="1743" t="s">
        <v>1671</v>
      </c>
      <c r="L4" s="2482"/>
      <c r="M4" s="2483"/>
      <c r="N4" s="2483"/>
      <c r="O4" s="2483"/>
      <c r="P4" s="3453" t="s">
        <v>1672</v>
      </c>
      <c r="Q4" s="3454"/>
      <c r="R4" s="3459" t="s">
        <v>1668</v>
      </c>
      <c r="S4" s="3460"/>
      <c r="T4" s="3459" t="s">
        <v>1669</v>
      </c>
      <c r="U4" s="3460"/>
      <c r="V4" s="3435" t="s">
        <v>1670</v>
      </c>
      <c r="W4" s="3435"/>
      <c r="X4" s="1264"/>
      <c r="Y4" s="3459" t="s">
        <v>1672</v>
      </c>
      <c r="Z4" s="3460"/>
      <c r="AA4" s="3446" t="s">
        <v>1668</v>
      </c>
      <c r="AB4" s="3446" t="s">
        <v>1669</v>
      </c>
      <c r="AC4" s="3446" t="s">
        <v>1670</v>
      </c>
    </row>
    <row r="5" spans="1:29" ht="13.95" customHeight="1">
      <c r="A5" s="348"/>
      <c r="B5" s="349"/>
      <c r="C5" s="3467" t="s">
        <v>3490</v>
      </c>
      <c r="D5" s="3468"/>
      <c r="E5" s="3467" t="s">
        <v>3490</v>
      </c>
      <c r="F5" s="3468"/>
      <c r="G5" s="3467" t="s">
        <v>3490</v>
      </c>
      <c r="H5" s="3468"/>
      <c r="I5" s="3467" t="s">
        <v>3490</v>
      </c>
      <c r="J5" s="3468"/>
      <c r="K5" s="1744"/>
      <c r="L5" s="2482"/>
      <c r="M5" s="2483"/>
      <c r="N5" s="2483"/>
      <c r="O5" s="2483"/>
      <c r="P5" s="3455"/>
      <c r="Q5" s="3456"/>
      <c r="R5" s="3461"/>
      <c r="S5" s="3462"/>
      <c r="T5" s="3461"/>
      <c r="U5" s="3462"/>
      <c r="V5" s="3435"/>
      <c r="W5" s="3435"/>
      <c r="X5" s="1264"/>
      <c r="Y5" s="3461"/>
      <c r="Z5" s="3462"/>
      <c r="AA5" s="3447"/>
      <c r="AB5" s="3447"/>
      <c r="AC5" s="3447"/>
    </row>
    <row r="6" spans="1:29" ht="15" thickBot="1">
      <c r="A6" s="350"/>
      <c r="B6" s="351"/>
      <c r="C6" s="3465" t="s">
        <v>1677</v>
      </c>
      <c r="D6" s="3466"/>
      <c r="E6" s="3472" t="s">
        <v>1677</v>
      </c>
      <c r="F6" s="3473"/>
      <c r="G6" s="3465" t="s">
        <v>1677</v>
      </c>
      <c r="H6" s="3466"/>
      <c r="I6" s="3465" t="s">
        <v>1677</v>
      </c>
      <c r="J6" s="3466"/>
      <c r="K6" s="1744" t="s">
        <v>1678</v>
      </c>
      <c r="L6" s="2482"/>
      <c r="M6" s="2483"/>
      <c r="N6" s="2483"/>
      <c r="O6" s="2483"/>
      <c r="P6" s="3457"/>
      <c r="Q6" s="3458"/>
      <c r="R6" s="3461"/>
      <c r="S6" s="3462"/>
      <c r="T6" s="3463"/>
      <c r="U6" s="3464"/>
      <c r="V6" s="3435"/>
      <c r="W6" s="3435"/>
      <c r="X6" s="1264"/>
      <c r="Y6" s="3463"/>
      <c r="Z6" s="3464"/>
      <c r="AA6" s="3448"/>
      <c r="AB6" s="3448"/>
      <c r="AC6" s="3448"/>
    </row>
    <row r="7" spans="1:29" s="102" customFormat="1" ht="15" thickBot="1">
      <c r="A7" s="352" t="s">
        <v>1679</v>
      </c>
      <c r="B7" s="353"/>
      <c r="C7" s="354">
        <f>'数据-取费表'!B2</f>
        <v>45826</v>
      </c>
      <c r="D7" s="355">
        <v>100</v>
      </c>
      <c r="E7" s="356">
        <v>45670</v>
      </c>
      <c r="F7" s="357">
        <f>SUMIF(58:58,YEAR(E7)&amp;"-"&amp;MONTH(E7),59:59)</f>
        <v>100</v>
      </c>
      <c r="G7" s="356">
        <v>45651</v>
      </c>
      <c r="H7" s="355">
        <f>SUMIF(58:58,YEAR(G7)&amp;"-"&amp;MONTH(G7),59:59)</f>
        <v>100</v>
      </c>
      <c r="I7" s="356">
        <v>45610</v>
      </c>
      <c r="J7" s="355">
        <f>SUMIF(58:58,YEAR(I7)&amp;"-"&amp;MONTH(I7),59:59)</f>
        <v>100</v>
      </c>
      <c r="K7" s="1745"/>
      <c r="L7" s="2484"/>
      <c r="M7" s="2436"/>
      <c r="N7" s="2436"/>
      <c r="O7" s="2436"/>
      <c r="P7" s="3469" t="s">
        <v>1680</v>
      </c>
      <c r="Q7" s="3471"/>
      <c r="R7" s="664" t="s">
        <v>20</v>
      </c>
      <c r="S7" s="665">
        <f t="shared" ref="S7:S15" si="0">F7</f>
        <v>100</v>
      </c>
      <c r="T7" s="664" t="s">
        <v>20</v>
      </c>
      <c r="U7" s="665">
        <f t="shared" ref="U7:U15" si="1">H7</f>
        <v>100</v>
      </c>
      <c r="V7" s="664" t="s">
        <v>20</v>
      </c>
      <c r="W7" s="665">
        <f t="shared" ref="W7:W15" si="2">J7</f>
        <v>100</v>
      </c>
      <c r="X7" s="666"/>
      <c r="Y7" s="3469" t="s">
        <v>1680</v>
      </c>
      <c r="Z7" s="3470"/>
      <c r="AA7" s="50">
        <f>D7/F7</f>
        <v>1</v>
      </c>
      <c r="AB7" s="50">
        <f>D7/H7</f>
        <v>1</v>
      </c>
      <c r="AC7" s="50">
        <f>D7/J7</f>
        <v>1</v>
      </c>
    </row>
    <row r="8" spans="1:29" s="102" customFormat="1" ht="15" thickBot="1">
      <c r="A8" s="352" t="s">
        <v>1681</v>
      </c>
      <c r="B8" s="353"/>
      <c r="C8" s="358" t="s">
        <v>3489</v>
      </c>
      <c r="D8" s="355">
        <v>100</v>
      </c>
      <c r="E8" s="358" t="s">
        <v>3489</v>
      </c>
      <c r="F8" s="357">
        <f>SUMIF(61:61,E8,62:62)-SUMIF(61:61,C8,62:62)+100</f>
        <v>100</v>
      </c>
      <c r="G8" s="358" t="s">
        <v>3489</v>
      </c>
      <c r="H8" s="355">
        <f>SUMIF(61:61,G8,62:62)-SUMIF(61:61,C8,62:62)+100</f>
        <v>100</v>
      </c>
      <c r="I8" s="358" t="s">
        <v>3489</v>
      </c>
      <c r="J8" s="355">
        <f>SUMIF(61:61,I8,62:62)-SUMIF(61:61,C8,62:62)+100</f>
        <v>100</v>
      </c>
      <c r="K8" s="1745"/>
      <c r="L8" s="2484"/>
      <c r="M8" s="2436"/>
      <c r="N8" s="2436"/>
      <c r="O8" s="2436"/>
      <c r="P8" s="3469" t="s">
        <v>1683</v>
      </c>
      <c r="Q8" s="3470"/>
      <c r="R8" s="664" t="s">
        <v>20</v>
      </c>
      <c r="S8" s="665">
        <f t="shared" si="0"/>
        <v>100</v>
      </c>
      <c r="T8" s="664" t="s">
        <v>20</v>
      </c>
      <c r="U8" s="665">
        <f t="shared" si="1"/>
        <v>100</v>
      </c>
      <c r="V8" s="664" t="s">
        <v>20</v>
      </c>
      <c r="W8" s="665">
        <f t="shared" si="2"/>
        <v>100</v>
      </c>
      <c r="X8" s="666"/>
      <c r="Y8" s="3469" t="s">
        <v>1683</v>
      </c>
      <c r="Z8" s="3470"/>
      <c r="AA8" s="50">
        <f t="shared" ref="AA8:AA19" si="3">D8/F8</f>
        <v>1</v>
      </c>
      <c r="AB8" s="50">
        <f t="shared" ref="AB8:AB19" si="4">D8/H8</f>
        <v>1</v>
      </c>
      <c r="AC8" s="50">
        <f t="shared" ref="AC8:AC19" si="5">D8/J8</f>
        <v>1</v>
      </c>
    </row>
    <row r="9" spans="1:29" s="102" customFormat="1" ht="14.4">
      <c r="A9" s="359" t="s">
        <v>1684</v>
      </c>
      <c r="B9" s="60" t="s">
        <v>1685</v>
      </c>
      <c r="C9" s="3189" t="s">
        <v>4000</v>
      </c>
      <c r="D9" s="59">
        <v>100</v>
      </c>
      <c r="E9" s="361" t="s">
        <v>3402</v>
      </c>
      <c r="F9" s="60">
        <f>SUMIF(63:63,E9,64:64)-SUMIF(63:63,C9,64:64)+100</f>
        <v>100</v>
      </c>
      <c r="G9" s="361" t="s">
        <v>3402</v>
      </c>
      <c r="H9" s="59">
        <f>SUMIF(63:63,G9,64:64)-SUMIF(63:63,C9,64:64)+100</f>
        <v>100</v>
      </c>
      <c r="I9" s="361" t="s">
        <v>3402</v>
      </c>
      <c r="J9" s="59">
        <f>SUMIF(63:63,I9,64:64)-SUMIF(63:63,C9,64:64)+100</f>
        <v>100</v>
      </c>
      <c r="K9" s="1745"/>
      <c r="L9" s="2484"/>
      <c r="M9" s="2436"/>
      <c r="N9" s="2436"/>
      <c r="O9" s="2436"/>
      <c r="P9" s="3445"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128" t="s">
        <v>4001</v>
      </c>
      <c r="D10" s="119">
        <v>100</v>
      </c>
      <c r="E10" s="3128" t="s">
        <v>4001</v>
      </c>
      <c r="F10" s="364">
        <f>SUMIF(65:65,E10,66:66)-SUMIF(65:65,C10,66:66)+100</f>
        <v>100</v>
      </c>
      <c r="G10" s="3128" t="s">
        <v>4001</v>
      </c>
      <c r="H10" s="119">
        <f>SUMIF(65:65,G10,66:66)-SUMIF(65:65,C10,66:66)+100</f>
        <v>100</v>
      </c>
      <c r="I10" s="3128" t="s">
        <v>4001</v>
      </c>
      <c r="J10" s="119">
        <f>SUMIF(65:65,I10,66:66)-SUMIF(65:65,C10,66:66)+100</f>
        <v>100</v>
      </c>
      <c r="K10" s="1745"/>
      <c r="L10" s="2485"/>
      <c r="M10" s="2486"/>
      <c r="N10" s="2486"/>
      <c r="O10" s="2486"/>
      <c r="P10" s="3445"/>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7"/>
      <c r="M11" s="2483"/>
      <c r="N11" s="2483"/>
      <c r="O11" s="2483"/>
      <c r="P11" s="3445"/>
      <c r="Q11" s="530" t="str">
        <f t="shared" si="6"/>
        <v>容积率</v>
      </c>
      <c r="R11" s="664" t="s">
        <v>18</v>
      </c>
      <c r="S11" s="665">
        <f t="shared" si="0"/>
        <v>100</v>
      </c>
      <c r="T11" s="664" t="s">
        <v>18</v>
      </c>
      <c r="U11" s="665">
        <f t="shared" si="1"/>
        <v>100</v>
      </c>
      <c r="V11" s="664" t="s">
        <v>18</v>
      </c>
      <c r="W11" s="665">
        <f t="shared" si="2"/>
        <v>100</v>
      </c>
      <c r="X11" s="666"/>
      <c r="Y11" s="3334"/>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6"/>
      <c r="N12" s="2436"/>
      <c r="O12" s="2436"/>
      <c r="P12" s="3445"/>
      <c r="Q12" s="530">
        <f t="shared" si="6"/>
        <v>111</v>
      </c>
      <c r="R12" s="664" t="s">
        <v>18</v>
      </c>
      <c r="S12" s="665">
        <f t="shared" si="0"/>
        <v>100</v>
      </c>
      <c r="T12" s="664" t="s">
        <v>18</v>
      </c>
      <c r="U12" s="665">
        <f t="shared" si="1"/>
        <v>100</v>
      </c>
      <c r="V12" s="664" t="s">
        <v>18</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445"/>
      <c r="Q13" s="530">
        <f t="shared" si="6"/>
        <v>111</v>
      </c>
      <c r="R13" s="664" t="s">
        <v>18</v>
      </c>
      <c r="S13" s="665">
        <f t="shared" si="0"/>
        <v>100</v>
      </c>
      <c r="T13" s="664" t="s">
        <v>18</v>
      </c>
      <c r="U13" s="665">
        <f t="shared" si="1"/>
        <v>100</v>
      </c>
      <c r="V13" s="664" t="s">
        <v>18</v>
      </c>
      <c r="W13" s="665">
        <f t="shared" si="2"/>
        <v>100</v>
      </c>
      <c r="X13" s="666"/>
      <c r="Y13" s="3334"/>
      <c r="Z13" s="50">
        <f t="shared" si="7"/>
        <v>111</v>
      </c>
      <c r="AA13" s="50">
        <f t="shared" si="3"/>
        <v>1</v>
      </c>
      <c r="AB13" s="50">
        <f t="shared" si="4"/>
        <v>1</v>
      </c>
      <c r="AC13" s="50">
        <f t="shared" si="5"/>
        <v>1</v>
      </c>
    </row>
    <row r="14" spans="1:29" ht="15.6"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445"/>
      <c r="Q14" s="530">
        <f t="shared" si="6"/>
        <v>111</v>
      </c>
      <c r="R14" s="664" t="s">
        <v>18</v>
      </c>
      <c r="S14" s="665">
        <f t="shared" si="0"/>
        <v>100</v>
      </c>
      <c r="T14" s="664" t="s">
        <v>18</v>
      </c>
      <c r="U14" s="665">
        <f t="shared" si="1"/>
        <v>100</v>
      </c>
      <c r="V14" s="664" t="s">
        <v>18</v>
      </c>
      <c r="W14" s="665">
        <f t="shared" si="2"/>
        <v>100</v>
      </c>
      <c r="X14" s="666"/>
      <c r="Y14" s="3334"/>
      <c r="Z14" s="50">
        <f t="shared" si="7"/>
        <v>111</v>
      </c>
      <c r="AA14" s="50">
        <f t="shared" si="3"/>
        <v>1</v>
      </c>
      <c r="AB14" s="50">
        <f t="shared" si="4"/>
        <v>1</v>
      </c>
      <c r="AC14" s="50">
        <f t="shared" si="5"/>
        <v>1</v>
      </c>
    </row>
    <row r="15" spans="1:29" ht="96.6">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3</v>
      </c>
      <c r="L15" s="2488"/>
      <c r="M15" s="2483"/>
      <c r="N15" s="2483"/>
      <c r="O15" s="2483"/>
      <c r="P15" s="3443" t="s">
        <v>1691</v>
      </c>
      <c r="Q15" s="1262" t="str">
        <f t="shared" si="6"/>
        <v>居住社区成熟度</v>
      </c>
      <c r="R15" s="667" t="s">
        <v>18</v>
      </c>
      <c r="S15" s="668">
        <f t="shared" si="0"/>
        <v>100</v>
      </c>
      <c r="T15" s="667" t="s">
        <v>18</v>
      </c>
      <c r="U15" s="668">
        <f t="shared" si="1"/>
        <v>100</v>
      </c>
      <c r="V15" s="667" t="s">
        <v>18</v>
      </c>
      <c r="W15" s="668">
        <f t="shared" si="2"/>
        <v>100</v>
      </c>
      <c r="X15" s="1264"/>
      <c r="Y15" s="3436" t="s">
        <v>1691</v>
      </c>
      <c r="Z15" s="1263" t="str">
        <f t="shared" si="7"/>
        <v>居住社区成熟度</v>
      </c>
      <c r="AA15" s="1263">
        <f t="shared" si="3"/>
        <v>1</v>
      </c>
      <c r="AB15" s="1263">
        <f t="shared" si="4"/>
        <v>1</v>
      </c>
      <c r="AC15" s="1263">
        <f t="shared" si="5"/>
        <v>1</v>
      </c>
    </row>
    <row r="16" spans="1:29" ht="15">
      <c r="A16" s="367"/>
      <c r="B16" s="385"/>
      <c r="C16" s="386" t="s">
        <v>3566</v>
      </c>
      <c r="D16" s="387"/>
      <c r="E16" s="386" t="s">
        <v>3566</v>
      </c>
      <c r="F16" s="387"/>
      <c r="G16" s="386" t="s">
        <v>3566</v>
      </c>
      <c r="H16" s="389"/>
      <c r="I16" s="386" t="s">
        <v>3566</v>
      </c>
      <c r="J16" s="387"/>
      <c r="K16" s="1751"/>
      <c r="L16" s="2488"/>
      <c r="M16" s="2483"/>
      <c r="N16" s="2483"/>
      <c r="O16" s="2483"/>
      <c r="P16" s="3444"/>
      <c r="Q16" s="1262"/>
      <c r="R16" s="667"/>
      <c r="S16" s="668"/>
      <c r="T16" s="667"/>
      <c r="U16" s="668"/>
      <c r="V16" s="667"/>
      <c r="W16" s="668"/>
      <c r="X16" s="1264"/>
      <c r="Y16" s="3437"/>
      <c r="Z16" s="1263"/>
      <c r="AA16" s="1263">
        <v>1</v>
      </c>
      <c r="AB16" s="1263">
        <v>1</v>
      </c>
      <c r="AC16" s="1263">
        <v>1</v>
      </c>
    </row>
    <row r="17" spans="1:29" ht="82.8">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88"/>
      <c r="M17" s="2483"/>
      <c r="N17" s="2483"/>
      <c r="O17" s="2483"/>
      <c r="P17" s="3444"/>
      <c r="Q17" s="1262" t="str">
        <f>B17</f>
        <v>交通便捷度</v>
      </c>
      <c r="R17" s="667" t="s">
        <v>18</v>
      </c>
      <c r="S17" s="668">
        <f>F17</f>
        <v>100</v>
      </c>
      <c r="T17" s="667" t="s">
        <v>18</v>
      </c>
      <c r="U17" s="668">
        <f>H17</f>
        <v>100</v>
      </c>
      <c r="V17" s="667" t="s">
        <v>18</v>
      </c>
      <c r="W17" s="668">
        <f>J17</f>
        <v>100</v>
      </c>
      <c r="X17" s="1264"/>
      <c r="Y17" s="3437"/>
      <c r="Z17" s="1263" t="str">
        <f>Q17</f>
        <v>交通便捷度</v>
      </c>
      <c r="AA17" s="1263">
        <f t="shared" si="3"/>
        <v>1</v>
      </c>
      <c r="AB17" s="1263">
        <f t="shared" si="4"/>
        <v>1</v>
      </c>
      <c r="AC17" s="1263">
        <f t="shared" si="5"/>
        <v>1</v>
      </c>
    </row>
    <row r="18" spans="1:29" ht="15">
      <c r="A18" s="367"/>
      <c r="B18" s="395"/>
      <c r="C18" s="1753" t="s">
        <v>3978</v>
      </c>
      <c r="D18" s="389"/>
      <c r="E18" s="1753" t="s">
        <v>3978</v>
      </c>
      <c r="F18" s="389"/>
      <c r="G18" s="1753" t="s">
        <v>3978</v>
      </c>
      <c r="H18" s="387"/>
      <c r="I18" s="1753" t="s">
        <v>3978</v>
      </c>
      <c r="J18" s="387"/>
      <c r="K18" s="1751"/>
      <c r="L18" s="2488"/>
      <c r="M18" s="2483"/>
      <c r="N18" s="2483"/>
      <c r="O18" s="2483"/>
      <c r="P18" s="3444"/>
      <c r="Q18" s="1262"/>
      <c r="R18" s="667"/>
      <c r="S18" s="668"/>
      <c r="T18" s="667"/>
      <c r="U18" s="668"/>
      <c r="V18" s="667"/>
      <c r="W18" s="668"/>
      <c r="X18" s="1264"/>
      <c r="Y18" s="3437"/>
      <c r="Z18" s="1263"/>
      <c r="AA18" s="1263">
        <v>1</v>
      </c>
      <c r="AB18" s="1263">
        <v>1</v>
      </c>
      <c r="AC18" s="1263">
        <v>1</v>
      </c>
    </row>
    <row r="19" spans="1:29" ht="41.4">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2</v>
      </c>
      <c r="L19" s="2488"/>
      <c r="M19" s="2483"/>
      <c r="N19" s="2483"/>
      <c r="O19" s="2483"/>
      <c r="P19" s="3444"/>
      <c r="Q19" s="1262" t="str">
        <f>B19</f>
        <v>公共配套设施</v>
      </c>
      <c r="R19" s="667" t="s">
        <v>18</v>
      </c>
      <c r="S19" s="668">
        <f>F19</f>
        <v>100</v>
      </c>
      <c r="T19" s="667" t="s">
        <v>18</v>
      </c>
      <c r="U19" s="668">
        <f>H19</f>
        <v>100</v>
      </c>
      <c r="V19" s="667" t="s">
        <v>18</v>
      </c>
      <c r="W19" s="668">
        <f>J19</f>
        <v>100</v>
      </c>
      <c r="X19" s="1264"/>
      <c r="Y19" s="3437"/>
      <c r="Z19" s="1263" t="str">
        <f>Q19</f>
        <v>公共配套设施</v>
      </c>
      <c r="AA19" s="1263">
        <f t="shared" si="3"/>
        <v>1</v>
      </c>
      <c r="AB19" s="1263">
        <f t="shared" si="4"/>
        <v>1</v>
      </c>
      <c r="AC19" s="1263">
        <f t="shared" si="5"/>
        <v>1</v>
      </c>
    </row>
    <row r="20" spans="1:29" ht="15">
      <c r="A20" s="367"/>
      <c r="B20" s="395"/>
      <c r="C20" s="386" t="s">
        <v>3978</v>
      </c>
      <c r="D20" s="387"/>
      <c r="E20" s="1753" t="s">
        <v>3978</v>
      </c>
      <c r="F20" s="387"/>
      <c r="G20" s="1753" t="s">
        <v>3978</v>
      </c>
      <c r="H20" s="387"/>
      <c r="I20" s="1753" t="s">
        <v>3978</v>
      </c>
      <c r="J20" s="387"/>
      <c r="K20" s="1751"/>
      <c r="L20" s="2488"/>
      <c r="M20" s="2483"/>
      <c r="N20" s="2483"/>
      <c r="O20" s="2483"/>
      <c r="P20" s="3444"/>
      <c r="Q20" s="1262"/>
      <c r="R20" s="667"/>
      <c r="S20" s="668"/>
      <c r="T20" s="667"/>
      <c r="U20" s="668"/>
      <c r="V20" s="667"/>
      <c r="W20" s="668"/>
      <c r="X20" s="1264"/>
      <c r="Y20" s="3437"/>
      <c r="Z20" s="1263"/>
      <c r="AA20" s="1263">
        <v>1</v>
      </c>
      <c r="AB20" s="1263">
        <v>1</v>
      </c>
      <c r="AC20" s="1263">
        <v>1</v>
      </c>
    </row>
    <row r="21" spans="1:29" ht="27.6">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1</v>
      </c>
      <c r="L21" s="2488"/>
      <c r="M21" s="2483"/>
      <c r="N21" s="2483"/>
      <c r="O21" s="2483"/>
      <c r="P21" s="3444"/>
      <c r="Q21" s="1262" t="str">
        <f>B21</f>
        <v>基础设施水平</v>
      </c>
      <c r="R21" s="667" t="s">
        <v>14</v>
      </c>
      <c r="S21" s="668">
        <f>F21</f>
        <v>100</v>
      </c>
      <c r="T21" s="667" t="s">
        <v>14</v>
      </c>
      <c r="U21" s="668">
        <f>H21</f>
        <v>100</v>
      </c>
      <c r="V21" s="667" t="s">
        <v>14</v>
      </c>
      <c r="W21" s="668">
        <f>J21</f>
        <v>100</v>
      </c>
      <c r="X21" s="1264"/>
      <c r="Y21" s="3437"/>
      <c r="Z21" s="1263" t="str">
        <f>Q21</f>
        <v>基础设施水平</v>
      </c>
      <c r="AA21" s="1263">
        <f t="shared" ref="AA21" si="8">D21/F21</f>
        <v>1</v>
      </c>
      <c r="AB21" s="1263">
        <f t="shared" ref="AB21" si="9">D21/H21</f>
        <v>1</v>
      </c>
      <c r="AC21" s="1263">
        <f t="shared" ref="AC21" si="10">D21/J21</f>
        <v>1</v>
      </c>
    </row>
    <row r="22" spans="1:29" ht="15">
      <c r="A22" s="367"/>
      <c r="B22" s="586"/>
      <c r="C22" s="1753" t="s">
        <v>3972</v>
      </c>
      <c r="D22" s="387"/>
      <c r="E22" s="1753" t="s">
        <v>3972</v>
      </c>
      <c r="F22" s="387"/>
      <c r="G22" s="1753" t="s">
        <v>3972</v>
      </c>
      <c r="H22" s="387"/>
      <c r="I22" s="1753" t="s">
        <v>3972</v>
      </c>
      <c r="J22" s="387"/>
      <c r="K22" s="1757"/>
      <c r="L22" s="2488"/>
      <c r="M22" s="2483"/>
      <c r="N22" s="2483"/>
      <c r="O22" s="2483"/>
      <c r="P22" s="3444"/>
      <c r="Q22" s="1262"/>
      <c r="R22" s="667"/>
      <c r="S22" s="668"/>
      <c r="T22" s="667"/>
      <c r="U22" s="668"/>
      <c r="V22" s="667"/>
      <c r="W22" s="668"/>
      <c r="X22" s="1264"/>
      <c r="Y22" s="3437"/>
      <c r="Z22" s="1263"/>
      <c r="AA22" s="1263">
        <v>1</v>
      </c>
      <c r="AB22" s="1263">
        <v>1</v>
      </c>
      <c r="AC22" s="1263">
        <v>1</v>
      </c>
    </row>
    <row r="23" spans="1:29" ht="55.2">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2</v>
      </c>
      <c r="L23" s="2488"/>
      <c r="M23" s="2483"/>
      <c r="N23" s="2483"/>
      <c r="O23" s="2483"/>
      <c r="P23" s="3444"/>
      <c r="Q23" s="1262" t="str">
        <f>B23</f>
        <v>自然及人文环境</v>
      </c>
      <c r="R23" s="667" t="s">
        <v>18</v>
      </c>
      <c r="S23" s="668">
        <f>F23</f>
        <v>100</v>
      </c>
      <c r="T23" s="667" t="s">
        <v>18</v>
      </c>
      <c r="U23" s="668">
        <f>H23</f>
        <v>100</v>
      </c>
      <c r="V23" s="667" t="s">
        <v>18</v>
      </c>
      <c r="W23" s="668">
        <f>J23</f>
        <v>100</v>
      </c>
      <c r="X23" s="1264"/>
      <c r="Y23" s="3437"/>
      <c r="Z23" s="1263" t="str">
        <f>Q23</f>
        <v>自然及人文环境</v>
      </c>
      <c r="AA23" s="1263">
        <f>D23/F23</f>
        <v>1</v>
      </c>
      <c r="AB23" s="1263">
        <f>D23/H23</f>
        <v>1</v>
      </c>
      <c r="AC23" s="1263">
        <f>D23/J23</f>
        <v>1</v>
      </c>
    </row>
    <row r="24" spans="1:29" ht="15">
      <c r="A24" s="367"/>
      <c r="B24" s="395"/>
      <c r="C24" s="386" t="s">
        <v>3566</v>
      </c>
      <c r="D24" s="387"/>
      <c r="E24" s="386" t="s">
        <v>3566</v>
      </c>
      <c r="F24" s="387"/>
      <c r="G24" s="386" t="s">
        <v>3566</v>
      </c>
      <c r="H24" s="387"/>
      <c r="I24" s="386" t="s">
        <v>3566</v>
      </c>
      <c r="J24" s="387"/>
      <c r="K24" s="1751"/>
      <c r="L24" s="2488"/>
      <c r="M24" s="2483"/>
      <c r="N24" s="2483"/>
      <c r="O24" s="2483"/>
      <c r="P24" s="3444"/>
      <c r="Q24" s="1262"/>
      <c r="R24" s="667"/>
      <c r="S24" s="668"/>
      <c r="T24" s="667"/>
      <c r="U24" s="668"/>
      <c r="V24" s="667"/>
      <c r="W24" s="668"/>
      <c r="X24" s="1264"/>
      <c r="Y24" s="3437"/>
      <c r="Z24" s="1263"/>
      <c r="AA24" s="1263">
        <v>1</v>
      </c>
      <c r="AB24" s="1263">
        <v>1</v>
      </c>
      <c r="AC24" s="1263">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444"/>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37"/>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88"/>
      <c r="M26" s="2483"/>
      <c r="N26" s="2483"/>
      <c r="O26" s="2483"/>
      <c r="P26" s="3444"/>
      <c r="Q26" s="1262" t="str">
        <f t="shared" si="11"/>
        <v>朝向</v>
      </c>
      <c r="R26" s="667" t="s">
        <v>18</v>
      </c>
      <c r="S26" s="668">
        <f t="shared" si="12"/>
        <v>100</v>
      </c>
      <c r="T26" s="667" t="s">
        <v>18</v>
      </c>
      <c r="U26" s="668">
        <f t="shared" si="13"/>
        <v>100</v>
      </c>
      <c r="V26" s="667" t="s">
        <v>18</v>
      </c>
      <c r="W26" s="668">
        <f t="shared" si="14"/>
        <v>100</v>
      </c>
      <c r="X26" s="1264"/>
      <c r="Y26" s="3437"/>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6"/>
      <c r="L27" s="2484"/>
      <c r="M27" s="2436"/>
      <c r="N27" s="2436"/>
      <c r="O27" s="2436"/>
      <c r="P27" s="3444"/>
      <c r="Q27" s="530">
        <f t="shared" si="11"/>
        <v>111</v>
      </c>
      <c r="R27" s="664" t="s">
        <v>18</v>
      </c>
      <c r="S27" s="665">
        <f t="shared" si="12"/>
        <v>100</v>
      </c>
      <c r="T27" s="664" t="s">
        <v>18</v>
      </c>
      <c r="U27" s="665">
        <f t="shared" si="13"/>
        <v>100</v>
      </c>
      <c r="V27" s="664" t="s">
        <v>18</v>
      </c>
      <c r="W27" s="665">
        <f t="shared" si="14"/>
        <v>100</v>
      </c>
      <c r="X27" s="666"/>
      <c r="Y27" s="3437"/>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0"/>
      <c r="H28" s="374">
        <f>SUMIF(92:92,G28,93:93)-SUMIF(92:92,C28,93:93)+100</f>
        <v>100</v>
      </c>
      <c r="I28" s="373"/>
      <c r="J28" s="374">
        <f>SUMIF(92:92,I28,93:93)-SUMIF(92:92,C28,93:93)+100</f>
        <v>100</v>
      </c>
      <c r="K28" s="1746"/>
      <c r="L28" s="2488"/>
      <c r="M28" s="2483"/>
      <c r="N28" s="2483"/>
      <c r="O28" s="2483"/>
      <c r="P28" s="3444"/>
      <c r="Q28" s="1262">
        <f t="shared" si="11"/>
        <v>111</v>
      </c>
      <c r="R28" s="667" t="s">
        <v>18</v>
      </c>
      <c r="S28" s="668">
        <f t="shared" si="12"/>
        <v>100</v>
      </c>
      <c r="T28" s="667" t="s">
        <v>18</v>
      </c>
      <c r="U28" s="668">
        <f t="shared" si="13"/>
        <v>100</v>
      </c>
      <c r="V28" s="667" t="s">
        <v>18</v>
      </c>
      <c r="W28" s="668">
        <f t="shared" si="14"/>
        <v>100</v>
      </c>
      <c r="X28" s="1264"/>
      <c r="Y28" s="3437"/>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444"/>
      <c r="Q29" s="1262">
        <f t="shared" si="11"/>
        <v>111</v>
      </c>
      <c r="R29" s="667" t="s">
        <v>18</v>
      </c>
      <c r="S29" s="668">
        <f t="shared" si="12"/>
        <v>100</v>
      </c>
      <c r="T29" s="667" t="s">
        <v>18</v>
      </c>
      <c r="U29" s="668">
        <f t="shared" si="13"/>
        <v>100</v>
      </c>
      <c r="V29" s="667" t="s">
        <v>18</v>
      </c>
      <c r="W29" s="668">
        <f t="shared" si="14"/>
        <v>100</v>
      </c>
      <c r="X29" s="1264"/>
      <c r="Y29" s="3437"/>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444"/>
      <c r="Q30" s="1262">
        <f t="shared" si="11"/>
        <v>111</v>
      </c>
      <c r="R30" s="667" t="s">
        <v>18</v>
      </c>
      <c r="S30" s="668">
        <f t="shared" si="12"/>
        <v>100</v>
      </c>
      <c r="T30" s="667" t="s">
        <v>18</v>
      </c>
      <c r="U30" s="668">
        <f t="shared" si="13"/>
        <v>100</v>
      </c>
      <c r="V30" s="667" t="s">
        <v>18</v>
      </c>
      <c r="W30" s="668">
        <f t="shared" si="14"/>
        <v>100</v>
      </c>
      <c r="X30" s="1264"/>
      <c r="Y30" s="3437"/>
      <c r="Z30" s="1263">
        <f t="shared" si="18"/>
        <v>111</v>
      </c>
      <c r="AA30" s="1263">
        <f t="shared" si="15"/>
        <v>1</v>
      </c>
      <c r="AB30" s="1263">
        <f t="shared" si="16"/>
        <v>1</v>
      </c>
      <c r="AC30" s="1263">
        <f t="shared" si="17"/>
        <v>1</v>
      </c>
    </row>
    <row r="31" spans="1:29" ht="15.6"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444"/>
      <c r="Q31" s="1262">
        <f t="shared" si="11"/>
        <v>111</v>
      </c>
      <c r="R31" s="667" t="s">
        <v>18</v>
      </c>
      <c r="S31" s="668">
        <f t="shared" si="12"/>
        <v>100</v>
      </c>
      <c r="T31" s="667" t="s">
        <v>18</v>
      </c>
      <c r="U31" s="668">
        <f t="shared" si="13"/>
        <v>100</v>
      </c>
      <c r="V31" s="667" t="s">
        <v>18</v>
      </c>
      <c r="W31" s="668">
        <f t="shared" si="14"/>
        <v>100</v>
      </c>
      <c r="X31" s="1264"/>
      <c r="Y31" s="3437"/>
      <c r="Z31" s="1263">
        <f t="shared" si="18"/>
        <v>111</v>
      </c>
      <c r="AA31" s="1263">
        <f t="shared" si="15"/>
        <v>1</v>
      </c>
      <c r="AB31" s="1263">
        <f t="shared" si="16"/>
        <v>1</v>
      </c>
      <c r="AC31" s="1263">
        <f t="shared" si="17"/>
        <v>1</v>
      </c>
    </row>
    <row r="32" spans="1:29" ht="15">
      <c r="A32" s="379" t="s">
        <v>1694</v>
      </c>
      <c r="B32" s="60" t="s">
        <v>1695</v>
      </c>
      <c r="C32" s="1762" t="s">
        <v>3990</v>
      </c>
      <c r="D32" s="405">
        <v>100</v>
      </c>
      <c r="E32" s="1762" t="s">
        <v>3990</v>
      </c>
      <c r="F32" s="400">
        <f>SUMIF(100:100,E32,101:101)-SUMIF(100:100,C32,101:101)+100</f>
        <v>100</v>
      </c>
      <c r="G32" s="1762" t="s">
        <v>3990</v>
      </c>
      <c r="H32" s="405">
        <f>SUMIF(100:100,G32,101:101)-SUMIF(100:100,C32,101:101)+100</f>
        <v>100</v>
      </c>
      <c r="I32" s="1762" t="s">
        <v>3990</v>
      </c>
      <c r="J32" s="374">
        <f>SUMIF(100:100,I32,101:101)-SUMIF(100:100,C32,101:101)+100</f>
        <v>100</v>
      </c>
      <c r="K32" s="365">
        <v>2</v>
      </c>
      <c r="L32" s="2488"/>
      <c r="M32" s="2483"/>
      <c r="N32" s="2483"/>
      <c r="O32" s="2483"/>
      <c r="P32" s="3438" t="s">
        <v>1696</v>
      </c>
      <c r="Q32" s="1262" t="str">
        <f t="shared" si="11"/>
        <v>建筑类型</v>
      </c>
      <c r="R32" s="667" t="s">
        <v>18</v>
      </c>
      <c r="S32" s="668">
        <f t="shared" si="12"/>
        <v>100</v>
      </c>
      <c r="T32" s="667" t="s">
        <v>18</v>
      </c>
      <c r="U32" s="668">
        <f t="shared" si="13"/>
        <v>100</v>
      </c>
      <c r="V32" s="667" t="s">
        <v>18</v>
      </c>
      <c r="W32" s="668">
        <f t="shared" si="14"/>
        <v>100</v>
      </c>
      <c r="X32" s="1264"/>
      <c r="Y32" s="3441" t="s">
        <v>1696</v>
      </c>
      <c r="Z32" s="1263" t="str">
        <f t="shared" si="18"/>
        <v>建筑类型</v>
      </c>
      <c r="AA32" s="1263">
        <f t="shared" si="15"/>
        <v>1</v>
      </c>
      <c r="AB32" s="1263">
        <f t="shared" si="16"/>
        <v>1</v>
      </c>
      <c r="AC32" s="1263">
        <f t="shared" si="17"/>
        <v>1</v>
      </c>
    </row>
    <row r="33" spans="1:29" s="408" customFormat="1" ht="15">
      <c r="A33" s="406"/>
      <c r="B33" s="364" t="s">
        <v>1697</v>
      </c>
      <c r="C33" s="407">
        <f>'数据-汇总表'!E19</f>
        <v>185.94</v>
      </c>
      <c r="D33" s="119">
        <v>100</v>
      </c>
      <c r="E33" s="369">
        <v>193.24</v>
      </c>
      <c r="F33" s="364">
        <f>LOOKUP(E33,103:103,104:104)-LOOKUP(C33,103:103,104:104)+100</f>
        <v>100</v>
      </c>
      <c r="G33" s="368">
        <v>185.94</v>
      </c>
      <c r="H33" s="119">
        <f>LOOKUP(G33,103:103,104:104)-LOOKUP(C33,103:103,104:104)+100</f>
        <v>100</v>
      </c>
      <c r="I33" s="369">
        <v>185.94</v>
      </c>
      <c r="J33" s="119">
        <f>LOOKUP(I33,103:103,104:104)-LOOKUP(C33,103:103,104:104)+100</f>
        <v>100</v>
      </c>
      <c r="K33" s="1746"/>
      <c r="L33" s="2487"/>
      <c r="M33" s="2489"/>
      <c r="N33" s="2489"/>
      <c r="O33" s="2489"/>
      <c r="P33" s="3439"/>
      <c r="Q33" s="531" t="str">
        <f t="shared" si="11"/>
        <v>项目建筑规模</v>
      </c>
      <c r="R33" s="669" t="s">
        <v>18</v>
      </c>
      <c r="S33" s="670">
        <f t="shared" si="12"/>
        <v>100</v>
      </c>
      <c r="T33" s="669" t="s">
        <v>18</v>
      </c>
      <c r="U33" s="670">
        <f t="shared" si="13"/>
        <v>100</v>
      </c>
      <c r="V33" s="669" t="s">
        <v>18</v>
      </c>
      <c r="W33" s="670">
        <f t="shared" si="14"/>
        <v>100</v>
      </c>
      <c r="X33" s="671"/>
      <c r="Y33" s="3441"/>
      <c r="Z33" s="672" t="str">
        <f t="shared" si="18"/>
        <v>项目建筑规模</v>
      </c>
      <c r="AA33" s="1263">
        <f t="shared" si="15"/>
        <v>1</v>
      </c>
      <c r="AB33" s="1263">
        <f t="shared" si="16"/>
        <v>1</v>
      </c>
      <c r="AC33" s="1263">
        <f t="shared" si="17"/>
        <v>1</v>
      </c>
    </row>
    <row r="34" spans="1:29" ht="15">
      <c r="A34" s="409"/>
      <c r="B34" s="364" t="s">
        <v>1698</v>
      </c>
      <c r="C34" s="399" t="s">
        <v>3483</v>
      </c>
      <c r="D34" s="374">
        <v>100</v>
      </c>
      <c r="E34" s="399" t="s">
        <v>3483</v>
      </c>
      <c r="F34" s="400">
        <f>SUMIF(105:105,E34,106:106)-SUMIF(105:105,C34,106:106)+100</f>
        <v>100</v>
      </c>
      <c r="G34" s="399" t="s">
        <v>3483</v>
      </c>
      <c r="H34" s="374">
        <f>SUMIF(105:105,G34,106:106)-SUMIF(105:105,C34,106:106)+100</f>
        <v>100</v>
      </c>
      <c r="I34" s="399" t="s">
        <v>3483</v>
      </c>
      <c r="J34" s="374">
        <f>SUMIF(105:105,I34,106:106)-SUMIF(105:105,C34,106:106)+100</f>
        <v>100</v>
      </c>
      <c r="K34" s="365">
        <v>2</v>
      </c>
      <c r="L34" s="2488"/>
      <c r="M34" s="2483"/>
      <c r="N34" s="2483"/>
      <c r="O34" s="2483"/>
      <c r="P34" s="3439"/>
      <c r="Q34" s="1262" t="str">
        <f t="shared" si="11"/>
        <v>建筑结构</v>
      </c>
      <c r="R34" s="667" t="s">
        <v>18</v>
      </c>
      <c r="S34" s="668">
        <f t="shared" si="12"/>
        <v>100</v>
      </c>
      <c r="T34" s="667" t="s">
        <v>18</v>
      </c>
      <c r="U34" s="668">
        <f t="shared" si="13"/>
        <v>100</v>
      </c>
      <c r="V34" s="667" t="s">
        <v>18</v>
      </c>
      <c r="W34" s="668">
        <f t="shared" si="14"/>
        <v>100</v>
      </c>
      <c r="X34" s="1264"/>
      <c r="Y34" s="3441"/>
      <c r="Z34" s="1263" t="str">
        <f t="shared" si="18"/>
        <v>建筑结构</v>
      </c>
      <c r="AA34" s="1263">
        <f t="shared" si="15"/>
        <v>1</v>
      </c>
      <c r="AB34" s="1263">
        <f t="shared" si="16"/>
        <v>1</v>
      </c>
      <c r="AC34" s="1263">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88"/>
      <c r="M35" s="2483"/>
      <c r="N35" s="2483"/>
      <c r="O35" s="2483"/>
      <c r="P35" s="3439"/>
      <c r="Q35" s="1262" t="str">
        <f t="shared" si="11"/>
        <v>建筑品质</v>
      </c>
      <c r="R35" s="667" t="s">
        <v>18</v>
      </c>
      <c r="S35" s="668">
        <f t="shared" si="12"/>
        <v>100</v>
      </c>
      <c r="T35" s="667" t="s">
        <v>18</v>
      </c>
      <c r="U35" s="668">
        <f t="shared" si="13"/>
        <v>100</v>
      </c>
      <c r="V35" s="667" t="s">
        <v>18</v>
      </c>
      <c r="W35" s="668">
        <f t="shared" si="14"/>
        <v>100</v>
      </c>
      <c r="X35" s="1264"/>
      <c r="Y35" s="3441"/>
      <c r="Z35" s="1263" t="str">
        <f t="shared" si="18"/>
        <v>建筑品质</v>
      </c>
      <c r="AA35" s="1263">
        <f t="shared" si="15"/>
        <v>1</v>
      </c>
      <c r="AB35" s="1263">
        <f t="shared" si="16"/>
        <v>1</v>
      </c>
      <c r="AC35" s="1263">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88"/>
      <c r="M36" s="2483"/>
      <c r="N36" s="2483"/>
      <c r="O36" s="2483"/>
      <c r="P36" s="3439"/>
      <c r="Q36" s="1262" t="str">
        <f t="shared" si="11"/>
        <v>公共部分装修</v>
      </c>
      <c r="R36" s="667" t="s">
        <v>18</v>
      </c>
      <c r="S36" s="668">
        <f t="shared" si="12"/>
        <v>100</v>
      </c>
      <c r="T36" s="667" t="s">
        <v>18</v>
      </c>
      <c r="U36" s="668">
        <f t="shared" si="13"/>
        <v>100</v>
      </c>
      <c r="V36" s="667" t="s">
        <v>18</v>
      </c>
      <c r="W36" s="668">
        <f t="shared" si="14"/>
        <v>100</v>
      </c>
      <c r="X36" s="1264"/>
      <c r="Y36" s="3441"/>
      <c r="Z36" s="1263" t="str">
        <f t="shared" si="18"/>
        <v>公共部分装修</v>
      </c>
      <c r="AA36" s="1263">
        <f t="shared" si="15"/>
        <v>1</v>
      </c>
      <c r="AB36" s="1263">
        <f t="shared" si="16"/>
        <v>1</v>
      </c>
      <c r="AC36" s="1263">
        <f t="shared" si="17"/>
        <v>1</v>
      </c>
    </row>
    <row r="37" spans="1:29" s="102" customFormat="1" ht="15">
      <c r="A37" s="410"/>
      <c r="B37" s="364" t="s">
        <v>1701</v>
      </c>
      <c r="C37" s="411">
        <f>'数据-取费表'!N6</f>
        <v>0.83</v>
      </c>
      <c r="D37" s="119">
        <v>100</v>
      </c>
      <c r="E37" s="411">
        <f>C37</f>
        <v>0.83</v>
      </c>
      <c r="F37" s="364">
        <f>LOOKUP(E37,112:112,113:113)-LOOKUP(C37,112:112,113:113)+100</f>
        <v>100</v>
      </c>
      <c r="G37" s="413">
        <f>C37</f>
        <v>0.83</v>
      </c>
      <c r="H37" s="119">
        <f>LOOKUP(G37,112:112,113:113)-LOOKUP(C37,112:112,113:113)+100</f>
        <v>100</v>
      </c>
      <c r="I37" s="412">
        <f>C37</f>
        <v>0.83</v>
      </c>
      <c r="J37" s="119">
        <f>LOOKUP(I37,112:112,113:113)-LOOKUP(C37,112:112,113:113)+100</f>
        <v>100</v>
      </c>
      <c r="K37" s="365">
        <v>1</v>
      </c>
      <c r="L37" s="2484"/>
      <c r="M37" s="2436"/>
      <c r="N37" s="2436"/>
      <c r="O37" s="2436"/>
      <c r="P37" s="3439"/>
      <c r="Q37" s="530" t="str">
        <f t="shared" si="11"/>
        <v>成新度</v>
      </c>
      <c r="R37" s="664" t="s">
        <v>18</v>
      </c>
      <c r="S37" s="665">
        <f t="shared" si="12"/>
        <v>100</v>
      </c>
      <c r="T37" s="664" t="s">
        <v>18</v>
      </c>
      <c r="U37" s="665">
        <f t="shared" si="13"/>
        <v>100</v>
      </c>
      <c r="V37" s="664" t="s">
        <v>18</v>
      </c>
      <c r="W37" s="665">
        <f t="shared" si="14"/>
        <v>100</v>
      </c>
      <c r="X37" s="666"/>
      <c r="Y37" s="3441"/>
      <c r="Z37" s="50" t="str">
        <f t="shared" si="18"/>
        <v>成新度</v>
      </c>
      <c r="AA37" s="50">
        <f t="shared" si="15"/>
        <v>1</v>
      </c>
      <c r="AB37" s="50">
        <f t="shared" si="16"/>
        <v>1</v>
      </c>
      <c r="AC37" s="50">
        <f t="shared" si="17"/>
        <v>1</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88"/>
      <c r="M38" s="2483"/>
      <c r="N38" s="2483"/>
      <c r="O38" s="2483"/>
      <c r="P38" s="3439" t="s">
        <v>1696</v>
      </c>
      <c r="Q38" s="1262" t="str">
        <f t="shared" si="11"/>
        <v>物业管理</v>
      </c>
      <c r="R38" s="667" t="s">
        <v>18</v>
      </c>
      <c r="S38" s="668">
        <f t="shared" si="12"/>
        <v>100</v>
      </c>
      <c r="T38" s="667" t="s">
        <v>18</v>
      </c>
      <c r="U38" s="668">
        <f t="shared" si="13"/>
        <v>100</v>
      </c>
      <c r="V38" s="667" t="s">
        <v>18</v>
      </c>
      <c r="W38" s="668">
        <f t="shared" si="14"/>
        <v>100</v>
      </c>
      <c r="X38" s="1264"/>
      <c r="Y38" s="3441" t="s">
        <v>1696</v>
      </c>
      <c r="Z38" s="1263" t="str">
        <f t="shared" si="18"/>
        <v>物业管理</v>
      </c>
      <c r="AA38" s="1263">
        <f t="shared" si="15"/>
        <v>1</v>
      </c>
      <c r="AB38" s="1263">
        <f t="shared" si="16"/>
        <v>1</v>
      </c>
      <c r="AC38" s="1263">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88"/>
      <c r="M39" s="2483"/>
      <c r="N39" s="2483"/>
      <c r="O39" s="2483"/>
      <c r="P39" s="3439"/>
      <c r="Q39" s="1262" t="str">
        <f t="shared" si="11"/>
        <v>市政基础设施</v>
      </c>
      <c r="R39" s="667" t="s">
        <v>18</v>
      </c>
      <c r="S39" s="668">
        <f t="shared" si="12"/>
        <v>100</v>
      </c>
      <c r="T39" s="667" t="s">
        <v>18</v>
      </c>
      <c r="U39" s="668">
        <f t="shared" si="13"/>
        <v>100</v>
      </c>
      <c r="V39" s="667" t="s">
        <v>18</v>
      </c>
      <c r="W39" s="668">
        <f t="shared" si="14"/>
        <v>100</v>
      </c>
      <c r="X39" s="1264"/>
      <c r="Y39" s="3441"/>
      <c r="Z39" s="1263" t="str">
        <f t="shared" si="18"/>
        <v>市政基础设施</v>
      </c>
      <c r="AA39" s="1263">
        <f t="shared" si="15"/>
        <v>1</v>
      </c>
      <c r="AB39" s="1263">
        <f t="shared" si="16"/>
        <v>1</v>
      </c>
      <c r="AC39" s="1263">
        <f t="shared" si="17"/>
        <v>1</v>
      </c>
    </row>
    <row r="40" spans="1:29" ht="15">
      <c r="A40" s="409"/>
      <c r="B40" s="364" t="s">
        <v>1704</v>
      </c>
      <c r="C40" s="1758" t="s">
        <v>3593</v>
      </c>
      <c r="D40" s="374">
        <v>100</v>
      </c>
      <c r="E40" s="1758" t="s">
        <v>3593</v>
      </c>
      <c r="F40" s="400">
        <f>SUMIF(118:118,E40,119:119)-SUMIF(118:118,C40,119:119)+100</f>
        <v>100</v>
      </c>
      <c r="G40" s="1758" t="s">
        <v>3593</v>
      </c>
      <c r="H40" s="374">
        <f>SUMIF(118:118,G40,119:119)-SUMIF(118:118,C40,119:119)+100</f>
        <v>100</v>
      </c>
      <c r="I40" s="1758" t="s">
        <v>3593</v>
      </c>
      <c r="J40" s="374">
        <f>SUMIF(118:118,I40,119:119)-SUMIF(118:118,C40,119:119)+100</f>
        <v>100</v>
      </c>
      <c r="K40" s="365">
        <v>5</v>
      </c>
      <c r="L40" s="2488"/>
      <c r="M40" s="2483"/>
      <c r="N40" s="2483"/>
      <c r="O40" s="2483"/>
      <c r="P40" s="3439"/>
      <c r="Q40" s="1262" t="str">
        <f t="shared" si="11"/>
        <v>房型</v>
      </c>
      <c r="R40" s="667" t="s">
        <v>18</v>
      </c>
      <c r="S40" s="668">
        <f t="shared" si="12"/>
        <v>100</v>
      </c>
      <c r="T40" s="667" t="s">
        <v>18</v>
      </c>
      <c r="U40" s="668">
        <f t="shared" si="13"/>
        <v>100</v>
      </c>
      <c r="V40" s="667" t="s">
        <v>18</v>
      </c>
      <c r="W40" s="668">
        <f t="shared" si="14"/>
        <v>100</v>
      </c>
      <c r="X40" s="1264"/>
      <c r="Y40" s="3441"/>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7"/>
      <c r="M41" s="2489"/>
      <c r="N41" s="2489"/>
      <c r="O41" s="2489"/>
      <c r="P41" s="3439"/>
      <c r="Q41" s="531" t="str">
        <f t="shared" si="11"/>
        <v>单套/主力户型建筑面积</v>
      </c>
      <c r="R41" s="669" t="s">
        <v>18</v>
      </c>
      <c r="S41" s="670">
        <f t="shared" si="12"/>
        <v>100</v>
      </c>
      <c r="T41" s="669" t="s">
        <v>18</v>
      </c>
      <c r="U41" s="670">
        <f t="shared" si="13"/>
        <v>100</v>
      </c>
      <c r="V41" s="669" t="s">
        <v>18</v>
      </c>
      <c r="W41" s="670">
        <f t="shared" si="14"/>
        <v>100</v>
      </c>
      <c r="X41" s="671"/>
      <c r="Y41" s="3441"/>
      <c r="Z41" s="672" t="str">
        <f t="shared" si="18"/>
        <v>单套/主力户型建筑面积</v>
      </c>
      <c r="AA41" s="1263">
        <f t="shared" si="15"/>
        <v>1</v>
      </c>
      <c r="AB41" s="1263">
        <f t="shared" si="16"/>
        <v>1</v>
      </c>
      <c r="AC41" s="1263">
        <f t="shared" si="17"/>
        <v>1</v>
      </c>
    </row>
    <row r="42" spans="1:29" ht="15">
      <c r="A42" s="409"/>
      <c r="B42" s="364" t="s">
        <v>1706</v>
      </c>
      <c r="C42" s="1758" t="s">
        <v>3998</v>
      </c>
      <c r="D42" s="374">
        <v>100</v>
      </c>
      <c r="E42" s="1758" t="s">
        <v>3998</v>
      </c>
      <c r="F42" s="400">
        <f>SUMIF(122:122,E42,123:123)-SUMIF(122:122,C42,123:123)+100</f>
        <v>100</v>
      </c>
      <c r="G42" s="1758" t="s">
        <v>3998</v>
      </c>
      <c r="H42" s="374">
        <f>SUMIF(122:122,G42,123:123)-SUMIF(122:122,C42,123:123)+100</f>
        <v>100</v>
      </c>
      <c r="I42" s="1758" t="s">
        <v>3998</v>
      </c>
      <c r="J42" s="374">
        <f>SUMIF(122:122,I42,123:123)-SUMIF(122:122,C42,123:123)+100</f>
        <v>100</v>
      </c>
      <c r="K42" s="365"/>
      <c r="L42" s="2488"/>
      <c r="M42" s="2483"/>
      <c r="N42" s="2483"/>
      <c r="O42" s="2483"/>
      <c r="P42" s="3439"/>
      <c r="Q42" s="1262" t="str">
        <f t="shared" si="11"/>
        <v>内部装修</v>
      </c>
      <c r="R42" s="667" t="s">
        <v>18</v>
      </c>
      <c r="S42" s="668">
        <f t="shared" si="12"/>
        <v>100</v>
      </c>
      <c r="T42" s="667" t="s">
        <v>18</v>
      </c>
      <c r="U42" s="668">
        <f t="shared" si="13"/>
        <v>100</v>
      </c>
      <c r="V42" s="667" t="s">
        <v>18</v>
      </c>
      <c r="W42" s="668">
        <f t="shared" si="14"/>
        <v>100</v>
      </c>
      <c r="X42" s="1264"/>
      <c r="Y42" s="3441"/>
      <c r="Z42" s="1263" t="str">
        <f t="shared" si="18"/>
        <v>内部装修</v>
      </c>
      <c r="AA42" s="1263">
        <f t="shared" si="15"/>
        <v>1</v>
      </c>
      <c r="AB42" s="1263">
        <f t="shared" si="16"/>
        <v>1</v>
      </c>
      <c r="AC42" s="1263">
        <f t="shared" si="17"/>
        <v>1</v>
      </c>
    </row>
    <row r="43" spans="1:29" ht="28.8">
      <c r="A43" s="409"/>
      <c r="B43" s="364" t="s">
        <v>1707</v>
      </c>
      <c r="C43" s="1758" t="s">
        <v>3566</v>
      </c>
      <c r="D43" s="374">
        <v>100</v>
      </c>
      <c r="E43" s="1758" t="s">
        <v>3566</v>
      </c>
      <c r="F43" s="400">
        <f>SUMIF(124:124,E43,125:125)-SUMIF(124:124,C43,125:125)+100</f>
        <v>100</v>
      </c>
      <c r="G43" s="1758" t="s">
        <v>3566</v>
      </c>
      <c r="H43" s="374">
        <f>SUMIF(124:124,G43,125:125)-SUMIF(124:124,C43,125:125)+100</f>
        <v>100</v>
      </c>
      <c r="I43" s="1758" t="s">
        <v>3566</v>
      </c>
      <c r="J43" s="374">
        <f>SUMIF(124:124,I43,125:125)-SUMIF(124:124,C43,125:125)+100</f>
        <v>100</v>
      </c>
      <c r="K43" s="365"/>
      <c r="L43" s="2488"/>
      <c r="M43" s="2483"/>
      <c r="N43" s="2483"/>
      <c r="O43" s="2483"/>
      <c r="P43" s="3439"/>
      <c r="Q43" s="1262" t="str">
        <f t="shared" si="11"/>
        <v>内部装修维护情况</v>
      </c>
      <c r="R43" s="667" t="s">
        <v>18</v>
      </c>
      <c r="S43" s="668">
        <f t="shared" si="12"/>
        <v>100</v>
      </c>
      <c r="T43" s="667" t="s">
        <v>18</v>
      </c>
      <c r="U43" s="668">
        <f t="shared" si="13"/>
        <v>100</v>
      </c>
      <c r="V43" s="667" t="s">
        <v>18</v>
      </c>
      <c r="W43" s="668">
        <f t="shared" si="14"/>
        <v>100</v>
      </c>
      <c r="X43" s="1264"/>
      <c r="Y43" s="3441"/>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4"/>
      <c r="M44" s="2436"/>
      <c r="N44" s="2436"/>
      <c r="O44" s="2436"/>
      <c r="P44" s="3439"/>
      <c r="Q44" s="530">
        <f t="shared" si="11"/>
        <v>111</v>
      </c>
      <c r="R44" s="664" t="s">
        <v>18</v>
      </c>
      <c r="S44" s="665">
        <f t="shared" si="12"/>
        <v>100</v>
      </c>
      <c r="T44" s="664" t="s">
        <v>18</v>
      </c>
      <c r="U44" s="665">
        <f t="shared" si="13"/>
        <v>100</v>
      </c>
      <c r="V44" s="664" t="s">
        <v>18</v>
      </c>
      <c r="W44" s="665">
        <f t="shared" si="14"/>
        <v>100</v>
      </c>
      <c r="X44" s="666"/>
      <c r="Y44" s="344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439"/>
      <c r="Q45" s="1262">
        <f t="shared" si="11"/>
        <v>111</v>
      </c>
      <c r="R45" s="667" t="s">
        <v>18</v>
      </c>
      <c r="S45" s="668">
        <f t="shared" si="12"/>
        <v>100</v>
      </c>
      <c r="T45" s="667" t="s">
        <v>18</v>
      </c>
      <c r="U45" s="668">
        <f t="shared" si="13"/>
        <v>100</v>
      </c>
      <c r="V45" s="667" t="s">
        <v>18</v>
      </c>
      <c r="W45" s="668">
        <f t="shared" si="14"/>
        <v>100</v>
      </c>
      <c r="X45" s="1264"/>
      <c r="Y45" s="3441"/>
      <c r="Z45" s="1263">
        <f t="shared" si="18"/>
        <v>111</v>
      </c>
      <c r="AA45" s="1263">
        <f t="shared" si="15"/>
        <v>1</v>
      </c>
      <c r="AB45" s="1263">
        <f t="shared" si="16"/>
        <v>1</v>
      </c>
      <c r="AC45" s="1263">
        <f t="shared" si="17"/>
        <v>1</v>
      </c>
    </row>
    <row r="46" spans="1:29" ht="15.6"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440"/>
      <c r="Q46" s="1262">
        <f t="shared" si="11"/>
        <v>111</v>
      </c>
      <c r="R46" s="667" t="s">
        <v>17</v>
      </c>
      <c r="S46" s="668">
        <f t="shared" si="12"/>
        <v>100</v>
      </c>
      <c r="T46" s="667" t="s">
        <v>17</v>
      </c>
      <c r="U46" s="668">
        <f t="shared" si="13"/>
        <v>100</v>
      </c>
      <c r="V46" s="667" t="s">
        <v>17</v>
      </c>
      <c r="W46" s="668">
        <f t="shared" si="14"/>
        <v>100</v>
      </c>
      <c r="X46" s="1264"/>
      <c r="Y46" s="3442"/>
      <c r="Z46" s="1263">
        <f t="shared" si="18"/>
        <v>111</v>
      </c>
      <c r="AA46" s="1263">
        <f t="shared" si="15"/>
        <v>1</v>
      </c>
      <c r="AB46" s="1263">
        <f t="shared" si="16"/>
        <v>1</v>
      </c>
      <c r="AC46" s="1263">
        <f t="shared" si="17"/>
        <v>1</v>
      </c>
    </row>
    <row r="47" spans="1:29" ht="14.4">
      <c r="A47" s="416" t="s">
        <v>1708</v>
      </c>
      <c r="B47" s="417"/>
      <c r="C47" s="1081" t="s">
        <v>16</v>
      </c>
      <c r="D47" s="418"/>
      <c r="E47" s="419">
        <v>39329</v>
      </c>
      <c r="F47" s="420"/>
      <c r="G47" s="421">
        <v>37372</v>
      </c>
      <c r="H47" s="422"/>
      <c r="I47" s="419">
        <v>37431</v>
      </c>
      <c r="J47" s="422"/>
      <c r="K47" s="1763"/>
      <c r="L47" s="2490"/>
      <c r="M47" s="2483"/>
      <c r="N47" s="2483"/>
      <c r="O47" s="2483"/>
      <c r="P47" s="3434" t="str">
        <f>A47</f>
        <v>成交单价（元/平方米）</v>
      </c>
      <c r="Q47" s="3434"/>
      <c r="R47" s="3435">
        <f>E47</f>
        <v>39329</v>
      </c>
      <c r="S47" s="3435"/>
      <c r="T47" s="3435">
        <f>G47</f>
        <v>37372</v>
      </c>
      <c r="U47" s="3435"/>
      <c r="V47" s="3435">
        <f>I47</f>
        <v>37431</v>
      </c>
      <c r="W47" s="3435"/>
      <c r="X47" s="385"/>
      <c r="Y47" s="673"/>
      <c r="Z47" s="385"/>
      <c r="AA47" s="385"/>
      <c r="AB47" s="385"/>
      <c r="AC47" s="385"/>
    </row>
    <row r="48" spans="1:29" ht="15" thickBot="1">
      <c r="A48" s="423" t="s">
        <v>1709</v>
      </c>
      <c r="B48" s="424"/>
      <c r="C48" s="1082">
        <f>R49</f>
        <v>38044</v>
      </c>
      <c r="D48" s="2137" t="s">
        <v>2135</v>
      </c>
      <c r="E48" s="1083">
        <f>R48</f>
        <v>39329</v>
      </c>
      <c r="F48" s="2138"/>
      <c r="G48" s="1082">
        <f>T48</f>
        <v>37372</v>
      </c>
      <c r="H48" s="2138"/>
      <c r="I48" s="1083">
        <f>V48</f>
        <v>37431</v>
      </c>
      <c r="J48" s="2138"/>
      <c r="K48" s="2139">
        <f>F48+H48+J48</f>
        <v>0</v>
      </c>
      <c r="L48" s="2490"/>
      <c r="M48" s="2483"/>
      <c r="N48" s="2483"/>
      <c r="O48" s="2483"/>
      <c r="P48" s="3434" t="str">
        <f>A48</f>
        <v>比较价值（元/平方米）</v>
      </c>
      <c r="Q48" s="3434"/>
      <c r="R48" s="3435">
        <f>IF(F1="售价",ROUND(PRODUCT(R47,AA7:AA46),0),ROUND(PRODUCT(R47,AA7:AA46),1))</f>
        <v>39329</v>
      </c>
      <c r="S48" s="3435"/>
      <c r="T48" s="3435">
        <f>IF(F1="售价",ROUND(PRODUCT(T47,AB7:AB46),0),ROUND(PRODUCT(T47,AB7:AB46),1))</f>
        <v>37372</v>
      </c>
      <c r="U48" s="3435"/>
      <c r="V48" s="3435">
        <f>IF(F1="售价",ROUND(PRODUCT(V47,AC7:AC46),0),ROUND(PRODUCT(V47,AC7:AC46),1))</f>
        <v>37431</v>
      </c>
      <c r="W48" s="3435"/>
      <c r="X48" s="385"/>
      <c r="Y48" s="385"/>
      <c r="Z48" s="385"/>
      <c r="AA48" s="385"/>
      <c r="AB48" s="385"/>
      <c r="AC48" s="385"/>
    </row>
    <row r="49" spans="1:29" ht="15" thickBot="1">
      <c r="A49" s="427" t="s">
        <v>1710</v>
      </c>
      <c r="B49" s="428"/>
      <c r="C49" s="1084">
        <f>R49</f>
        <v>38044</v>
      </c>
      <c r="D49" s="351"/>
      <c r="E49" s="351"/>
      <c r="F49" s="351"/>
      <c r="G49" s="351"/>
      <c r="H49" s="351"/>
      <c r="I49" s="351"/>
      <c r="J49" s="351"/>
      <c r="K49" s="1764"/>
      <c r="L49" s="2490"/>
      <c r="M49" s="2483"/>
      <c r="N49" s="2483"/>
      <c r="O49" s="2483"/>
      <c r="P49" s="3431" t="str">
        <f>A49</f>
        <v>估价对象XX用房的比较价值（楼面单价，元/平方米）</v>
      </c>
      <c r="Q49" s="3432"/>
      <c r="R49" s="3433">
        <f>IF(F1="售价",ROUND(IF(D48="简单平均",AVERAGE(R48:V48),R48*F48+T48*H48+V48*J48),0),ROUND(IF(D48="简单平均",AVERAGE(R48:V48),R48*F48+T48*H48+V48*J48),1))</f>
        <v>38044</v>
      </c>
      <c r="S49" s="3433"/>
      <c r="T49" s="3433"/>
      <c r="U49" s="3433"/>
      <c r="V49" s="3433"/>
      <c r="W49" s="3433"/>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f>IF(E47&lt;E48,E48/E47-1,E47/E48-1)</f>
        <v>0</v>
      </c>
      <c r="F52" s="435" t="str">
        <f>IF(OR(E52&gt;=0.3,E52&lt;=-0.3),"超过30%","")</f>
        <v/>
      </c>
      <c r="G52" s="434">
        <f>IF(G47&lt;G48,G48/G47-1,G47/G48-1)</f>
        <v>0</v>
      </c>
      <c r="H52" s="435" t="str">
        <f>IF(OR(G52&gt;=0.3,G52&lt;=-0.3),"超过30%","")</f>
        <v/>
      </c>
      <c r="I52" s="434">
        <f>IF(I47&lt;I48,I48/I47-1,I47/I48-1)</f>
        <v>0</v>
      </c>
      <c r="J52" s="435" t="str">
        <f>IF(OR(I52&gt;=0.3,I52&lt;=-0.3),"超过30%","")</f>
        <v/>
      </c>
      <c r="K52" s="2495"/>
      <c r="L52" s="2491"/>
      <c r="M52" s="2483"/>
      <c r="N52" s="2483"/>
      <c r="O52" s="2483"/>
    </row>
    <row r="53" spans="1:29" ht="13.5" customHeight="1">
      <c r="A53" s="2483"/>
      <c r="B53" s="2483"/>
      <c r="C53" s="432" t="s">
        <v>1712</v>
      </c>
      <c r="D53" s="436"/>
      <c r="E53" s="434">
        <f>IF(E48&lt;G48,G48/E48-1,E48/G48-1)</f>
        <v>5.2365407256769858E-2</v>
      </c>
      <c r="F53" s="435" t="str">
        <f>IF(OR(E53&gt;=0.2,E53&lt;=-0.2),"超过20%","")</f>
        <v/>
      </c>
      <c r="G53" s="434">
        <f>IF(G48&lt;I48,I48/G48-1,G48/I48-1)</f>
        <v>1.5787220378893352E-3</v>
      </c>
      <c r="H53" s="435" t="str">
        <f>IF(OR(G53&gt;=0.2,G53&lt;=-0.2),"超过20%","")</f>
        <v/>
      </c>
      <c r="I53" s="434">
        <f>IF(I48&lt;E48,E48/I48-1,I48/E48-1)</f>
        <v>5.0706633539045143E-2</v>
      </c>
      <c r="J53" s="435" t="str">
        <f>IF(OR(I53&gt;=0.2,I53&lt;=-0.2),"超过20%","")</f>
        <v/>
      </c>
      <c r="K53" s="2495"/>
      <c r="L53" s="2491"/>
      <c r="M53" s="2483"/>
      <c r="N53" s="2483"/>
      <c r="O53" s="2483"/>
    </row>
    <row r="54" spans="1:29" s="437" customFormat="1" ht="13.5" customHeight="1">
      <c r="A54" s="2493"/>
      <c r="B54" s="2493"/>
      <c r="C54" s="432" t="s">
        <v>1713</v>
      </c>
      <c r="D54" s="436"/>
      <c r="E54" s="434">
        <f>IF(E47&lt;G47,G47/E47-1,E47/G47-1)</f>
        <v>5.2365407256769858E-2</v>
      </c>
      <c r="F54" s="435" t="str">
        <f>IF(OR(E54&gt;=0.3,E54&lt;=-0.3),"超过30%","")</f>
        <v/>
      </c>
      <c r="G54" s="434">
        <f>IF(G47&lt;I47,I47/G47-1,G47/I47-1)</f>
        <v>1.5787220378893352E-3</v>
      </c>
      <c r="H54" s="435" t="str">
        <f>IF(OR(G54&gt;=0.3,G54&lt;=-0.3),"超过30%","")</f>
        <v/>
      </c>
      <c r="I54" s="434">
        <f>IF(I47&lt;E47,E47/I47-1,I47/E47-1)</f>
        <v>5.0706633539045143E-2</v>
      </c>
      <c r="J54" s="435" t="str">
        <f>IF(OR(I54&gt;=0.3,I54&lt;=-0.3),"超过30%","")</f>
        <v/>
      </c>
      <c r="K54" s="2498"/>
      <c r="L54" s="2492"/>
      <c r="M54" s="2493"/>
      <c r="N54" s="2493"/>
      <c r="O54" s="2493"/>
      <c r="P54" s="1766"/>
    </row>
    <row r="55" spans="1:29" s="437" customFormat="1">
      <c r="A55" s="2493"/>
      <c r="B55" s="2496"/>
      <c r="C55" s="2497"/>
      <c r="D55" s="2493"/>
      <c r="E55" s="2493"/>
      <c r="F55" s="2493"/>
      <c r="G55" s="2493"/>
      <c r="H55" s="2493"/>
      <c r="I55" s="2493"/>
      <c r="J55" s="2493"/>
      <c r="K55" s="2498"/>
      <c r="L55" s="2492"/>
      <c r="M55" s="2493"/>
      <c r="N55" s="2493"/>
      <c r="O55" s="2493"/>
      <c r="P55" s="1766"/>
    </row>
    <row r="56" spans="1:29">
      <c r="A56" s="2483"/>
      <c r="B56" s="2496"/>
      <c r="C56" s="2497"/>
      <c r="D56" s="2483"/>
      <c r="E56" s="2483"/>
      <c r="F56" s="2483"/>
      <c r="G56" s="2483"/>
      <c r="H56" s="2483"/>
      <c r="I56" s="2483"/>
      <c r="J56" s="2483"/>
      <c r="K56" s="2495"/>
      <c r="L56" s="2491"/>
      <c r="M56" s="2483"/>
      <c r="N56" s="2483"/>
      <c r="O56" s="2483"/>
    </row>
    <row r="57" spans="1:29" ht="22.2" thickBot="1">
      <c r="A57" s="658" t="s">
        <v>1714</v>
      </c>
      <c r="B57" s="385"/>
      <c r="C57" s="659"/>
      <c r="D57" s="659"/>
      <c r="E57" s="659"/>
      <c r="F57" s="660"/>
      <c r="G57" s="660"/>
      <c r="H57" s="659"/>
      <c r="I57" s="659"/>
      <c r="J57" s="659"/>
      <c r="K57" s="887"/>
      <c r="L57" s="888"/>
      <c r="M57" s="886"/>
      <c r="N57" s="886"/>
      <c r="O57" s="886"/>
      <c r="P57" s="1767"/>
      <c r="Q57" s="439"/>
    </row>
    <row r="58" spans="1:29" s="442" customFormat="1" ht="14.4">
      <c r="A58" s="440" t="s">
        <v>1715</v>
      </c>
      <c r="B58" s="441"/>
      <c r="C58" s="1104" t="str">
        <f>YEAR(C7)&amp;"-"&amp;MONTH(C7)</f>
        <v>2025-6</v>
      </c>
      <c r="D58" s="1103">
        <f>EDATE(C58,-1)</f>
        <v>45778</v>
      </c>
      <c r="E58" s="1103">
        <f>EDATE(D58,-1)</f>
        <v>45748</v>
      </c>
      <c r="F58" s="1103">
        <f t="shared" ref="F58:O58" si="19">EDATE(E58,-1)</f>
        <v>45717</v>
      </c>
      <c r="G58" s="1103">
        <f t="shared" si="19"/>
        <v>45689</v>
      </c>
      <c r="H58" s="1103">
        <f t="shared" si="19"/>
        <v>45658</v>
      </c>
      <c r="I58" s="1103">
        <f t="shared" si="19"/>
        <v>45627</v>
      </c>
      <c r="J58" s="1103">
        <f t="shared" si="19"/>
        <v>45597</v>
      </c>
      <c r="K58" s="1103">
        <f t="shared" si="19"/>
        <v>45566</v>
      </c>
      <c r="L58" s="1103">
        <f t="shared" si="19"/>
        <v>45536</v>
      </c>
      <c r="M58" s="1103">
        <f t="shared" si="19"/>
        <v>45505</v>
      </c>
      <c r="N58" s="1103">
        <f t="shared" si="19"/>
        <v>45474</v>
      </c>
      <c r="O58" s="1103">
        <f t="shared" si="19"/>
        <v>45444</v>
      </c>
      <c r="P58" s="1099"/>
    </row>
    <row r="59" spans="1:29" s="102" customFormat="1">
      <c r="A59" s="443"/>
      <c r="B59" s="1768"/>
      <c r="C59" s="1101">
        <v>100</v>
      </c>
      <c r="D59" s="445">
        <v>100</v>
      </c>
      <c r="E59" s="445">
        <v>100</v>
      </c>
      <c r="F59" s="445">
        <v>100</v>
      </c>
      <c r="G59" s="445">
        <v>100</v>
      </c>
      <c r="H59" s="445">
        <v>100</v>
      </c>
      <c r="I59" s="445">
        <v>100</v>
      </c>
      <c r="J59" s="445">
        <v>100</v>
      </c>
      <c r="K59" s="445">
        <v>100</v>
      </c>
      <c r="L59" s="445">
        <v>100</v>
      </c>
      <c r="M59" s="445">
        <v>100</v>
      </c>
      <c r="N59" s="446"/>
      <c r="O59" s="447"/>
      <c r="P59" s="1769"/>
    </row>
    <row r="60" spans="1:29" s="102" customFormat="1" ht="15" thickBot="1">
      <c r="A60" s="449" t="s">
        <v>1716</v>
      </c>
      <c r="B60" s="450"/>
      <c r="C60" s="451"/>
      <c r="D60" s="452"/>
      <c r="E60" s="452"/>
      <c r="F60" s="452"/>
      <c r="G60" s="452"/>
      <c r="H60" s="452"/>
      <c r="I60" s="452"/>
      <c r="J60" s="452"/>
      <c r="K60" s="452"/>
      <c r="L60" s="452"/>
      <c r="M60" s="453"/>
      <c r="N60" s="452"/>
      <c r="O60" s="453"/>
      <c r="P60" s="1769"/>
      <c r="Q60" s="439"/>
    </row>
    <row r="61" spans="1:29" s="102" customFormat="1" ht="14.4">
      <c r="A61" s="455" t="s">
        <v>1717</v>
      </c>
      <c r="B61" s="444"/>
      <c r="C61" s="456" t="s">
        <v>1718</v>
      </c>
      <c r="D61" s="31"/>
      <c r="E61" s="31"/>
      <c r="F61" s="31"/>
      <c r="G61" s="31"/>
      <c r="H61" s="31"/>
      <c r="I61" s="31"/>
      <c r="J61" s="31"/>
      <c r="K61" s="31"/>
      <c r="L61" s="457"/>
      <c r="M61" s="458"/>
      <c r="N61" s="878"/>
      <c r="O61" s="878"/>
      <c r="P61" s="1770"/>
      <c r="Q61" s="439"/>
    </row>
    <row r="62" spans="1:29" s="102" customFormat="1" ht="14.4" thickBot="1">
      <c r="A62" s="455"/>
      <c r="B62" s="444"/>
      <c r="C62" s="445">
        <v>100</v>
      </c>
      <c r="D62" s="446"/>
      <c r="E62" s="446"/>
      <c r="F62" s="446"/>
      <c r="G62" s="446"/>
      <c r="H62" s="446"/>
      <c r="I62" s="446"/>
      <c r="J62" s="446"/>
      <c r="K62" s="446"/>
      <c r="L62" s="446"/>
      <c r="M62" s="448"/>
      <c r="N62" s="878"/>
      <c r="O62" s="878"/>
      <c r="P62" s="1769"/>
      <c r="Q62" s="439"/>
    </row>
    <row r="63" spans="1:29" ht="14.4">
      <c r="A63" s="379" t="s">
        <v>1719</v>
      </c>
      <c r="B63" s="460" t="s">
        <v>1685</v>
      </c>
      <c r="C63" s="461" t="str">
        <f>C9</f>
        <v>住宅</v>
      </c>
      <c r="D63" s="462"/>
      <c r="E63" s="462"/>
      <c r="F63" s="462"/>
      <c r="G63" s="462"/>
      <c r="H63" s="462"/>
      <c r="I63" s="462"/>
      <c r="J63" s="462"/>
      <c r="K63" s="463"/>
      <c r="L63" s="464"/>
      <c r="M63" s="465"/>
      <c r="N63" s="879"/>
      <c r="O63" s="879"/>
      <c r="P63" s="1771"/>
      <c r="Q63" s="439"/>
    </row>
    <row r="64" spans="1:29" ht="14.4" thickBot="1">
      <c r="A64" s="367"/>
      <c r="B64" s="466"/>
      <c r="C64" s="467">
        <v>100</v>
      </c>
      <c r="D64" s="467"/>
      <c r="E64" s="467"/>
      <c r="F64" s="467"/>
      <c r="G64" s="467"/>
      <c r="H64" s="467"/>
      <c r="I64" s="467"/>
      <c r="J64" s="467"/>
      <c r="K64" s="467"/>
      <c r="L64" s="467"/>
      <c r="M64" s="468"/>
      <c r="N64" s="880"/>
      <c r="O64" s="880"/>
      <c r="P64" s="1771"/>
      <c r="Q64" s="439"/>
    </row>
    <row r="65" spans="1:17" ht="29.4" thickTop="1">
      <c r="A65" s="367"/>
      <c r="B65" s="469" t="s">
        <v>1688</v>
      </c>
      <c r="C65" s="513"/>
      <c r="D65" s="513"/>
      <c r="E65" s="513"/>
      <c r="F65" s="513"/>
      <c r="G65" s="513"/>
      <c r="H65" s="513"/>
      <c r="I65" s="513"/>
      <c r="J65" s="513"/>
      <c r="K65" s="513"/>
      <c r="L65" s="513"/>
      <c r="M65" s="513"/>
      <c r="N65" s="880"/>
      <c r="O65" s="880"/>
      <c r="P65" s="1771"/>
      <c r="Q65" s="439"/>
    </row>
    <row r="66" spans="1:17" ht="14.4" thickBot="1">
      <c r="A66" s="367"/>
      <c r="B66" s="474"/>
      <c r="C66" s="467"/>
      <c r="D66" s="467"/>
      <c r="E66" s="467"/>
      <c r="F66" s="467"/>
      <c r="G66" s="467"/>
      <c r="H66" s="467"/>
      <c r="I66" s="467"/>
      <c r="J66" s="467"/>
      <c r="K66" s="467"/>
      <c r="L66" s="467"/>
      <c r="M66" s="468"/>
      <c r="N66" s="880"/>
      <c r="O66" s="880"/>
      <c r="P66" s="1771"/>
      <c r="Q66" s="439"/>
    </row>
    <row r="67" spans="1:17" ht="15" thickTop="1">
      <c r="A67" s="367"/>
      <c r="B67" s="477" t="s">
        <v>1689</v>
      </c>
      <c r="C67" s="478" t="str">
        <f>C68&amp;"（含）"&amp;"-"&amp;D68</f>
        <v>0（含）-2</v>
      </c>
      <c r="D67" s="478" t="str">
        <f t="shared" ref="D67:L67" si="20">D68&amp;"（含）"&amp;"-"&amp;E68</f>
        <v>2（含）-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1"/>
      <c r="Q67" s="439"/>
    </row>
    <row r="68" spans="1:17">
      <c r="A68" s="367"/>
      <c r="B68" s="479"/>
      <c r="C68" s="480">
        <v>0</v>
      </c>
      <c r="D68" s="480">
        <v>2</v>
      </c>
      <c r="E68" s="480"/>
      <c r="F68" s="480"/>
      <c r="G68" s="480"/>
      <c r="H68" s="480"/>
      <c r="I68" s="480"/>
      <c r="J68" s="480"/>
      <c r="K68" s="481"/>
      <c r="L68" s="482"/>
      <c r="M68" s="483"/>
      <c r="N68" s="879"/>
      <c r="O68" s="879"/>
      <c r="P68" s="1771"/>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1"/>
      <c r="Q69" s="439"/>
    </row>
    <row r="70" spans="1:17" s="408" customFormat="1" ht="14.4" thickTop="1">
      <c r="A70" s="484"/>
      <c r="B70" s="469">
        <f>B12</f>
        <v>111</v>
      </c>
      <c r="C70" s="485"/>
      <c r="D70" s="485"/>
      <c r="E70" s="485"/>
      <c r="F70" s="485"/>
      <c r="G70" s="485"/>
      <c r="H70" s="486"/>
      <c r="I70" s="486"/>
      <c r="J70" s="486"/>
      <c r="K70" s="486"/>
      <c r="L70" s="487"/>
      <c r="M70" s="488"/>
      <c r="N70" s="881"/>
      <c r="O70" s="881"/>
      <c r="P70" s="1772"/>
      <c r="Q70" s="490"/>
    </row>
    <row r="71" spans="1:17" s="408" customFormat="1" ht="14.4" thickBot="1">
      <c r="A71" s="484"/>
      <c r="B71" s="474"/>
      <c r="C71" s="491"/>
      <c r="D71" s="467"/>
      <c r="E71" s="467"/>
      <c r="F71" s="467"/>
      <c r="G71" s="467"/>
      <c r="H71" s="467"/>
      <c r="I71" s="467"/>
      <c r="J71" s="467"/>
      <c r="K71" s="467"/>
      <c r="L71" s="467"/>
      <c r="M71" s="468"/>
      <c r="N71" s="880"/>
      <c r="O71" s="880"/>
      <c r="P71" s="1772"/>
      <c r="Q71" s="490"/>
    </row>
    <row r="72" spans="1:17" s="408" customFormat="1" ht="14.4" thickTop="1">
      <c r="A72" s="484"/>
      <c r="B72" s="469">
        <f>B13</f>
        <v>111</v>
      </c>
      <c r="C72" s="485"/>
      <c r="D72" s="485"/>
      <c r="E72" s="485"/>
      <c r="F72" s="485"/>
      <c r="G72" s="485"/>
      <c r="H72" s="486"/>
      <c r="I72" s="486"/>
      <c r="J72" s="486"/>
      <c r="K72" s="486"/>
      <c r="L72" s="487"/>
      <c r="M72" s="488"/>
      <c r="N72" s="881"/>
      <c r="O72" s="881"/>
      <c r="P72" s="1773"/>
      <c r="Q72" s="492"/>
    </row>
    <row r="73" spans="1:17" s="408" customFormat="1" ht="14.4" thickBot="1">
      <c r="A73" s="484"/>
      <c r="B73" s="474"/>
      <c r="C73" s="491"/>
      <c r="D73" s="491"/>
      <c r="E73" s="491"/>
      <c r="F73" s="491"/>
      <c r="G73" s="491"/>
      <c r="H73" s="493"/>
      <c r="I73" s="493"/>
      <c r="J73" s="493"/>
      <c r="K73" s="493"/>
      <c r="L73" s="493"/>
      <c r="M73" s="494"/>
      <c r="N73" s="881"/>
      <c r="O73" s="881"/>
      <c r="P73" s="1772"/>
      <c r="Q73" s="490"/>
    </row>
    <row r="74" spans="1:17" s="408" customFormat="1" ht="14.4" thickTop="1">
      <c r="A74" s="484"/>
      <c r="B74" s="477">
        <f>B14</f>
        <v>111</v>
      </c>
      <c r="C74" s="485"/>
      <c r="D74" s="485"/>
      <c r="E74" s="485"/>
      <c r="F74" s="485"/>
      <c r="G74" s="31"/>
      <c r="H74" s="495"/>
      <c r="I74" s="495"/>
      <c r="J74" s="495"/>
      <c r="K74" s="495"/>
      <c r="L74" s="496"/>
      <c r="M74" s="497"/>
      <c r="N74" s="881"/>
      <c r="O74" s="881"/>
      <c r="P74" s="1774"/>
      <c r="Q74" s="490"/>
    </row>
    <row r="75" spans="1:17" s="408" customFormat="1" ht="14.4" thickBot="1">
      <c r="A75" s="499"/>
      <c r="B75" s="500"/>
      <c r="C75" s="501"/>
      <c r="D75" s="501"/>
      <c r="E75" s="501"/>
      <c r="F75" s="501"/>
      <c r="G75" s="501"/>
      <c r="H75" s="502"/>
      <c r="I75" s="502"/>
      <c r="J75" s="502"/>
      <c r="K75" s="502"/>
      <c r="L75" s="502"/>
      <c r="M75" s="503"/>
      <c r="N75" s="881"/>
      <c r="O75" s="881"/>
      <c r="P75" s="1772"/>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5"/>
      <c r="Q76" s="439"/>
    </row>
    <row r="77" spans="1:17" ht="14.4" thickBot="1">
      <c r="A77" s="367"/>
      <c r="B77" s="474"/>
      <c r="C77" s="475">
        <v>100</v>
      </c>
      <c r="D77" s="475">
        <f>C77-$K15</f>
        <v>97</v>
      </c>
      <c r="E77" s="475">
        <f>D77-$K15</f>
        <v>94</v>
      </c>
      <c r="F77" s="475">
        <f>E77-$K15</f>
        <v>91</v>
      </c>
      <c r="G77" s="475">
        <f>F77-$K15</f>
        <v>88</v>
      </c>
      <c r="H77" s="475"/>
      <c r="I77" s="475"/>
      <c r="J77" s="475"/>
      <c r="K77" s="475"/>
      <c r="L77" s="475"/>
      <c r="M77" s="476"/>
      <c r="N77" s="880"/>
      <c r="O77" s="880"/>
      <c r="P77" s="1771"/>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1"/>
      <c r="Q78" s="439"/>
    </row>
    <row r="79" spans="1:17" ht="14.4" thickBot="1">
      <c r="A79" s="367"/>
      <c r="B79" s="474"/>
      <c r="C79" s="475">
        <v>100</v>
      </c>
      <c r="D79" s="475">
        <f>C79-$K17</f>
        <v>98</v>
      </c>
      <c r="E79" s="475">
        <f>D79-$K17</f>
        <v>96</v>
      </c>
      <c r="F79" s="475">
        <f>E79-$K17</f>
        <v>94</v>
      </c>
      <c r="G79" s="475">
        <f>F79-$K17</f>
        <v>92</v>
      </c>
      <c r="H79" s="475"/>
      <c r="I79" s="475"/>
      <c r="J79" s="475"/>
      <c r="K79" s="475"/>
      <c r="L79" s="475"/>
      <c r="M79" s="476"/>
      <c r="N79" s="880"/>
      <c r="O79" s="880"/>
      <c r="P79" s="1771"/>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1"/>
      <c r="Q80" s="439"/>
    </row>
    <row r="81" spans="1:17" ht="14.4" thickBot="1">
      <c r="A81" s="367"/>
      <c r="B81" s="474"/>
      <c r="C81" s="475">
        <v>100</v>
      </c>
      <c r="D81" s="475">
        <f>C81-$K19</f>
        <v>98</v>
      </c>
      <c r="E81" s="475">
        <f>D81-$K19</f>
        <v>96</v>
      </c>
      <c r="F81" s="475">
        <f>E81-$K19</f>
        <v>94</v>
      </c>
      <c r="G81" s="475">
        <f>F81-$K19</f>
        <v>92</v>
      </c>
      <c r="H81" s="475"/>
      <c r="I81" s="475"/>
      <c r="J81" s="475"/>
      <c r="K81" s="475"/>
      <c r="L81" s="475"/>
      <c r="M81" s="476"/>
      <c r="N81" s="880"/>
      <c r="O81" s="880"/>
      <c r="P81" s="1771"/>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1"/>
      <c r="Q82" s="439"/>
    </row>
    <row r="83" spans="1:17" ht="14.4"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80"/>
      <c r="O83" s="880"/>
      <c r="P83" s="1771"/>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1"/>
      <c r="Q84" s="439"/>
    </row>
    <row r="85" spans="1:17" ht="14.4" thickBot="1">
      <c r="A85" s="367"/>
      <c r="B85" s="474"/>
      <c r="C85" s="475">
        <v>100</v>
      </c>
      <c r="D85" s="475">
        <f>C85-$K23</f>
        <v>98</v>
      </c>
      <c r="E85" s="475">
        <f>D85-$K23</f>
        <v>96</v>
      </c>
      <c r="F85" s="475">
        <f>E85-$K23</f>
        <v>94</v>
      </c>
      <c r="G85" s="475">
        <f>F85-$K23</f>
        <v>92</v>
      </c>
      <c r="H85" s="475"/>
      <c r="I85" s="475"/>
      <c r="J85" s="475"/>
      <c r="K85" s="475"/>
      <c r="L85" s="475"/>
      <c r="M85" s="476"/>
      <c r="N85" s="880"/>
      <c r="O85" s="880"/>
      <c r="P85" s="1771"/>
      <c r="Q85" s="439"/>
    </row>
    <row r="86" spans="1:17" s="102" customFormat="1" ht="15" thickTop="1">
      <c r="A86" s="370"/>
      <c r="B86" s="469" t="s">
        <v>1734</v>
      </c>
      <c r="C86" s="485"/>
      <c r="D86" s="485"/>
      <c r="E86" s="485"/>
      <c r="F86" s="485"/>
      <c r="G86" s="485"/>
      <c r="H86" s="485"/>
      <c r="I86" s="485"/>
      <c r="J86" s="485"/>
      <c r="K86" s="485"/>
      <c r="L86" s="510"/>
      <c r="M86" s="511"/>
      <c r="N86" s="878"/>
      <c r="O86" s="878"/>
      <c r="P86" s="1771"/>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1"/>
      <c r="Q87" s="439"/>
    </row>
    <row r="88" spans="1:17" s="102" customFormat="1" ht="15" thickTop="1">
      <c r="A88" s="370"/>
      <c r="B88" s="469" t="s">
        <v>1735</v>
      </c>
      <c r="C88" s="485"/>
      <c r="D88" s="485"/>
      <c r="E88" s="485"/>
      <c r="F88" s="1776"/>
      <c r="G88" s="485"/>
      <c r="H88" s="485"/>
      <c r="I88" s="485"/>
      <c r="J88" s="485"/>
      <c r="K88" s="485"/>
      <c r="L88" s="485"/>
      <c r="M88" s="511"/>
      <c r="N88" s="878"/>
      <c r="O88" s="878"/>
      <c r="P88" s="1771"/>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1"/>
      <c r="Q89" s="439"/>
    </row>
    <row r="90" spans="1:17" s="408" customFormat="1" ht="14.4" thickTop="1">
      <c r="A90" s="484"/>
      <c r="B90" s="469">
        <f>B27</f>
        <v>111</v>
      </c>
      <c r="C90" s="485"/>
      <c r="D90" s="485"/>
      <c r="E90" s="485"/>
      <c r="F90" s="485"/>
      <c r="G90" s="485"/>
      <c r="H90" s="486"/>
      <c r="I90" s="486"/>
      <c r="J90" s="486"/>
      <c r="K90" s="486"/>
      <c r="L90" s="487"/>
      <c r="M90" s="488"/>
      <c r="N90" s="881"/>
      <c r="O90" s="881"/>
      <c r="P90" s="1772"/>
      <c r="Q90" s="490"/>
    </row>
    <row r="91" spans="1:17" s="408" customFormat="1" ht="14.4" thickBot="1">
      <c r="A91" s="484"/>
      <c r="B91" s="474"/>
      <c r="C91" s="491"/>
      <c r="D91" s="491"/>
      <c r="E91" s="491"/>
      <c r="F91" s="491"/>
      <c r="G91" s="491"/>
      <c r="H91" s="493"/>
      <c r="I91" s="493"/>
      <c r="J91" s="493"/>
      <c r="K91" s="493"/>
      <c r="L91" s="493"/>
      <c r="M91" s="494"/>
      <c r="N91" s="881"/>
      <c r="O91" s="881"/>
      <c r="P91" s="1772"/>
      <c r="Q91" s="490"/>
    </row>
    <row r="92" spans="1:17" ht="14.4" thickTop="1">
      <c r="A92" s="367"/>
      <c r="B92" s="469">
        <f>B28</f>
        <v>111</v>
      </c>
      <c r="C92" s="485"/>
      <c r="D92" s="485"/>
      <c r="E92" s="485"/>
      <c r="F92" s="485"/>
      <c r="G92" s="513"/>
      <c r="H92" s="513"/>
      <c r="I92" s="513"/>
      <c r="J92" s="513"/>
      <c r="K92" s="514"/>
      <c r="L92" s="515"/>
      <c r="M92" s="516"/>
      <c r="N92" s="879"/>
      <c r="O92" s="879"/>
      <c r="P92" s="1771"/>
      <c r="Q92" s="439"/>
    </row>
    <row r="93" spans="1:17" ht="14.4" thickBot="1">
      <c r="A93" s="367"/>
      <c r="B93" s="474"/>
      <c r="C93" s="491"/>
      <c r="D93" s="467"/>
      <c r="E93" s="467"/>
      <c r="F93" s="467"/>
      <c r="G93" s="467"/>
      <c r="H93" s="467"/>
      <c r="I93" s="467"/>
      <c r="J93" s="467"/>
      <c r="K93" s="467"/>
      <c r="L93" s="467"/>
      <c r="M93" s="468"/>
      <c r="N93" s="880"/>
      <c r="O93" s="880"/>
      <c r="P93" s="1771"/>
      <c r="Q93" s="439"/>
    </row>
    <row r="94" spans="1:17" ht="14.4" thickTop="1">
      <c r="A94" s="367"/>
      <c r="B94" s="469">
        <f>B29</f>
        <v>111</v>
      </c>
      <c r="C94" s="485"/>
      <c r="D94" s="485"/>
      <c r="E94" s="485"/>
      <c r="F94" s="485"/>
      <c r="G94" s="513"/>
      <c r="H94" s="513"/>
      <c r="I94" s="513"/>
      <c r="J94" s="513"/>
      <c r="K94" s="514"/>
      <c r="L94" s="515"/>
      <c r="M94" s="516"/>
      <c r="N94" s="879"/>
      <c r="O94" s="879"/>
      <c r="P94" s="1771"/>
      <c r="Q94" s="439"/>
    </row>
    <row r="95" spans="1:17" ht="14.4" thickBot="1">
      <c r="A95" s="367"/>
      <c r="B95" s="474"/>
      <c r="C95" s="491"/>
      <c r="D95" s="491"/>
      <c r="E95" s="491"/>
      <c r="F95" s="491"/>
      <c r="G95" s="467"/>
      <c r="H95" s="467"/>
      <c r="I95" s="467"/>
      <c r="J95" s="467"/>
      <c r="K95" s="467"/>
      <c r="L95" s="467"/>
      <c r="M95" s="468"/>
      <c r="N95" s="880"/>
      <c r="O95" s="880"/>
      <c r="P95" s="1771"/>
      <c r="Q95" s="439"/>
    </row>
    <row r="96" spans="1:17" ht="14.4" thickTop="1">
      <c r="A96" s="367"/>
      <c r="B96" s="469">
        <f>B30</f>
        <v>111</v>
      </c>
      <c r="C96" s="485"/>
      <c r="D96" s="485"/>
      <c r="E96" s="485"/>
      <c r="F96" s="485"/>
      <c r="G96" s="513"/>
      <c r="H96" s="513"/>
      <c r="I96" s="513"/>
      <c r="J96" s="513"/>
      <c r="K96" s="514"/>
      <c r="L96" s="515"/>
      <c r="M96" s="516"/>
      <c r="N96" s="879"/>
      <c r="O96" s="879"/>
      <c r="P96" s="1771"/>
      <c r="Q96" s="439"/>
    </row>
    <row r="97" spans="1:17" ht="14.4" thickBot="1">
      <c r="A97" s="367"/>
      <c r="B97" s="474"/>
      <c r="C97" s="501"/>
      <c r="D97" s="501"/>
      <c r="E97" s="501"/>
      <c r="F97" s="501"/>
      <c r="G97" s="467"/>
      <c r="H97" s="467"/>
      <c r="I97" s="467"/>
      <c r="J97" s="467"/>
      <c r="K97" s="467"/>
      <c r="L97" s="467"/>
      <c r="M97" s="468"/>
      <c r="N97" s="880"/>
      <c r="O97" s="880"/>
      <c r="P97" s="1771"/>
      <c r="Q97" s="439"/>
    </row>
    <row r="98" spans="1:17" ht="14.4" thickTop="1">
      <c r="A98" s="367"/>
      <c r="B98" s="477">
        <f>B31</f>
        <v>111</v>
      </c>
      <c r="C98" s="517"/>
      <c r="D98" s="517"/>
      <c r="E98" s="517"/>
      <c r="F98" s="517"/>
      <c r="G98" s="517"/>
      <c r="H98" s="517"/>
      <c r="I98" s="517"/>
      <c r="J98" s="517"/>
      <c r="K98" s="518"/>
      <c r="L98" s="519"/>
      <c r="M98" s="520"/>
      <c r="N98" s="879"/>
      <c r="O98" s="879"/>
      <c r="P98" s="1771"/>
      <c r="Q98" s="439"/>
    </row>
    <row r="99" spans="1:17" ht="14.4" thickBot="1">
      <c r="A99" s="375"/>
      <c r="B99" s="500"/>
      <c r="C99" s="521"/>
      <c r="D99" s="521"/>
      <c r="E99" s="521"/>
      <c r="F99" s="521"/>
      <c r="G99" s="521"/>
      <c r="H99" s="521"/>
      <c r="I99" s="521"/>
      <c r="J99" s="521"/>
      <c r="K99" s="521"/>
      <c r="L99" s="521"/>
      <c r="M99" s="522"/>
      <c r="N99" s="880"/>
      <c r="O99" s="880"/>
      <c r="P99" s="1771"/>
      <c r="Q99" s="439"/>
    </row>
    <row r="100" spans="1:17" ht="14.4">
      <c r="A100" s="379" t="s">
        <v>1694</v>
      </c>
      <c r="B100" s="460" t="s">
        <v>1736</v>
      </c>
      <c r="C100" s="3179" t="s">
        <v>3991</v>
      </c>
      <c r="D100" s="462"/>
      <c r="E100" s="462"/>
      <c r="F100" s="462"/>
      <c r="G100" s="462"/>
      <c r="H100" s="462"/>
      <c r="I100" s="462"/>
      <c r="J100" s="462"/>
      <c r="K100" s="463"/>
      <c r="L100" s="464"/>
      <c r="M100" s="465"/>
      <c r="N100" s="879"/>
      <c r="O100" s="879"/>
      <c r="P100" s="1771"/>
      <c r="Q100" s="439"/>
    </row>
    <row r="101" spans="1:17" ht="14.4" thickBot="1">
      <c r="A101" s="367"/>
      <c r="B101" s="474"/>
      <c r="C101" s="475">
        <v>100</v>
      </c>
      <c r="D101" s="475">
        <f t="shared" ref="D101:M101" si="25">C101-$K32</f>
        <v>98</v>
      </c>
      <c r="E101" s="475">
        <f t="shared" si="25"/>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80"/>
      <c r="O101" s="880"/>
      <c r="P101" s="1771"/>
      <c r="Q101" s="439"/>
    </row>
    <row r="102" spans="1:17" ht="15" thickTop="1">
      <c r="A102" s="367"/>
      <c r="B102" s="469" t="s">
        <v>1737</v>
      </c>
      <c r="C102" s="509" t="str">
        <f>C103&amp;"(含)"&amp;"-"&amp;D103</f>
        <v>0(含)-250</v>
      </c>
      <c r="D102" s="509" t="str">
        <f t="shared" ref="D102:L102" si="26">D103&amp;"(含)"&amp;"-"&amp;E103</f>
        <v>250(含)-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1"/>
      <c r="Q102" s="439"/>
    </row>
    <row r="103" spans="1:17" s="408" customFormat="1">
      <c r="A103" s="406"/>
      <c r="B103" s="523"/>
      <c r="C103" s="6">
        <v>0</v>
      </c>
      <c r="D103" s="6">
        <v>250</v>
      </c>
      <c r="E103" s="6"/>
      <c r="F103" s="6"/>
      <c r="G103" s="6"/>
      <c r="H103" s="6"/>
      <c r="I103" s="6"/>
      <c r="J103" s="524"/>
      <c r="K103" s="524"/>
      <c r="L103" s="525"/>
      <c r="M103" s="526"/>
      <c r="N103" s="881"/>
      <c r="O103" s="881"/>
      <c r="P103" s="1772"/>
      <c r="Q103" s="490"/>
    </row>
    <row r="104" spans="1:17" s="408" customFormat="1" ht="14.4" thickBot="1">
      <c r="A104" s="484"/>
      <c r="B104" s="474"/>
      <c r="C104" s="491">
        <v>100</v>
      </c>
      <c r="D104" s="467">
        <f>C104-1</f>
        <v>99</v>
      </c>
      <c r="E104" s="467"/>
      <c r="F104" s="467"/>
      <c r="G104" s="467"/>
      <c r="H104" s="467"/>
      <c r="I104" s="467"/>
      <c r="J104" s="467"/>
      <c r="K104" s="467"/>
      <c r="L104" s="467"/>
      <c r="M104" s="467"/>
      <c r="N104" s="880"/>
      <c r="O104" s="880"/>
      <c r="P104" s="1772"/>
      <c r="Q104" s="490"/>
    </row>
    <row r="105" spans="1:17" ht="15" thickTop="1">
      <c r="A105" s="409"/>
      <c r="B105" s="469" t="s">
        <v>1738</v>
      </c>
      <c r="C105" s="3184" t="s">
        <v>3992</v>
      </c>
      <c r="D105" s="485"/>
      <c r="E105" s="513"/>
      <c r="F105" s="513"/>
      <c r="G105" s="513"/>
      <c r="H105" s="513"/>
      <c r="I105" s="513"/>
      <c r="J105" s="513"/>
      <c r="K105" s="514"/>
      <c r="L105" s="515"/>
      <c r="M105" s="516"/>
      <c r="N105" s="879"/>
      <c r="O105" s="879"/>
      <c r="P105" s="1771"/>
      <c r="Q105" s="439"/>
    </row>
    <row r="106" spans="1:17"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1"/>
      <c r="Q106" s="439"/>
    </row>
    <row r="107" spans="1:17" ht="15" thickTop="1">
      <c r="A107" s="409"/>
      <c r="B107" s="469" t="s">
        <v>1739</v>
      </c>
      <c r="C107" s="513"/>
      <c r="D107" s="513"/>
      <c r="E107" s="513"/>
      <c r="F107" s="513"/>
      <c r="G107" s="513"/>
      <c r="H107" s="513"/>
      <c r="I107" s="513"/>
      <c r="J107" s="513"/>
      <c r="K107" s="514"/>
      <c r="L107" s="515"/>
      <c r="M107" s="516"/>
      <c r="N107" s="879"/>
      <c r="O107" s="879"/>
      <c r="P107" s="1771"/>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1"/>
      <c r="Q108" s="439"/>
    </row>
    <row r="109" spans="1:17" ht="15" thickTop="1">
      <c r="A109" s="409"/>
      <c r="B109" s="469" t="s">
        <v>1740</v>
      </c>
      <c r="C109" s="485"/>
      <c r="D109" s="485"/>
      <c r="E109" s="485"/>
      <c r="F109" s="513"/>
      <c r="G109" s="513"/>
      <c r="H109" s="513"/>
      <c r="I109" s="513"/>
      <c r="J109" s="513"/>
      <c r="K109" s="514"/>
      <c r="L109" s="515"/>
      <c r="M109" s="516"/>
      <c r="N109" s="879"/>
      <c r="O109" s="879"/>
      <c r="P109" s="1771"/>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1"/>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2"/>
      <c r="Q112" s="490"/>
    </row>
    <row r="113" spans="1:17" s="408" customFormat="1" ht="14.4"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2"/>
      <c r="Q113" s="490"/>
    </row>
    <row r="114" spans="1:17" ht="15" thickTop="1">
      <c r="A114" s="409"/>
      <c r="B114" s="469" t="s">
        <v>1741</v>
      </c>
      <c r="C114" s="485"/>
      <c r="D114" s="485"/>
      <c r="E114" s="513"/>
      <c r="F114" s="513"/>
      <c r="G114" s="513"/>
      <c r="H114" s="513"/>
      <c r="I114" s="513"/>
      <c r="J114" s="513"/>
      <c r="K114" s="514"/>
      <c r="L114" s="515"/>
      <c r="M114" s="516"/>
      <c r="N114" s="879"/>
      <c r="O114" s="879"/>
      <c r="P114" s="1771"/>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1"/>
      <c r="Q115" s="439"/>
    </row>
    <row r="116" spans="1:17" ht="15" thickTop="1">
      <c r="A116" s="409"/>
      <c r="B116" s="469" t="s">
        <v>1742</v>
      </c>
      <c r="C116" s="485"/>
      <c r="D116" s="485"/>
      <c r="E116" s="485"/>
      <c r="F116" s="485"/>
      <c r="G116" s="485"/>
      <c r="H116" s="513"/>
      <c r="I116" s="513"/>
      <c r="J116" s="513"/>
      <c r="K116" s="514"/>
      <c r="L116" s="515"/>
      <c r="M116" s="516"/>
      <c r="N116" s="879"/>
      <c r="O116" s="879"/>
      <c r="P116" s="1771"/>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1"/>
      <c r="Q117" s="439"/>
    </row>
    <row r="118" spans="1:17" ht="15" thickTop="1">
      <c r="A118" s="409"/>
      <c r="B118" s="469" t="s">
        <v>1743</v>
      </c>
      <c r="C118" s="3185" t="s">
        <v>3994</v>
      </c>
      <c r="D118" s="3185" t="s">
        <v>3993</v>
      </c>
      <c r="E118" s="513"/>
      <c r="F118" s="513"/>
      <c r="G118" s="513"/>
      <c r="H118" s="513"/>
      <c r="I118" s="513"/>
      <c r="J118" s="513"/>
      <c r="K118" s="514"/>
      <c r="L118" s="515"/>
      <c r="M118" s="516"/>
      <c r="N118" s="879"/>
      <c r="O118" s="879"/>
      <c r="P118" s="1771"/>
      <c r="Q118" s="439"/>
    </row>
    <row r="119" spans="1:17" ht="14.4" thickBot="1">
      <c r="A119" s="367"/>
      <c r="B119" s="474"/>
      <c r="C119" s="475">
        <v>100</v>
      </c>
      <c r="D119" s="475">
        <f t="shared" ref="D119:M119" si="31">C119-$K40</f>
        <v>95</v>
      </c>
      <c r="E119" s="475">
        <f t="shared" si="31"/>
        <v>90</v>
      </c>
      <c r="F119" s="475">
        <f t="shared" si="31"/>
        <v>85</v>
      </c>
      <c r="G119" s="475">
        <f t="shared" si="31"/>
        <v>80</v>
      </c>
      <c r="H119" s="475">
        <f t="shared" si="31"/>
        <v>75</v>
      </c>
      <c r="I119" s="475">
        <f t="shared" si="31"/>
        <v>70</v>
      </c>
      <c r="J119" s="475">
        <f t="shared" si="31"/>
        <v>65</v>
      </c>
      <c r="K119" s="475">
        <f t="shared" si="31"/>
        <v>60</v>
      </c>
      <c r="L119" s="475">
        <f t="shared" si="31"/>
        <v>55</v>
      </c>
      <c r="M119" s="475">
        <f t="shared" si="31"/>
        <v>50</v>
      </c>
      <c r="N119" s="880"/>
      <c r="O119" s="880"/>
      <c r="P119" s="1771"/>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2"/>
      <c r="Q120" s="490"/>
    </row>
    <row r="121" spans="1:17" s="408" customFormat="1" ht="14.4" thickBot="1">
      <c r="A121" s="484"/>
      <c r="B121" s="466"/>
      <c r="C121" s="491"/>
      <c r="D121" s="467"/>
      <c r="E121" s="467"/>
      <c r="F121" s="467"/>
      <c r="G121" s="467"/>
      <c r="H121" s="467"/>
      <c r="I121" s="467"/>
      <c r="J121" s="467"/>
      <c r="K121" s="467"/>
      <c r="L121" s="467"/>
      <c r="M121" s="467"/>
      <c r="N121" s="881"/>
      <c r="O121" s="881"/>
      <c r="P121" s="1772"/>
      <c r="Q121" s="490"/>
    </row>
    <row r="122" spans="1:17" ht="15" thickTop="1">
      <c r="A122" s="409"/>
      <c r="B122" s="469" t="s">
        <v>1744</v>
      </c>
      <c r="C122" s="3184" t="s">
        <v>3995</v>
      </c>
      <c r="D122" s="3184" t="s">
        <v>3996</v>
      </c>
      <c r="E122" s="3184" t="s">
        <v>3997</v>
      </c>
      <c r="F122" s="3185" t="s">
        <v>3999</v>
      </c>
      <c r="G122" s="513"/>
      <c r="H122" s="513"/>
      <c r="I122" s="513"/>
      <c r="J122" s="513"/>
      <c r="K122" s="514"/>
      <c r="L122" s="515"/>
      <c r="M122" s="516"/>
      <c r="N122" s="879"/>
      <c r="O122" s="879"/>
      <c r="P122" s="1771"/>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1"/>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2"/>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1"/>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2"/>
      <c r="Q126" s="490"/>
    </row>
    <row r="127" spans="1:17" s="408" customFormat="1" ht="14.4" thickBot="1">
      <c r="A127" s="484"/>
      <c r="B127" s="474"/>
      <c r="C127" s="491"/>
      <c r="D127" s="467"/>
      <c r="E127" s="467"/>
      <c r="F127" s="467"/>
      <c r="G127" s="491"/>
      <c r="H127" s="493"/>
      <c r="I127" s="493"/>
      <c r="J127" s="493"/>
      <c r="K127" s="493"/>
      <c r="L127" s="493"/>
      <c r="M127" s="494"/>
      <c r="N127" s="881"/>
      <c r="O127" s="881"/>
      <c r="P127" s="1772"/>
      <c r="Q127" s="490"/>
    </row>
    <row r="128" spans="1:17" ht="14.4" thickTop="1">
      <c r="A128" s="409"/>
      <c r="B128" s="469">
        <f>B45</f>
        <v>111</v>
      </c>
      <c r="C128" s="485"/>
      <c r="D128" s="485"/>
      <c r="E128" s="485"/>
      <c r="F128" s="485"/>
      <c r="G128" s="513"/>
      <c r="H128" s="513"/>
      <c r="I128" s="513"/>
      <c r="J128" s="513"/>
      <c r="K128" s="514"/>
      <c r="L128" s="515"/>
      <c r="M128" s="516"/>
      <c r="N128" s="879"/>
      <c r="O128" s="879"/>
      <c r="P128" s="1771"/>
      <c r="Q128" s="439"/>
    </row>
    <row r="129" spans="1:17" ht="14.4" thickBot="1">
      <c r="A129" s="367"/>
      <c r="B129" s="474"/>
      <c r="C129" s="491"/>
      <c r="D129" s="491"/>
      <c r="E129" s="491"/>
      <c r="F129" s="491"/>
      <c r="G129" s="467"/>
      <c r="H129" s="467"/>
      <c r="I129" s="467"/>
      <c r="J129" s="467"/>
      <c r="K129" s="467"/>
      <c r="L129" s="467"/>
      <c r="M129" s="468"/>
      <c r="N129" s="880"/>
      <c r="O129" s="880"/>
      <c r="P129" s="1771"/>
      <c r="Q129" s="439"/>
    </row>
    <row r="130" spans="1:17" ht="14.4" thickTop="1">
      <c r="A130" s="409"/>
      <c r="B130" s="477">
        <f>B46</f>
        <v>111</v>
      </c>
      <c r="C130" s="485"/>
      <c r="D130" s="485"/>
      <c r="E130" s="485"/>
      <c r="F130" s="485"/>
      <c r="G130" s="517"/>
      <c r="H130" s="517"/>
      <c r="I130" s="517"/>
      <c r="J130" s="517"/>
      <c r="K130" s="31"/>
      <c r="L130" s="457"/>
      <c r="M130" s="520"/>
      <c r="N130" s="879"/>
      <c r="O130" s="879"/>
      <c r="P130" s="1771"/>
      <c r="Q130" s="439"/>
    </row>
    <row r="131" spans="1:17" ht="14.4" thickBot="1">
      <c r="A131" s="375"/>
      <c r="B131" s="500"/>
      <c r="C131" s="501"/>
      <c r="D131" s="501"/>
      <c r="E131" s="501"/>
      <c r="F131" s="501"/>
      <c r="G131" s="521"/>
      <c r="H131" s="521"/>
      <c r="I131" s="521"/>
      <c r="J131" s="521"/>
      <c r="K131" s="521"/>
      <c r="L131" s="521"/>
      <c r="M131" s="522"/>
      <c r="N131" s="880"/>
      <c r="O131" s="880"/>
      <c r="P131" s="1771"/>
      <c r="Q131" s="439"/>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9" t="s">
        <v>1749</v>
      </c>
      <c r="D138" s="129" t="s">
        <v>1750</v>
      </c>
      <c r="E138" s="1785" t="s">
        <v>1751</v>
      </c>
      <c r="F138" s="1786" t="s">
        <v>1752</v>
      </c>
      <c r="G138" s="129" t="s">
        <v>1750</v>
      </c>
      <c r="H138" s="130" t="s">
        <v>1751</v>
      </c>
      <c r="I138" s="1787"/>
      <c r="J138" s="129" t="s">
        <v>1753</v>
      </c>
      <c r="K138" s="130" t="s">
        <v>1754</v>
      </c>
    </row>
    <row r="139" spans="1:17" ht="15">
      <c r="B139" s="814">
        <v>6</v>
      </c>
      <c r="C139" s="815">
        <v>96</v>
      </c>
      <c r="D139" s="1788" t="s">
        <v>1755</v>
      </c>
      <c r="E139" s="816">
        <v>100</v>
      </c>
      <c r="F139" s="817">
        <v>102.5</v>
      </c>
      <c r="G139" s="1788" t="s">
        <v>1755</v>
      </c>
      <c r="H139" s="818">
        <v>105</v>
      </c>
      <c r="I139" s="1789" t="s">
        <v>1756</v>
      </c>
      <c r="J139" s="815">
        <v>20</v>
      </c>
      <c r="K139" s="819">
        <f>C145/(J139-2)</f>
        <v>4.0555555555555553E-3</v>
      </c>
    </row>
    <row r="140" spans="1:17" ht="15">
      <c r="B140" s="820">
        <v>5</v>
      </c>
      <c r="C140" s="821">
        <v>100</v>
      </c>
      <c r="D140" s="821"/>
      <c r="E140" s="822"/>
      <c r="F140" s="823">
        <v>102</v>
      </c>
      <c r="G140" s="821"/>
      <c r="H140" s="824"/>
      <c r="I140" s="1790" t="s">
        <v>1757</v>
      </c>
      <c r="J140" s="263">
        <f>ROUNDUP((J139-1)/2,0)</f>
        <v>10</v>
      </c>
      <c r="K140" s="825">
        <v>100</v>
      </c>
    </row>
    <row r="141" spans="1:17" ht="15">
      <c r="B141" s="820">
        <v>4</v>
      </c>
      <c r="C141" s="821">
        <v>102</v>
      </c>
      <c r="D141" s="821"/>
      <c r="E141" s="822"/>
      <c r="F141" s="823">
        <v>101.5</v>
      </c>
      <c r="G141" s="821"/>
      <c r="H141" s="824"/>
      <c r="I141" s="1790" t="s">
        <v>1758</v>
      </c>
      <c r="J141" s="263">
        <v>1</v>
      </c>
      <c r="K141" s="826">
        <f>ROUND(100+(J141-J140)*K139*100,1)</f>
        <v>96.4</v>
      </c>
    </row>
    <row r="142" spans="1:17" ht="15">
      <c r="B142" s="820">
        <v>3</v>
      </c>
      <c r="C142" s="821">
        <v>103</v>
      </c>
      <c r="D142" s="821"/>
      <c r="E142" s="822"/>
      <c r="F142" s="823">
        <v>101</v>
      </c>
      <c r="G142" s="821"/>
      <c r="H142" s="824"/>
      <c r="I142" s="1790" t="s">
        <v>1759</v>
      </c>
      <c r="J142" s="263">
        <f>J139</f>
        <v>20</v>
      </c>
      <c r="K142" s="827">
        <v>95</v>
      </c>
    </row>
    <row r="143" spans="1:17" ht="15">
      <c r="B143" s="820">
        <v>2</v>
      </c>
      <c r="C143" s="821">
        <v>100</v>
      </c>
      <c r="D143" s="821"/>
      <c r="E143" s="822"/>
      <c r="F143" s="823">
        <v>100.5</v>
      </c>
      <c r="G143" s="821"/>
      <c r="H143" s="824"/>
      <c r="I143" s="1790" t="s">
        <v>1760</v>
      </c>
      <c r="J143" s="821">
        <v>15</v>
      </c>
      <c r="K143" s="826">
        <f>ROUND(100+(J143-J140)*K139*100,1)</f>
        <v>102</v>
      </c>
    </row>
    <row r="144" spans="1:17" ht="15">
      <c r="B144" s="820">
        <v>1</v>
      </c>
      <c r="C144" s="821">
        <v>98</v>
      </c>
      <c r="D144" s="1791" t="s">
        <v>1761</v>
      </c>
      <c r="E144" s="822">
        <v>102</v>
      </c>
      <c r="F144" s="828">
        <v>100</v>
      </c>
      <c r="G144" s="1791" t="s">
        <v>1761</v>
      </c>
      <c r="H144" s="824">
        <v>105</v>
      </c>
      <c r="I144" s="1790" t="s">
        <v>1760</v>
      </c>
      <c r="J144" s="821">
        <v>18</v>
      </c>
      <c r="K144" s="826">
        <f>ROUND(100+(J144-J140)*K139*100,1)</f>
        <v>103.2</v>
      </c>
    </row>
    <row r="145" spans="2:11" ht="16.2" thickBot="1">
      <c r="B145" s="1792" t="s">
        <v>1762</v>
      </c>
      <c r="C145" s="829">
        <f>ROUND(MAX(C139:C144)/MIN(C139:C144)-1,3)</f>
        <v>7.2999999999999995E-2</v>
      </c>
      <c r="D145" s="830"/>
      <c r="E145" s="830"/>
      <c r="F145" s="1793" t="s">
        <v>1763</v>
      </c>
      <c r="G145" s="1794"/>
      <c r="H145" s="1795"/>
      <c r="I145" s="1796" t="s">
        <v>1760</v>
      </c>
      <c r="J145" s="831">
        <v>8</v>
      </c>
      <c r="K145" s="832">
        <f>ROUND(100+(J145-J140)*K139*100,1)</f>
        <v>99.2</v>
      </c>
    </row>
    <row r="147" spans="2:11" ht="14.4">
      <c r="B147" s="1777" t="s">
        <v>1764</v>
      </c>
    </row>
    <row r="148" spans="2:11" ht="14.4">
      <c r="B148" s="177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E52">
    <cfRule type="expression" dxfId="149" priority="14"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F7:F46 H7:H46 J7:J46">
    <cfRule type="cellIs" dxfId="146" priority="1" operator="notEqual">
      <formula>100</formula>
    </cfRule>
  </conditionalFormatting>
  <conditionalFormatting sqref="F48">
    <cfRule type="expression" dxfId="145" priority="4">
      <formula>$D$48="简单平均"</formula>
    </cfRule>
  </conditionalFormatting>
  <conditionalFormatting sqref="F52:F54 H52:H54 J52:J54">
    <cfRule type="containsText" dxfId="144" priority="15" stopIfTrue="1" operator="containsText" text="超过">
      <formula>NOT(ISERROR(SEARCH("超过",F52)))</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G54">
    <cfRule type="expression" dxfId="141" priority="12" stopIfTrue="1">
      <formula>$H$54="超过30%"</formula>
    </cfRule>
  </conditionalFormatting>
  <conditionalFormatting sqref="H48">
    <cfRule type="expression" dxfId="140" priority="3">
      <formula>$D$48="简单平均"</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J48">
    <cfRule type="expression" dxfId="136" priority="2">
      <formula>$D$48="简单平均"</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E20 I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D1" xr:uid="{00000000-0002-0000-1400-000010000000}">
      <formula1>项目类型</formula1>
    </dataValidation>
    <dataValidation type="list" allowBlank="1" showInputMessage="1" showErrorMessage="1" sqref="E9 G9 I9" xr:uid="{00000000-0002-0000-1400-000011000000}">
      <formula1>住宅用途</formula1>
    </dataValidation>
    <dataValidation type="list" allowBlank="1" showInputMessage="1" showErrorMessage="1" sqref="C22 E22 G22 I22" xr:uid="{00000000-0002-0000-1400-000012000000}">
      <formula1>基础设施水平</formula1>
    </dataValidation>
    <dataValidation type="list" allowBlank="1" showInputMessage="1" showErrorMessage="1" sqref="F1" xr:uid="{00000000-0002-0000-1400-000013000000}">
      <formula1>"售价,租金"</formula1>
    </dataValidation>
    <dataValidation type="list" allowBlank="1" showInputMessage="1" showErrorMessage="1" sqref="C2" xr:uid="{00000000-0002-0000-1400-000014000000}">
      <formula1>"需扣减承租人权益,——"</formula1>
    </dataValidation>
    <dataValidation type="list" allowBlank="1" showInputMessage="1" showErrorMessage="1" sqref="F2" xr:uid="{00000000-0002-0000-1400-000015000000}">
      <formula1>估价方法</formula1>
    </dataValidation>
    <dataValidation type="list" allowBlank="1" showInputMessage="1" showErrorMessage="1" sqref="D48" xr:uid="{00000000-0002-0000-1400-000016000000}">
      <formula1>"简单平均,加权平均"</formula1>
    </dataValidation>
    <dataValidation type="list" allowBlank="1" showInputMessage="1" showErrorMessage="1" sqref="E1" xr:uid="{00000000-0002-0000-1400-000017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t="s">
        <v>3509</v>
      </c>
      <c r="C1" s="190"/>
      <c r="D1" s="190"/>
      <c r="E1" s="190"/>
      <c r="F1" s="190"/>
      <c r="G1" s="1062">
        <f>MATCH(B1,'数据-取费表'!A6:A16,0)+5</f>
        <v>6</v>
      </c>
    </row>
    <row r="2" spans="1:9" s="192" customFormat="1" ht="18" customHeight="1">
      <c r="A2" s="193" t="s">
        <v>1462</v>
      </c>
      <c r="B2" s="194">
        <f ca="1">IF(D2="——",C52,C52-E2)</f>
        <v>665</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35764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381</v>
      </c>
      <c r="D5" s="203" t="s">
        <v>1469</v>
      </c>
      <c r="E5" s="204" t="s">
        <v>1470</v>
      </c>
      <c r="F5" s="204" t="s">
        <v>1471</v>
      </c>
      <c r="G5" s="205"/>
    </row>
    <row r="6" spans="1:9" s="206" customFormat="1" ht="13.5" customHeight="1">
      <c r="A6" s="732" t="s">
        <v>1472</v>
      </c>
      <c r="B6" s="207" t="s">
        <v>1473</v>
      </c>
      <c r="C6" s="208">
        <f>ROUND('土地比较法-住宅、综合'!C47*'数据-汇总表'!F19/10000,0)</f>
        <v>367</v>
      </c>
      <c r="D6" s="209"/>
      <c r="E6" s="210"/>
      <c r="F6" s="210"/>
      <c r="G6" s="211"/>
    </row>
    <row r="7" spans="1:9" s="206" customFormat="1" ht="13.5" customHeight="1">
      <c r="A7" s="732" t="s">
        <v>1474</v>
      </c>
      <c r="B7" s="207" t="s">
        <v>1475</v>
      </c>
      <c r="C7" s="212">
        <f>ROUND(C6*F7,0)</f>
        <v>11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v>
      </c>
      <c r="D8" s="214"/>
      <c r="E8" s="212"/>
      <c r="F8" s="213"/>
      <c r="G8" s="1713" t="s">
        <v>3569</v>
      </c>
    </row>
    <row r="9" spans="1:9" s="206" customFormat="1" ht="13.5" customHeight="1">
      <c r="A9" s="733" t="s">
        <v>355</v>
      </c>
      <c r="B9" s="216" t="s">
        <v>1478</v>
      </c>
      <c r="C9" s="217">
        <f ca="1">ROUND(D9*E9/10000,0)</f>
        <v>3</v>
      </c>
      <c r="D9" s="795">
        <f ca="1">IF(B1="",'数据-汇总表'!E5,IF(INDIRECT("'数据-取费表'!c"&amp;$G$1)="住宅",INDIRECT("'数据-取费表'!k"&amp;$G$1),0))</f>
        <v>185.94</v>
      </c>
      <c r="E9" s="217">
        <f>'数据-取费表'!B27</f>
        <v>160</v>
      </c>
      <c r="F9" s="213"/>
      <c r="G9" s="1714" t="s">
        <v>3571</v>
      </c>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185.94</v>
      </c>
      <c r="E19" s="203">
        <f>'数据-取费表'!B31</f>
        <v>200</v>
      </c>
      <c r="F19" s="223"/>
      <c r="G19" s="1713" t="s">
        <v>3570</v>
      </c>
    </row>
    <row r="20" spans="1:7" s="206" customFormat="1" ht="13.5" customHeight="1">
      <c r="A20" s="247" t="s">
        <v>1493</v>
      </c>
      <c r="B20" s="202" t="s">
        <v>1494</v>
      </c>
      <c r="C20" s="224">
        <f ca="1">ROUND((C5+C19)*F20,0)</f>
        <v>8</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23</v>
      </c>
      <c r="D22" s="227">
        <f ca="1">C26</f>
        <v>8.9999999999999998E-4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58</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58</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516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135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112</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11</v>
      </c>
      <c r="D36" s="212"/>
      <c r="E36" s="212"/>
      <c r="F36" s="251">
        <f>'数据-取费表'!B34</f>
        <v>0.1</v>
      </c>
      <c r="G36" s="252" t="s">
        <v>1530</v>
      </c>
    </row>
    <row r="37" spans="1:7" s="250" customFormat="1" ht="13.5" customHeight="1">
      <c r="A37" s="734" t="s">
        <v>353</v>
      </c>
      <c r="B37" s="207" t="s">
        <v>1531</v>
      </c>
      <c r="C37" s="241">
        <f ca="1">ROUND(E37*D37*F34/10000,0)</f>
        <v>4</v>
      </c>
      <c r="D37" s="209">
        <f ca="1">D19</f>
        <v>185.94</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428" t="s">
        <v>1544</v>
      </c>
    </row>
    <row r="43" spans="1:7" ht="13.5" customHeight="1">
      <c r="A43" s="734" t="s">
        <v>347</v>
      </c>
      <c r="B43" s="207" t="s">
        <v>1545</v>
      </c>
      <c r="C43" s="230">
        <f ca="1">ROUND(IF('数据-取费表'!B22&lt;=1,C39*F22*'数据-取费表'!B21/2,C39*(POWER((1+F22),'数据-取费表'!B21/2)-1)),0)</f>
        <v>0</v>
      </c>
      <c r="D43" s="230"/>
      <c r="E43" s="230"/>
      <c r="F43" s="231"/>
      <c r="G43" s="3429"/>
    </row>
    <row r="44" spans="1:7" ht="13.5" customHeight="1">
      <c r="A44" s="734" t="s">
        <v>348</v>
      </c>
      <c r="B44" s="207" t="s">
        <v>1546</v>
      </c>
      <c r="C44" s="230">
        <f ca="1">ROUND(IF('数据-取费表'!B22&lt;=1,C40*F22*'数据-取费表'!B21/2,C40*(POWER((1+F22),'数据-取费表'!B21/2)-1)),4)</f>
        <v>8.9999999999999998E-4</v>
      </c>
      <c r="D44" s="230"/>
      <c r="E44" s="230"/>
      <c r="F44" s="231"/>
      <c r="G44" s="3430"/>
    </row>
    <row r="45" spans="1:7" s="206" customFormat="1" ht="13.5" customHeight="1">
      <c r="A45" s="247" t="s">
        <v>1547</v>
      </c>
      <c r="B45" s="236" t="s">
        <v>1513</v>
      </c>
      <c r="C45" s="237">
        <f ca="1">C46</f>
        <v>21</v>
      </c>
      <c r="D45" s="227">
        <f ca="1">C47</f>
        <v>4.4999999999999997E-3</v>
      </c>
      <c r="E45" s="228" t="s">
        <v>1539</v>
      </c>
      <c r="F45" s="238">
        <f ca="1">F27</f>
        <v>0.15</v>
      </c>
      <c r="G45" s="239" t="s">
        <v>1548</v>
      </c>
    </row>
    <row r="46" spans="1:7" s="206" customFormat="1" ht="13.5" customHeight="1">
      <c r="A46" s="734" t="s">
        <v>346</v>
      </c>
      <c r="B46" s="240" t="s">
        <v>1549</v>
      </c>
      <c r="C46" s="241">
        <f ca="1">ROUND((C33+C39)*F27,0)</f>
        <v>21</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179</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149</v>
      </c>
      <c r="D51" s="224"/>
      <c r="E51" s="224"/>
      <c r="F51" s="256"/>
      <c r="G51" s="226" t="s">
        <v>1560</v>
      </c>
    </row>
    <row r="52" spans="1:7" s="200" customFormat="1" ht="16.8" thickBot="1">
      <c r="A52" s="257" t="s">
        <v>1561</v>
      </c>
      <c r="B52" s="258"/>
      <c r="C52" s="259">
        <f ca="1">C31+C51</f>
        <v>665</v>
      </c>
      <c r="D52" s="258"/>
      <c r="E52" s="258"/>
      <c r="F52" s="258"/>
      <c r="G52" s="260"/>
    </row>
    <row r="55" spans="1:7" ht="15">
      <c r="B55" s="262" t="s">
        <v>1562</v>
      </c>
      <c r="C55" s="263"/>
    </row>
    <row r="56" spans="1:7">
      <c r="B56" s="265" t="s">
        <v>802</v>
      </c>
      <c r="C56" s="267">
        <f ca="1">1-C57</f>
        <v>0.77600000000000002</v>
      </c>
    </row>
    <row r="57" spans="1:7">
      <c r="B57" s="265" t="s">
        <v>803</v>
      </c>
      <c r="C57" s="266">
        <f ca="1">ROUND(C51/C52,3)</f>
        <v>0.224</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9" xr:uid="{00000000-0002-0000-2300-000003000000}">
      <formula1>"部分缴纳,全部缴纳"</formula1>
    </dataValidation>
    <dataValidation type="list" allowBlank="1" showInputMessage="1" showErrorMessage="1" sqref="G2" xr:uid="{00000000-0002-0000-2300-000004000000}">
      <formula1>估价方法</formula1>
    </dataValidation>
    <dataValidation type="list" allowBlank="1" showInputMessage="1" showErrorMessage="1" sqref="D2" xr:uid="{00000000-0002-0000-23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5">
    <tabColor rgb="FF92D050"/>
    <pageSetUpPr fitToPage="1"/>
  </sheetPr>
  <dimension ref="A1:AC131"/>
  <sheetViews>
    <sheetView view="pageBreakPreview" zoomScale="70" zoomScaleNormal="60" zoomScaleSheetLayoutView="70" workbookViewId="0">
      <selection activeCell="I22" sqref="I22"/>
    </sheetView>
  </sheetViews>
  <sheetFormatPr defaultColWidth="9" defaultRowHeight="13.8"/>
  <cols>
    <col min="1" max="1" width="14.33203125" style="347" customWidth="1"/>
    <col min="2" max="2" width="15.77734375" style="347" customWidth="1"/>
    <col min="3" max="3" width="19"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369</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415</v>
      </c>
      <c r="C3" s="195" t="s">
        <v>1869</v>
      </c>
      <c r="D3" s="1110">
        <f>住宅面积信息!B58</f>
        <v>8890.739999999998</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449" t="s">
        <v>1770</v>
      </c>
      <c r="D4" s="3450"/>
      <c r="E4" s="3451" t="s">
        <v>1771</v>
      </c>
      <c r="F4" s="3452"/>
      <c r="G4" s="3449" t="s">
        <v>1772</v>
      </c>
      <c r="H4" s="3450"/>
      <c r="I4" s="3449" t="s">
        <v>1773</v>
      </c>
      <c r="J4" s="3450"/>
      <c r="K4" s="537" t="s">
        <v>1774</v>
      </c>
      <c r="L4" s="2482"/>
      <c r="M4" s="2483"/>
      <c r="N4" s="2483"/>
      <c r="O4" s="2483"/>
      <c r="P4" s="3453" t="s">
        <v>1775</v>
      </c>
      <c r="Q4" s="3454"/>
      <c r="R4" s="3459" t="s">
        <v>1771</v>
      </c>
      <c r="S4" s="3460"/>
      <c r="T4" s="3459" t="s">
        <v>1772</v>
      </c>
      <c r="U4" s="3460"/>
      <c r="V4" s="3435" t="s">
        <v>1773</v>
      </c>
      <c r="W4" s="3435"/>
      <c r="X4" s="1264"/>
      <c r="Y4" s="3459" t="s">
        <v>1775</v>
      </c>
      <c r="Z4" s="3460"/>
      <c r="AA4" s="3446" t="s">
        <v>1771</v>
      </c>
      <c r="AB4" s="3447" t="s">
        <v>1772</v>
      </c>
      <c r="AC4" s="3446" t="s">
        <v>1773</v>
      </c>
    </row>
    <row r="5" spans="1:29">
      <c r="A5" s="348"/>
      <c r="B5" s="349"/>
      <c r="C5" s="3478" t="s">
        <v>1673</v>
      </c>
      <c r="D5" s="3479"/>
      <c r="E5" s="3480" t="str">
        <f>'土地比较法案例-中指'!A2</f>
        <v>北京市房山区良乡大学城拓展东区FS00-0125-0008地块二类城镇住宅用地、FS00-0125-0004地块幼儿园用地</v>
      </c>
      <c r="F5" s="3481"/>
      <c r="G5" s="3478" t="str">
        <f>'土地比较法案例-中指'!A3</f>
        <v>北京市房山区长阳镇北广阳城棚户区改造二片区FS00-0105-0011、0023地块项目R2二类居住用地</v>
      </c>
      <c r="H5" s="3479"/>
      <c r="I5" s="3478" t="str">
        <f>'土地比较法案例-中指'!A6</f>
        <v>北京市房山区良乡大学城主园区FS00-0120-0023地块R2二类居住用地</v>
      </c>
      <c r="J5" s="3479"/>
      <c r="K5" s="537"/>
      <c r="L5" s="2482"/>
      <c r="M5" s="2483"/>
      <c r="N5" s="2483"/>
      <c r="O5" s="2483"/>
      <c r="P5" s="3455"/>
      <c r="Q5" s="3456"/>
      <c r="R5" s="3461"/>
      <c r="S5" s="3462"/>
      <c r="T5" s="3461"/>
      <c r="U5" s="3462"/>
      <c r="V5" s="3435"/>
      <c r="W5" s="3435"/>
      <c r="X5" s="1264"/>
      <c r="Y5" s="3461"/>
      <c r="Z5" s="3462"/>
      <c r="AA5" s="3447"/>
      <c r="AB5" s="3447"/>
      <c r="AC5" s="3447"/>
    </row>
    <row r="6" spans="1:29" ht="15" thickBot="1">
      <c r="A6" s="350"/>
      <c r="B6" s="351"/>
      <c r="C6" s="3465" t="s">
        <v>1677</v>
      </c>
      <c r="D6" s="3466"/>
      <c r="E6" s="3472" t="s">
        <v>1677</v>
      </c>
      <c r="F6" s="3473"/>
      <c r="G6" s="3465" t="s">
        <v>1677</v>
      </c>
      <c r="H6" s="3466"/>
      <c r="I6" s="3465" t="s">
        <v>1677</v>
      </c>
      <c r="J6" s="3466"/>
      <c r="K6" s="537" t="s">
        <v>1678</v>
      </c>
      <c r="L6" s="2482"/>
      <c r="M6" s="2483"/>
      <c r="N6" s="2483"/>
      <c r="O6" s="2483"/>
      <c r="P6" s="3457"/>
      <c r="Q6" s="3458"/>
      <c r="R6" s="3461"/>
      <c r="S6" s="3462"/>
      <c r="T6" s="3463"/>
      <c r="U6" s="3464"/>
      <c r="V6" s="3435"/>
      <c r="W6" s="3435"/>
      <c r="X6" s="1264"/>
      <c r="Y6" s="3463"/>
      <c r="Z6" s="3464"/>
      <c r="AA6" s="3448"/>
      <c r="AB6" s="3448"/>
      <c r="AC6" s="3448"/>
    </row>
    <row r="7" spans="1:29" s="102" customFormat="1" ht="15" thickBot="1">
      <c r="A7" s="352" t="s">
        <v>1679</v>
      </c>
      <c r="B7" s="353"/>
      <c r="C7" s="354">
        <f>'数据-取费表'!B2</f>
        <v>45826</v>
      </c>
      <c r="D7" s="355">
        <v>100</v>
      </c>
      <c r="E7" s="356" t="str">
        <f>'土地比较法案例-中指'!L2</f>
        <v>2024-08-01</v>
      </c>
      <c r="F7" s="357">
        <f>SUMIF(69:69,YEAR(E7)&amp;"-"&amp;INT((MONTH(E7)+2)/3),70:70)</f>
        <v>100</v>
      </c>
      <c r="G7" s="1818" t="str">
        <f>'土地比较法案例-中指'!L3</f>
        <v>2023-12-20</v>
      </c>
      <c r="H7" s="355">
        <f>SUMIF(69:69,YEAR(G7)&amp;"-"&amp;INT((MONTH(G7)+2)/3),70:70)</f>
        <v>100</v>
      </c>
      <c r="I7" s="1818" t="str">
        <f>'土地比较法案例-中指'!L6</f>
        <v>2023-02-07</v>
      </c>
      <c r="J7" s="355">
        <f>SUMIF(69:69,YEAR(I7)&amp;"-"&amp;INT((MONTH(I7)+2)/3),70:70)</f>
        <v>100</v>
      </c>
      <c r="K7" s="38"/>
      <c r="L7" s="2484"/>
      <c r="M7" s="2436"/>
      <c r="N7" s="2436"/>
      <c r="O7" s="2436"/>
      <c r="P7" s="3469" t="s">
        <v>1680</v>
      </c>
      <c r="Q7" s="3471"/>
      <c r="R7" s="664" t="s">
        <v>14</v>
      </c>
      <c r="S7" s="665">
        <f t="shared" ref="S7:S15" si="0">F7</f>
        <v>100</v>
      </c>
      <c r="T7" s="664" t="s">
        <v>14</v>
      </c>
      <c r="U7" s="665">
        <f t="shared" ref="U7:U15" si="1">H7</f>
        <v>100</v>
      </c>
      <c r="V7" s="664" t="s">
        <v>14</v>
      </c>
      <c r="W7" s="665">
        <f t="shared" ref="W7:W15" si="2">J7</f>
        <v>100</v>
      </c>
      <c r="X7" s="666"/>
      <c r="Y7" s="3469" t="s">
        <v>1680</v>
      </c>
      <c r="Z7" s="3470"/>
      <c r="AA7" s="50">
        <f>D7/F7</f>
        <v>1</v>
      </c>
      <c r="AB7" s="50">
        <f>D7/H7</f>
        <v>1</v>
      </c>
      <c r="AC7" s="50">
        <f>D7/J7</f>
        <v>1</v>
      </c>
    </row>
    <row r="8" spans="1:29" s="102" customFormat="1" ht="15" thickBot="1">
      <c r="A8" s="352" t="s">
        <v>1681</v>
      </c>
      <c r="B8" s="353"/>
      <c r="C8" s="358" t="s">
        <v>1682</v>
      </c>
      <c r="D8" s="355">
        <v>100</v>
      </c>
      <c r="E8" s="358" t="s">
        <v>3489</v>
      </c>
      <c r="F8" s="357">
        <f>SUMIF(72:72,E8,73:73)-SUMIF(72:72,C8,73:73)+100</f>
        <v>100</v>
      </c>
      <c r="G8" s="358" t="s">
        <v>3489</v>
      </c>
      <c r="H8" s="355">
        <f>SUMIF(72:72,G8,73:73)-SUMIF(72:72,C8,73:73)+100</f>
        <v>100</v>
      </c>
      <c r="I8" s="358" t="s">
        <v>3489</v>
      </c>
      <c r="J8" s="355">
        <f>SUMIF(72:72,I8,73:73)-SUMIF(72:72,C8,73:73)+100</f>
        <v>100</v>
      </c>
      <c r="K8" s="38"/>
      <c r="L8" s="2484"/>
      <c r="M8" s="2436"/>
      <c r="N8" s="2436"/>
      <c r="O8" s="2436"/>
      <c r="P8" s="3469" t="s">
        <v>1683</v>
      </c>
      <c r="Q8" s="3470"/>
      <c r="R8" s="664" t="s">
        <v>14</v>
      </c>
      <c r="S8" s="665">
        <f t="shared" si="0"/>
        <v>100</v>
      </c>
      <c r="T8" s="664" t="s">
        <v>14</v>
      </c>
      <c r="U8" s="665">
        <f t="shared" si="1"/>
        <v>100</v>
      </c>
      <c r="V8" s="664" t="s">
        <v>14</v>
      </c>
      <c r="W8" s="665">
        <f t="shared" si="2"/>
        <v>100</v>
      </c>
      <c r="X8" s="666"/>
      <c r="Y8" s="3469" t="s">
        <v>1683</v>
      </c>
      <c r="Z8" s="3470"/>
      <c r="AA8" s="50">
        <f t="shared" ref="AA8:AA45" si="3">D8/F8</f>
        <v>1</v>
      </c>
      <c r="AB8" s="50">
        <f t="shared" ref="AB8:AB45" si="4">D8/H8</f>
        <v>1</v>
      </c>
      <c r="AC8" s="50">
        <f t="shared" ref="AC8:AC45" si="5">D8/J8</f>
        <v>1</v>
      </c>
    </row>
    <row r="9" spans="1:29" s="102" customFormat="1" ht="14.4">
      <c r="A9" s="359" t="s">
        <v>1684</v>
      </c>
      <c r="B9" s="60" t="s">
        <v>1685</v>
      </c>
      <c r="C9" s="1821" t="s">
        <v>3402</v>
      </c>
      <c r="D9" s="59">
        <v>100</v>
      </c>
      <c r="E9" s="1821" t="s">
        <v>3402</v>
      </c>
      <c r="F9" s="59">
        <f>SUMIF(74:74,E9,75:75)-SUMIF(74:74,C9,75:75)+100</f>
        <v>100</v>
      </c>
      <c r="G9" s="1821" t="s">
        <v>3402</v>
      </c>
      <c r="H9" s="59">
        <f>SUMIF(74:74,G9,75:75)-SUMIF(74:74,C9,75:75)+100</f>
        <v>100</v>
      </c>
      <c r="I9" s="1821" t="s">
        <v>3402</v>
      </c>
      <c r="J9" s="59">
        <f>SUMIF(74:74,I9,75:75)-SUMIF(74:74,C9,75:75)+100</f>
        <v>100</v>
      </c>
      <c r="K9" s="38"/>
      <c r="L9" s="2484"/>
      <c r="M9" s="2436"/>
      <c r="N9" s="2436"/>
      <c r="O9" s="2536"/>
      <c r="P9" s="3434"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103</v>
      </c>
      <c r="G10" s="402"/>
      <c r="H10" s="119">
        <f>ROUND(100/'数据-取费表'!G16,0)</f>
        <v>103</v>
      </c>
      <c r="I10" s="402"/>
      <c r="J10" s="119">
        <f>ROUND(100/'数据-取费表'!G16,0)</f>
        <v>103</v>
      </c>
      <c r="K10" s="592"/>
      <c r="L10" s="2485"/>
      <c r="M10" s="2486"/>
      <c r="N10" s="2486"/>
      <c r="O10" s="2537"/>
      <c r="P10" s="3434"/>
      <c r="Q10" s="530" t="str">
        <f t="shared" si="6"/>
        <v>土地使用年限（年）</v>
      </c>
      <c r="R10" s="664" t="s">
        <v>14</v>
      </c>
      <c r="S10" s="665">
        <f t="shared" si="0"/>
        <v>103</v>
      </c>
      <c r="T10" s="664" t="s">
        <v>14</v>
      </c>
      <c r="U10" s="665">
        <f t="shared" si="1"/>
        <v>103</v>
      </c>
      <c r="V10" s="664" t="s">
        <v>14</v>
      </c>
      <c r="W10" s="665">
        <f t="shared" si="2"/>
        <v>103</v>
      </c>
      <c r="X10" s="666"/>
      <c r="Y10" s="3334"/>
      <c r="Z10" s="50" t="str">
        <f t="shared" si="7"/>
        <v>土地使用年限（年）</v>
      </c>
      <c r="AA10" s="50">
        <f t="shared" si="3"/>
        <v>0.970873786407767</v>
      </c>
      <c r="AB10" s="50">
        <f t="shared" si="4"/>
        <v>0.970873786407767</v>
      </c>
      <c r="AC10" s="50">
        <f t="shared" si="5"/>
        <v>0.970873786407767</v>
      </c>
    </row>
    <row r="11" spans="1:29" ht="15">
      <c r="A11" s="367"/>
      <c r="B11" s="364" t="s">
        <v>1689</v>
      </c>
      <c r="C11" s="368">
        <v>2.2000000000000002</v>
      </c>
      <c r="D11" s="119">
        <v>100</v>
      </c>
      <c r="E11" s="368">
        <f>'土地比较法案例-中指'!K2</f>
        <v>2</v>
      </c>
      <c r="F11" s="119">
        <f>LOOKUP(E11,79:79,80:80)-LOOKUP(C11,79:79,80:80)+100</f>
        <v>100</v>
      </c>
      <c r="G11" s="369">
        <f>'土地比较法案例-中指'!K3</f>
        <v>2.1</v>
      </c>
      <c r="H11" s="119">
        <f>LOOKUP(G11,79:79,80:80)-LOOKUP(C11,79:79,80:80)+100</f>
        <v>100</v>
      </c>
      <c r="I11" s="368">
        <f>'土地比较法案例-中指'!K6</f>
        <v>2.5</v>
      </c>
      <c r="J11" s="119">
        <f>LOOKUP(I11,79:79,80:80)-LOOKUP(C11,79:79,80:80)+100</f>
        <v>100</v>
      </c>
      <c r="K11" s="593"/>
      <c r="L11" s="2487"/>
      <c r="M11" s="2483"/>
      <c r="N11" s="2483"/>
      <c r="O11" s="2538"/>
      <c r="P11" s="3434"/>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50">
        <f t="shared" si="5"/>
        <v>1</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434"/>
      <c r="Q12" s="530" t="str">
        <f t="shared" si="6"/>
        <v>配建</v>
      </c>
      <c r="R12" s="664" t="s">
        <v>14</v>
      </c>
      <c r="S12" s="665">
        <f t="shared" si="0"/>
        <v>100</v>
      </c>
      <c r="T12" s="664" t="s">
        <v>14</v>
      </c>
      <c r="U12" s="665">
        <f t="shared" si="1"/>
        <v>100</v>
      </c>
      <c r="V12" s="664" t="s">
        <v>14</v>
      </c>
      <c r="W12" s="665">
        <f t="shared" si="2"/>
        <v>100</v>
      </c>
      <c r="X12" s="666"/>
      <c r="Y12" s="333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434"/>
      <c r="Q13" s="530">
        <f t="shared" si="6"/>
        <v>111</v>
      </c>
      <c r="R13" s="664" t="s">
        <v>14</v>
      </c>
      <c r="S13" s="665">
        <f t="shared" si="0"/>
        <v>100</v>
      </c>
      <c r="T13" s="664" t="s">
        <v>14</v>
      </c>
      <c r="U13" s="665">
        <f t="shared" si="1"/>
        <v>100</v>
      </c>
      <c r="V13" s="664" t="s">
        <v>14</v>
      </c>
      <c r="W13" s="665">
        <f t="shared" si="2"/>
        <v>100</v>
      </c>
      <c r="X13" s="666"/>
      <c r="Y13" s="3334"/>
      <c r="Z13" s="50">
        <f t="shared" si="7"/>
        <v>111</v>
      </c>
      <c r="AA13" s="50">
        <f>D13/F13</f>
        <v>1</v>
      </c>
      <c r="AB13" s="50">
        <f>D13/H13</f>
        <v>1</v>
      </c>
      <c r="AC13" s="50">
        <f>D13/J13</f>
        <v>1</v>
      </c>
    </row>
    <row r="14" spans="1:29" ht="15.6"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434"/>
      <c r="Q14" s="530">
        <f t="shared" si="6"/>
        <v>111</v>
      </c>
      <c r="R14" s="664" t="s">
        <v>14</v>
      </c>
      <c r="S14" s="665">
        <f t="shared" si="0"/>
        <v>100</v>
      </c>
      <c r="T14" s="664" t="s">
        <v>14</v>
      </c>
      <c r="U14" s="665">
        <f t="shared" si="1"/>
        <v>100</v>
      </c>
      <c r="V14" s="664" t="s">
        <v>14</v>
      </c>
      <c r="W14" s="665">
        <f t="shared" si="2"/>
        <v>100</v>
      </c>
      <c r="X14" s="666"/>
      <c r="Y14" s="3334"/>
      <c r="Z14" s="50">
        <f t="shared" si="7"/>
        <v>111</v>
      </c>
      <c r="AA14" s="50">
        <f>D14/F14</f>
        <v>1</v>
      </c>
      <c r="AB14" s="50">
        <f>D14/H14</f>
        <v>1</v>
      </c>
      <c r="AC14" s="50">
        <f>D14/J14</f>
        <v>1</v>
      </c>
    </row>
    <row r="15" spans="1:29" ht="69">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97</v>
      </c>
      <c r="G15" s="381"/>
      <c r="H15" s="380">
        <f>SUMIF(87:87,G16,88:88)-SUMIF(87:87,C16,88:88)+100</f>
        <v>100</v>
      </c>
      <c r="I15" s="383"/>
      <c r="J15" s="380">
        <f>SUMIF(87:87,I16,88:88)-SUMIF(87:87,C16,88:88)+100</f>
        <v>100</v>
      </c>
      <c r="K15" s="593">
        <v>3</v>
      </c>
      <c r="L15" s="2488"/>
      <c r="M15" s="2483"/>
      <c r="N15" s="2483"/>
      <c r="O15" s="2538"/>
      <c r="P15" s="3436" t="s">
        <v>1691</v>
      </c>
      <c r="Q15" s="1262" t="str">
        <f t="shared" si="6"/>
        <v>居住社区成熟度</v>
      </c>
      <c r="R15" s="667" t="s">
        <v>14</v>
      </c>
      <c r="S15" s="668">
        <f t="shared" si="0"/>
        <v>97</v>
      </c>
      <c r="T15" s="667" t="s">
        <v>14</v>
      </c>
      <c r="U15" s="668">
        <f t="shared" si="1"/>
        <v>100</v>
      </c>
      <c r="V15" s="667" t="s">
        <v>14</v>
      </c>
      <c r="W15" s="668">
        <f t="shared" si="2"/>
        <v>100</v>
      </c>
      <c r="X15" s="1264"/>
      <c r="Y15" s="3436" t="s">
        <v>1691</v>
      </c>
      <c r="Z15" s="1263" t="str">
        <f t="shared" si="7"/>
        <v>居住社区成熟度</v>
      </c>
      <c r="AA15" s="1263">
        <f t="shared" si="3"/>
        <v>1.0309278350515463</v>
      </c>
      <c r="AB15" s="1263">
        <f t="shared" si="4"/>
        <v>1</v>
      </c>
      <c r="AC15" s="1263">
        <f t="shared" si="5"/>
        <v>1</v>
      </c>
    </row>
    <row r="16" spans="1:29" ht="15">
      <c r="A16" s="367"/>
      <c r="B16" s="385"/>
      <c r="C16" s="386" t="s">
        <v>3566</v>
      </c>
      <c r="D16" s="387"/>
      <c r="E16" s="1750" t="s">
        <v>3978</v>
      </c>
      <c r="F16" s="387"/>
      <c r="G16" s="386" t="s">
        <v>3566</v>
      </c>
      <c r="H16" s="389"/>
      <c r="I16" s="1749" t="s">
        <v>3566</v>
      </c>
      <c r="J16" s="387"/>
      <c r="K16" s="592"/>
      <c r="L16" s="2488"/>
      <c r="M16" s="2483"/>
      <c r="N16" s="2483"/>
      <c r="O16" s="2538"/>
      <c r="P16" s="3437"/>
      <c r="Q16" s="1262"/>
      <c r="R16" s="667"/>
      <c r="S16" s="668"/>
      <c r="T16" s="667"/>
      <c r="U16" s="668"/>
      <c r="V16" s="667"/>
      <c r="W16" s="668"/>
      <c r="X16" s="1264"/>
      <c r="Y16" s="3437"/>
      <c r="Z16" s="1263"/>
      <c r="AA16" s="1263">
        <v>1</v>
      </c>
      <c r="AB16" s="1263">
        <v>1</v>
      </c>
      <c r="AC16" s="1263">
        <v>1</v>
      </c>
    </row>
    <row r="17" spans="1:29" ht="55.2">
      <c r="A17" s="367"/>
      <c r="B17" s="390" t="s">
        <v>1777</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37"/>
      <c r="Q17" s="1262" t="str">
        <f>B17</f>
        <v>商业繁华度</v>
      </c>
      <c r="R17" s="667" t="s">
        <v>14</v>
      </c>
      <c r="S17" s="668">
        <f>F17</f>
        <v>100</v>
      </c>
      <c r="T17" s="667" t="s">
        <v>14</v>
      </c>
      <c r="U17" s="668">
        <f>H17</f>
        <v>100</v>
      </c>
      <c r="V17" s="667" t="s">
        <v>14</v>
      </c>
      <c r="W17" s="668">
        <f>J17</f>
        <v>100</v>
      </c>
      <c r="X17" s="1264"/>
      <c r="Y17" s="3437"/>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2"/>
      <c r="L18" s="2488"/>
      <c r="M18" s="2483"/>
      <c r="N18" s="2483"/>
      <c r="O18" s="2538"/>
      <c r="P18" s="3437"/>
      <c r="Q18" s="1262"/>
      <c r="R18" s="667"/>
      <c r="S18" s="668"/>
      <c r="T18" s="667"/>
      <c r="U18" s="668"/>
      <c r="V18" s="667"/>
      <c r="W18" s="668"/>
      <c r="X18" s="1264"/>
      <c r="Y18" s="3437"/>
      <c r="Z18" s="1263"/>
      <c r="AA18" s="1263">
        <v>1</v>
      </c>
      <c r="AB18" s="1263">
        <v>1</v>
      </c>
      <c r="AC18" s="1263">
        <v>1</v>
      </c>
    </row>
    <row r="19" spans="1:29" ht="55.2">
      <c r="A19" s="367"/>
      <c r="B19" s="390" t="s">
        <v>1811</v>
      </c>
      <c r="C19" s="1802"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37"/>
      <c r="Q19" s="1262" t="str">
        <f>B19</f>
        <v>办公集聚程度</v>
      </c>
      <c r="R19" s="667" t="s">
        <v>14</v>
      </c>
      <c r="S19" s="668">
        <f>F19</f>
        <v>100</v>
      </c>
      <c r="T19" s="667" t="s">
        <v>14</v>
      </c>
      <c r="U19" s="668">
        <f>H19</f>
        <v>100</v>
      </c>
      <c r="V19" s="667" t="s">
        <v>14</v>
      </c>
      <c r="W19" s="668">
        <f>J19</f>
        <v>100</v>
      </c>
      <c r="X19" s="1264"/>
      <c r="Y19" s="3437"/>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2"/>
      <c r="L20" s="2488"/>
      <c r="M20" s="2483"/>
      <c r="N20" s="2483"/>
      <c r="O20" s="2538"/>
      <c r="P20" s="3437"/>
      <c r="Q20" s="1262"/>
      <c r="R20" s="667"/>
      <c r="S20" s="668"/>
      <c r="T20" s="667"/>
      <c r="U20" s="668"/>
      <c r="V20" s="667"/>
      <c r="W20" s="668"/>
      <c r="X20" s="1264"/>
      <c r="Y20" s="3437"/>
      <c r="Z20" s="1263"/>
      <c r="AA20" s="1263">
        <v>1</v>
      </c>
      <c r="AB20" s="1263">
        <v>1</v>
      </c>
      <c r="AC20" s="1263">
        <v>1</v>
      </c>
    </row>
    <row r="21" spans="1:29" ht="69">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102</v>
      </c>
      <c r="I21" s="393"/>
      <c r="J21" s="389">
        <f>SUMIF(93:93,I22,94:94)-SUMIF(93:93,C22,94:94)+100</f>
        <v>100</v>
      </c>
      <c r="K21" s="593">
        <v>2</v>
      </c>
      <c r="L21" s="2488"/>
      <c r="M21" s="2483"/>
      <c r="N21" s="2483"/>
      <c r="O21" s="2538"/>
      <c r="P21" s="3437"/>
      <c r="Q21" s="1262" t="str">
        <f>B21</f>
        <v>交通便捷度</v>
      </c>
      <c r="R21" s="667" t="s">
        <v>14</v>
      </c>
      <c r="S21" s="668">
        <f>F21</f>
        <v>100</v>
      </c>
      <c r="T21" s="667" t="s">
        <v>14</v>
      </c>
      <c r="U21" s="668">
        <f>H21</f>
        <v>102</v>
      </c>
      <c r="V21" s="667" t="s">
        <v>14</v>
      </c>
      <c r="W21" s="668">
        <f>J21</f>
        <v>100</v>
      </c>
      <c r="X21" s="1264"/>
      <c r="Y21" s="3437"/>
      <c r="Z21" s="1263" t="str">
        <f>Q21</f>
        <v>交通便捷度</v>
      </c>
      <c r="AA21" s="1263">
        <f t="shared" si="3"/>
        <v>1</v>
      </c>
      <c r="AB21" s="1263">
        <f t="shared" si="4"/>
        <v>0.98039215686274506</v>
      </c>
      <c r="AC21" s="1263">
        <f t="shared" si="5"/>
        <v>1</v>
      </c>
    </row>
    <row r="22" spans="1:29" ht="15">
      <c r="A22" s="367"/>
      <c r="B22" s="586"/>
      <c r="C22" s="386" t="s">
        <v>3978</v>
      </c>
      <c r="D22" s="389"/>
      <c r="E22" s="386" t="s">
        <v>3978</v>
      </c>
      <c r="F22" s="387"/>
      <c r="G22" s="386" t="s">
        <v>3566</v>
      </c>
      <c r="H22" s="387"/>
      <c r="I22" s="386" t="s">
        <v>3978</v>
      </c>
      <c r="J22" s="387"/>
      <c r="K22" s="592"/>
      <c r="L22" s="2488"/>
      <c r="M22" s="2483"/>
      <c r="N22" s="2483"/>
      <c r="O22" s="2538"/>
      <c r="P22" s="3437"/>
      <c r="Q22" s="1262"/>
      <c r="R22" s="667"/>
      <c r="S22" s="668"/>
      <c r="T22" s="667"/>
      <c r="U22" s="668"/>
      <c r="V22" s="667"/>
      <c r="W22" s="668"/>
      <c r="X22" s="1264"/>
      <c r="Y22" s="3437"/>
      <c r="Z22" s="1263"/>
      <c r="AA22" s="1263">
        <v>1</v>
      </c>
      <c r="AB22" s="1263">
        <v>1</v>
      </c>
      <c r="AC22" s="1263">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2</v>
      </c>
      <c r="L23" s="2488"/>
      <c r="M23" s="2483"/>
      <c r="N23" s="2483"/>
      <c r="O23" s="2538"/>
      <c r="P23" s="3437"/>
      <c r="Q23" s="1262" t="str">
        <f t="shared" ref="Q23:Q37" si="8">B23</f>
        <v>区域土地利用方向</v>
      </c>
      <c r="R23" s="667" t="s">
        <v>14</v>
      </c>
      <c r="S23" s="668">
        <f>F23</f>
        <v>100</v>
      </c>
      <c r="T23" s="667" t="s">
        <v>14</v>
      </c>
      <c r="U23" s="668">
        <f>H23</f>
        <v>100</v>
      </c>
      <c r="V23" s="667" t="s">
        <v>14</v>
      </c>
      <c r="W23" s="668">
        <f>J23</f>
        <v>100</v>
      </c>
      <c r="X23" s="1264"/>
      <c r="Y23" s="3437"/>
      <c r="Z23" s="1263" t="str">
        <f>Q23</f>
        <v>区域土地利用方向</v>
      </c>
      <c r="AA23" s="1263">
        <f t="shared" si="3"/>
        <v>1</v>
      </c>
      <c r="AB23" s="1263">
        <f t="shared" si="4"/>
        <v>1</v>
      </c>
      <c r="AC23" s="1263">
        <f t="shared" si="5"/>
        <v>1</v>
      </c>
    </row>
    <row r="24" spans="1:29" ht="15">
      <c r="A24" s="348"/>
      <c r="B24" s="395"/>
      <c r="C24" s="542" t="s">
        <v>3566</v>
      </c>
      <c r="D24" s="387"/>
      <c r="E24" s="386" t="s">
        <v>3566</v>
      </c>
      <c r="F24" s="387"/>
      <c r="G24" s="386" t="s">
        <v>3566</v>
      </c>
      <c r="H24" s="387"/>
      <c r="I24" s="386" t="s">
        <v>3566</v>
      </c>
      <c r="J24" s="387"/>
      <c r="K24" s="698"/>
      <c r="L24" s="2488"/>
      <c r="M24" s="2483"/>
      <c r="N24" s="2483"/>
      <c r="O24" s="2538"/>
      <c r="P24" s="3437"/>
      <c r="Q24" s="1262"/>
      <c r="R24" s="667"/>
      <c r="S24" s="668"/>
      <c r="T24" s="667"/>
      <c r="U24" s="668"/>
      <c r="V24" s="667"/>
      <c r="W24" s="668"/>
      <c r="X24" s="1264"/>
      <c r="Y24" s="3437"/>
      <c r="Z24" s="1263"/>
      <c r="AA24" s="1263"/>
      <c r="AB24" s="1263"/>
      <c r="AC24" s="1263"/>
    </row>
    <row r="25" spans="1:29" ht="41.4">
      <c r="A25" s="348"/>
      <c r="B25" s="586" t="s">
        <v>1872</v>
      </c>
      <c r="C25" s="1802"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v>2</v>
      </c>
      <c r="L25" s="2488"/>
      <c r="M25" s="2483"/>
      <c r="N25" s="2483"/>
      <c r="O25" s="2538"/>
      <c r="P25" s="3437"/>
      <c r="Q25" s="1262" t="str">
        <f t="shared" si="8"/>
        <v>自然及人文环境状况</v>
      </c>
      <c r="R25" s="667" t="s">
        <v>14</v>
      </c>
      <c r="S25" s="668">
        <f>F25</f>
        <v>100</v>
      </c>
      <c r="T25" s="667" t="s">
        <v>14</v>
      </c>
      <c r="U25" s="668">
        <f>H25</f>
        <v>100</v>
      </c>
      <c r="V25" s="667" t="s">
        <v>14</v>
      </c>
      <c r="W25" s="668">
        <f>J25</f>
        <v>100</v>
      </c>
      <c r="X25" s="1264"/>
      <c r="Y25" s="3437"/>
      <c r="Z25" s="1263" t="str">
        <f>Q25</f>
        <v>自然及人文环境状况</v>
      </c>
      <c r="AA25" s="1263">
        <f t="shared" si="3"/>
        <v>1</v>
      </c>
      <c r="AB25" s="1263">
        <f t="shared" si="4"/>
        <v>1</v>
      </c>
      <c r="AC25" s="1263">
        <f t="shared" si="5"/>
        <v>1</v>
      </c>
    </row>
    <row r="26" spans="1:29" ht="15">
      <c r="A26" s="348"/>
      <c r="B26" s="395"/>
      <c r="C26" s="386" t="s">
        <v>3566</v>
      </c>
      <c r="D26" s="387"/>
      <c r="E26" s="386" t="s">
        <v>3566</v>
      </c>
      <c r="F26" s="387"/>
      <c r="G26" s="386" t="s">
        <v>3566</v>
      </c>
      <c r="H26" s="387"/>
      <c r="I26" s="386" t="s">
        <v>3566</v>
      </c>
      <c r="J26" s="387"/>
      <c r="K26" s="592"/>
      <c r="L26" s="2488"/>
      <c r="M26" s="2483"/>
      <c r="N26" s="2483"/>
      <c r="O26" s="2538"/>
      <c r="P26" s="3437"/>
      <c r="Q26" s="1262"/>
      <c r="R26" s="667"/>
      <c r="S26" s="668"/>
      <c r="T26" s="667"/>
      <c r="U26" s="668"/>
      <c r="V26" s="667"/>
      <c r="W26" s="668"/>
      <c r="X26" s="1264"/>
      <c r="Y26" s="3437"/>
      <c r="Z26" s="1263"/>
      <c r="AA26" s="1263">
        <v>1</v>
      </c>
      <c r="AB26" s="1263">
        <v>1</v>
      </c>
      <c r="AC26" s="1263">
        <v>1</v>
      </c>
    </row>
    <row r="27" spans="1:29" s="102" customFormat="1" ht="27.6">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v>2</v>
      </c>
      <c r="L27" s="2484"/>
      <c r="M27" s="2436"/>
      <c r="N27" s="2436"/>
      <c r="O27" s="2536"/>
      <c r="P27" s="3437"/>
      <c r="Q27" s="530" t="str">
        <f t="shared" si="8"/>
        <v>公共配套设施</v>
      </c>
      <c r="R27" s="664" t="s">
        <v>14</v>
      </c>
      <c r="S27" s="665">
        <f>F27</f>
        <v>100</v>
      </c>
      <c r="T27" s="664" t="s">
        <v>14</v>
      </c>
      <c r="U27" s="665">
        <f>H27</f>
        <v>100</v>
      </c>
      <c r="V27" s="664" t="s">
        <v>14</v>
      </c>
      <c r="W27" s="665">
        <f>J27</f>
        <v>100</v>
      </c>
      <c r="X27" s="666"/>
      <c r="Y27" s="3437"/>
      <c r="Z27" s="50" t="str">
        <f>Q27</f>
        <v>公共配套设施</v>
      </c>
      <c r="AA27" s="1263">
        <f>D27/F27</f>
        <v>1</v>
      </c>
      <c r="AB27" s="1263">
        <f>D27/H27</f>
        <v>1</v>
      </c>
      <c r="AC27" s="1263">
        <f>D27/J27</f>
        <v>1</v>
      </c>
    </row>
    <row r="28" spans="1:29" s="102" customFormat="1" ht="15">
      <c r="A28" s="443"/>
      <c r="B28" s="395"/>
      <c r="C28" s="1822" t="s">
        <v>3978</v>
      </c>
      <c r="D28" s="387"/>
      <c r="E28" s="1756" t="s">
        <v>3978</v>
      </c>
      <c r="F28" s="387"/>
      <c r="G28" s="386" t="s">
        <v>3978</v>
      </c>
      <c r="H28" s="387"/>
      <c r="I28" s="386" t="s">
        <v>3978</v>
      </c>
      <c r="J28" s="387"/>
      <c r="K28" s="592"/>
      <c r="L28" s="2484"/>
      <c r="M28" s="2436"/>
      <c r="N28" s="2436"/>
      <c r="O28" s="2536"/>
      <c r="P28" s="3437"/>
      <c r="Q28" s="530"/>
      <c r="R28" s="664"/>
      <c r="S28" s="665"/>
      <c r="T28" s="664"/>
      <c r="U28" s="665"/>
      <c r="V28" s="664"/>
      <c r="W28" s="665"/>
      <c r="X28" s="666"/>
      <c r="Y28" s="3437"/>
      <c r="Z28" s="50"/>
      <c r="AA28" s="1263">
        <v>1</v>
      </c>
      <c r="AB28" s="1263">
        <v>1</v>
      </c>
      <c r="AC28" s="1263">
        <v>1</v>
      </c>
    </row>
    <row r="29" spans="1:29" s="102" customFormat="1" ht="27.6">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4"/>
      <c r="M29" s="2436"/>
      <c r="N29" s="2436"/>
      <c r="O29" s="2536"/>
      <c r="P29" s="3437"/>
      <c r="Q29" s="530" t="str">
        <f t="shared" ref="Q29" si="9">B29</f>
        <v>基础设施水平</v>
      </c>
      <c r="R29" s="664" t="s">
        <v>14</v>
      </c>
      <c r="S29" s="665">
        <f>F29</f>
        <v>100</v>
      </c>
      <c r="T29" s="664" t="s">
        <v>14</v>
      </c>
      <c r="U29" s="665">
        <f>H29</f>
        <v>100</v>
      </c>
      <c r="V29" s="664" t="s">
        <v>14</v>
      </c>
      <c r="W29" s="665">
        <f>J29</f>
        <v>100</v>
      </c>
      <c r="X29" s="666"/>
      <c r="Y29" s="3437"/>
      <c r="Z29" s="50" t="str">
        <f>Q29</f>
        <v>基础设施水平</v>
      </c>
      <c r="AA29" s="1263">
        <f>D29/F29</f>
        <v>1</v>
      </c>
      <c r="AB29" s="1263">
        <f>D29/H29</f>
        <v>1</v>
      </c>
      <c r="AC29" s="1263">
        <f>D29/J29</f>
        <v>1</v>
      </c>
    </row>
    <row r="30" spans="1:29" s="102" customFormat="1" ht="15">
      <c r="A30" s="443"/>
      <c r="B30" s="395"/>
      <c r="C30" s="1822" t="s">
        <v>3972</v>
      </c>
      <c r="D30" s="387"/>
      <c r="E30" s="1823" t="s">
        <v>3972</v>
      </c>
      <c r="F30" s="387"/>
      <c r="G30" s="1823" t="s">
        <v>3972</v>
      </c>
      <c r="H30" s="387"/>
      <c r="I30" s="1823" t="s">
        <v>3972</v>
      </c>
      <c r="J30" s="387"/>
      <c r="K30" s="592"/>
      <c r="L30" s="2484"/>
      <c r="M30" s="2436"/>
      <c r="N30" s="2436"/>
      <c r="O30" s="2536"/>
      <c r="P30" s="3437"/>
      <c r="Q30" s="530"/>
      <c r="R30" s="664"/>
      <c r="S30" s="665"/>
      <c r="T30" s="664"/>
      <c r="U30" s="665"/>
      <c r="V30" s="664"/>
      <c r="W30" s="665"/>
      <c r="X30" s="666"/>
      <c r="Y30" s="3437"/>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437"/>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37"/>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37"/>
      <c r="Q32" s="1262" t="str">
        <f t="shared" si="8"/>
        <v>毗邻道路的类型与等级</v>
      </c>
      <c r="R32" s="667" t="s">
        <v>14</v>
      </c>
      <c r="S32" s="668">
        <f t="shared" si="10"/>
        <v>100</v>
      </c>
      <c r="T32" s="667" t="s">
        <v>14</v>
      </c>
      <c r="U32" s="668">
        <f t="shared" si="11"/>
        <v>100</v>
      </c>
      <c r="V32" s="667" t="s">
        <v>14</v>
      </c>
      <c r="W32" s="668">
        <f t="shared" si="12"/>
        <v>100</v>
      </c>
      <c r="X32" s="1264"/>
      <c r="Y32" s="3437"/>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88"/>
      <c r="M33" s="2483"/>
      <c r="N33" s="2483"/>
      <c r="O33" s="2538"/>
      <c r="P33" s="3437"/>
      <c r="Q33" s="1262"/>
      <c r="R33" s="667"/>
      <c r="S33" s="668"/>
      <c r="T33" s="667"/>
      <c r="U33" s="668"/>
      <c r="V33" s="667"/>
      <c r="W33" s="668"/>
      <c r="X33" s="1264"/>
      <c r="Y33" s="3437"/>
      <c r="Z33" s="1263"/>
      <c r="AA33" s="1263">
        <v>1</v>
      </c>
      <c r="AB33" s="1263">
        <v>1</v>
      </c>
      <c r="AC33" s="1263">
        <v>1</v>
      </c>
    </row>
    <row r="34" spans="1:29" ht="15">
      <c r="A34" s="367"/>
      <c r="B34" s="364" t="s">
        <v>1873</v>
      </c>
      <c r="C34" s="542" t="s">
        <v>304</v>
      </c>
      <c r="D34" s="374">
        <v>100</v>
      </c>
      <c r="E34" s="558" t="s">
        <v>305</v>
      </c>
      <c r="F34" s="374">
        <f>SUMIF(107:107,E34,108:108)-SUMIF(107:107,C34,108:108)+100</f>
        <v>97.5</v>
      </c>
      <c r="G34" s="558" t="s">
        <v>304</v>
      </c>
      <c r="H34" s="374">
        <f>SUMIF(107:107,G34,108:108)-SUMIF(107:107,C34,108:108)+100</f>
        <v>100</v>
      </c>
      <c r="I34" s="542" t="s">
        <v>304</v>
      </c>
      <c r="J34" s="374">
        <f>SUMIF(107:107,I34,108:108)-SUMIF(107:107,C34,108:108)+100</f>
        <v>100</v>
      </c>
      <c r="K34" s="538">
        <v>2.5</v>
      </c>
      <c r="L34" s="2488"/>
      <c r="M34" s="2483"/>
      <c r="N34" s="2483"/>
      <c r="O34" s="2538"/>
      <c r="P34" s="3437"/>
      <c r="Q34" s="1262" t="str">
        <f t="shared" si="8"/>
        <v>土地级别</v>
      </c>
      <c r="R34" s="667" t="s">
        <v>14</v>
      </c>
      <c r="S34" s="668">
        <f t="shared" si="10"/>
        <v>97.5</v>
      </c>
      <c r="T34" s="667" t="s">
        <v>14</v>
      </c>
      <c r="U34" s="668">
        <f t="shared" si="11"/>
        <v>100</v>
      </c>
      <c r="V34" s="667" t="s">
        <v>14</v>
      </c>
      <c r="W34" s="668">
        <f t="shared" si="12"/>
        <v>100</v>
      </c>
      <c r="X34" s="1264"/>
      <c r="Y34" s="3437"/>
      <c r="Z34" s="1263" t="str">
        <f t="shared" si="13"/>
        <v>土地级别</v>
      </c>
      <c r="AA34" s="1263">
        <f t="shared" si="3"/>
        <v>1.0256410256410255</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37"/>
      <c r="Q35" s="1262">
        <f t="shared" si="8"/>
        <v>111</v>
      </c>
      <c r="R35" s="667" t="s">
        <v>14</v>
      </c>
      <c r="S35" s="668">
        <f t="shared" si="10"/>
        <v>100</v>
      </c>
      <c r="T35" s="667" t="s">
        <v>14</v>
      </c>
      <c r="U35" s="668">
        <f t="shared" si="11"/>
        <v>100</v>
      </c>
      <c r="V35" s="667" t="s">
        <v>14</v>
      </c>
      <c r="W35" s="668">
        <f t="shared" si="12"/>
        <v>100</v>
      </c>
      <c r="X35" s="1264"/>
      <c r="Y35" s="3437"/>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77" t="s">
        <v>1696</v>
      </c>
      <c r="Q36" s="1262">
        <f t="shared" si="8"/>
        <v>111</v>
      </c>
      <c r="R36" s="667" t="s">
        <v>14</v>
      </c>
      <c r="S36" s="668">
        <f t="shared" si="10"/>
        <v>100</v>
      </c>
      <c r="T36" s="667" t="s">
        <v>14</v>
      </c>
      <c r="U36" s="668">
        <f t="shared" si="11"/>
        <v>100</v>
      </c>
      <c r="V36" s="667" t="s">
        <v>14</v>
      </c>
      <c r="W36" s="668">
        <f t="shared" si="12"/>
        <v>100</v>
      </c>
      <c r="X36" s="1264"/>
      <c r="Y36" s="3441" t="s">
        <v>1696</v>
      </c>
      <c r="Z36" s="1263">
        <f t="shared" si="13"/>
        <v>111</v>
      </c>
      <c r="AA36" s="1263">
        <f t="shared" si="3"/>
        <v>1</v>
      </c>
      <c r="AB36" s="1263">
        <f t="shared" si="4"/>
        <v>1</v>
      </c>
      <c r="AC36" s="1263">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41"/>
      <c r="Q37" s="1262">
        <f t="shared" si="8"/>
        <v>111</v>
      </c>
      <c r="R37" s="669" t="s">
        <v>14</v>
      </c>
      <c r="S37" s="670">
        <f t="shared" si="10"/>
        <v>100</v>
      </c>
      <c r="T37" s="669" t="s">
        <v>14</v>
      </c>
      <c r="U37" s="670">
        <f t="shared" si="11"/>
        <v>100</v>
      </c>
      <c r="V37" s="669" t="s">
        <v>14</v>
      </c>
      <c r="W37" s="670">
        <f t="shared" si="12"/>
        <v>100</v>
      </c>
      <c r="X37" s="671"/>
      <c r="Y37" s="3441"/>
      <c r="Z37" s="672">
        <f t="shared" si="13"/>
        <v>111</v>
      </c>
      <c r="AA37" s="1263">
        <f t="shared" si="3"/>
        <v>1</v>
      </c>
      <c r="AB37" s="1263">
        <f t="shared" si="4"/>
        <v>1</v>
      </c>
      <c r="AC37" s="1263">
        <f t="shared" si="5"/>
        <v>1</v>
      </c>
    </row>
    <row r="38" spans="1:29" ht="15.6">
      <c r="A38" s="409" t="s">
        <v>1694</v>
      </c>
      <c r="B38" s="395" t="s">
        <v>1874</v>
      </c>
      <c r="C38" s="599">
        <v>87118.080000000002</v>
      </c>
      <c r="D38" s="405">
        <v>100</v>
      </c>
      <c r="E38" s="599">
        <f>'土地比较法案例-中指'!I2</f>
        <v>48345.71</v>
      </c>
      <c r="F38" s="405">
        <f>LOOKUP(E38,116:116,117:117)-LOOKUP(C38,116:116,117:117)+100</f>
        <v>99</v>
      </c>
      <c r="G38" s="599">
        <f>'土地比较法案例-中指'!I3</f>
        <v>34067.89</v>
      </c>
      <c r="H38" s="405">
        <f>LOOKUP(G38,116:116,117:117)-LOOKUP(C38,116:116,117:117)+100</f>
        <v>99</v>
      </c>
      <c r="I38" s="462">
        <f>'土地比较法案例-中指'!I6</f>
        <v>31231.38</v>
      </c>
      <c r="J38" s="405">
        <f>LOOKUP(I38,116:116,117:117)-LOOKUP(C38,116:116,117:117)+100</f>
        <v>99</v>
      </c>
      <c r="K38" s="539"/>
      <c r="L38" s="2488"/>
      <c r="M38" s="2483"/>
      <c r="N38" s="2483"/>
      <c r="O38" s="2538"/>
      <c r="P38" s="3441"/>
      <c r="Q38" s="1262" t="str">
        <f>B38</f>
        <v>宗地面积</v>
      </c>
      <c r="R38" s="667" t="s">
        <v>14</v>
      </c>
      <c r="S38" s="668">
        <f t="shared" si="10"/>
        <v>99</v>
      </c>
      <c r="T38" s="667" t="s">
        <v>14</v>
      </c>
      <c r="U38" s="668">
        <f t="shared" si="11"/>
        <v>99</v>
      </c>
      <c r="V38" s="667" t="s">
        <v>14</v>
      </c>
      <c r="W38" s="668">
        <f t="shared" si="12"/>
        <v>99</v>
      </c>
      <c r="X38" s="1264"/>
      <c r="Y38" s="3441"/>
      <c r="Z38" s="1263" t="str">
        <f t="shared" si="13"/>
        <v>宗地面积</v>
      </c>
      <c r="AA38" s="1263">
        <f t="shared" si="3"/>
        <v>1.0101010101010102</v>
      </c>
      <c r="AB38" s="1263">
        <f t="shared" si="4"/>
        <v>1.0101010101010102</v>
      </c>
      <c r="AC38" s="1263">
        <f t="shared" si="5"/>
        <v>1.0101010101010102</v>
      </c>
    </row>
    <row r="39" spans="1:29" ht="15">
      <c r="A39" s="409"/>
      <c r="B39" s="364" t="s">
        <v>1875</v>
      </c>
      <c r="C39" s="1758" t="s">
        <v>3982</v>
      </c>
      <c r="D39" s="374">
        <v>100</v>
      </c>
      <c r="E39" s="1758" t="s">
        <v>3982</v>
      </c>
      <c r="F39" s="374">
        <f>SUMIF(118:118,E39,119:119)-SUMIF(118:118,C39,119:119)+100</f>
        <v>100</v>
      </c>
      <c r="G39" s="1758" t="s">
        <v>3982</v>
      </c>
      <c r="H39" s="374">
        <f>SUMIF(118:118,G39,119:119)-SUMIF(118:118,C39,119:119)+100</f>
        <v>100</v>
      </c>
      <c r="I39" s="1758" t="s">
        <v>3982</v>
      </c>
      <c r="J39" s="374">
        <f>SUMIF(118:118,I39,119:119)-SUMIF(118:118,C39,119:119)+100</f>
        <v>100</v>
      </c>
      <c r="K39" s="538">
        <v>2</v>
      </c>
      <c r="L39" s="2488"/>
      <c r="M39" s="2483"/>
      <c r="N39" s="2483"/>
      <c r="O39" s="2538"/>
      <c r="P39" s="3441"/>
      <c r="Q39" s="1262" t="str">
        <f t="shared" ref="Q39:Q45" si="14">B39</f>
        <v>宗地形状</v>
      </c>
      <c r="R39" s="667" t="s">
        <v>14</v>
      </c>
      <c r="S39" s="668">
        <f t="shared" si="10"/>
        <v>100</v>
      </c>
      <c r="T39" s="667" t="s">
        <v>14</v>
      </c>
      <c r="U39" s="668">
        <f t="shared" si="11"/>
        <v>100</v>
      </c>
      <c r="V39" s="667" t="s">
        <v>14</v>
      </c>
      <c r="W39" s="668">
        <f t="shared" si="12"/>
        <v>100</v>
      </c>
      <c r="X39" s="1264"/>
      <c r="Y39" s="3441"/>
      <c r="Z39" s="1263" t="str">
        <f t="shared" si="13"/>
        <v>宗地形状</v>
      </c>
      <c r="AA39" s="1263">
        <f t="shared" si="3"/>
        <v>1</v>
      </c>
      <c r="AB39" s="1263">
        <f t="shared" si="4"/>
        <v>1</v>
      </c>
      <c r="AC39" s="1263">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8"/>
      <c r="M40" s="2483"/>
      <c r="N40" s="2483"/>
      <c r="O40" s="2538"/>
      <c r="P40" s="3441"/>
      <c r="Q40" s="1262" t="str">
        <f t="shared" si="14"/>
        <v>临街宽度及深度</v>
      </c>
      <c r="R40" s="667" t="s">
        <v>14</v>
      </c>
      <c r="S40" s="668">
        <f t="shared" si="10"/>
        <v>100</v>
      </c>
      <c r="T40" s="667" t="s">
        <v>14</v>
      </c>
      <c r="U40" s="668">
        <f t="shared" si="11"/>
        <v>100</v>
      </c>
      <c r="V40" s="667" t="s">
        <v>14</v>
      </c>
      <c r="W40" s="668">
        <f t="shared" si="12"/>
        <v>100</v>
      </c>
      <c r="X40" s="1264"/>
      <c r="Y40" s="3441"/>
      <c r="Z40" s="1263" t="str">
        <f t="shared" si="13"/>
        <v>临街宽度及深度</v>
      </c>
      <c r="AA40" s="1263">
        <f t="shared" si="3"/>
        <v>1</v>
      </c>
      <c r="AB40" s="1263">
        <f t="shared" si="4"/>
        <v>1</v>
      </c>
      <c r="AC40" s="1263">
        <f t="shared" si="5"/>
        <v>1</v>
      </c>
    </row>
    <row r="41" spans="1:29" s="102" customFormat="1" ht="15">
      <c r="A41" s="410"/>
      <c r="B41" s="364" t="s">
        <v>1877</v>
      </c>
      <c r="C41" s="1824" t="s">
        <v>3972</v>
      </c>
      <c r="D41" s="119">
        <v>100</v>
      </c>
      <c r="E41" s="1824" t="s">
        <v>3974</v>
      </c>
      <c r="F41" s="374">
        <f>SUMIF(122:122,E41,123:123)-SUMIF(122:122,C41,123:123)+100</f>
        <v>99</v>
      </c>
      <c r="G41" s="1824" t="s">
        <v>3976</v>
      </c>
      <c r="H41" s="374">
        <f>SUMIF(122:122,G41,123:123)-SUMIF(122:122,C41,123:123)+100</f>
        <v>98</v>
      </c>
      <c r="I41" s="1824" t="s">
        <v>3974</v>
      </c>
      <c r="J41" s="374">
        <f>SUMIF(122:122,I41,123:123)-SUMIF(122:122,C41,123:123)+100</f>
        <v>99</v>
      </c>
      <c r="K41" s="538">
        <v>1</v>
      </c>
      <c r="L41" s="2484"/>
      <c r="M41" s="2436"/>
      <c r="N41" s="2436"/>
      <c r="O41" s="2536"/>
      <c r="P41" s="3441"/>
      <c r="Q41" s="1262" t="str">
        <f t="shared" si="14"/>
        <v>宗地开发程度</v>
      </c>
      <c r="R41" s="664" t="s">
        <v>14</v>
      </c>
      <c r="S41" s="665">
        <f t="shared" si="10"/>
        <v>99</v>
      </c>
      <c r="T41" s="664" t="s">
        <v>14</v>
      </c>
      <c r="U41" s="665">
        <f t="shared" si="11"/>
        <v>98</v>
      </c>
      <c r="V41" s="664" t="s">
        <v>14</v>
      </c>
      <c r="W41" s="665">
        <f t="shared" si="12"/>
        <v>99</v>
      </c>
      <c r="X41" s="666"/>
      <c r="Y41" s="3441"/>
      <c r="Z41" s="50" t="str">
        <f t="shared" si="13"/>
        <v>宗地开发程度</v>
      </c>
      <c r="AA41" s="50">
        <f t="shared" si="3"/>
        <v>1.0101010101010102</v>
      </c>
      <c r="AB41" s="50">
        <f t="shared" si="4"/>
        <v>1.0204081632653061</v>
      </c>
      <c r="AC41" s="50">
        <f t="shared" si="5"/>
        <v>1.0101010101010102</v>
      </c>
    </row>
    <row r="42" spans="1:29" ht="15">
      <c r="A42" s="409"/>
      <c r="B42" s="364" t="s">
        <v>1878</v>
      </c>
      <c r="C42" s="1758" t="s">
        <v>3566</v>
      </c>
      <c r="D42" s="374">
        <v>100</v>
      </c>
      <c r="E42" s="1758" t="s">
        <v>3566</v>
      </c>
      <c r="F42" s="374">
        <f>SUMIF(124:124,E42,125:125)-SUMIF(124:124,C42,125:125)+100</f>
        <v>100</v>
      </c>
      <c r="G42" s="1758" t="s">
        <v>3566</v>
      </c>
      <c r="H42" s="374">
        <f>SUMIF(124:124,G42,125:125)-SUMIF(124:124,C42,125:125)+100</f>
        <v>100</v>
      </c>
      <c r="I42" s="1758" t="s">
        <v>3566</v>
      </c>
      <c r="J42" s="374">
        <f>SUMIF(124:124,I42,125:125)-SUMIF(124:124,C42,125:125)+100</f>
        <v>100</v>
      </c>
      <c r="K42" s="538"/>
      <c r="L42" s="2488"/>
      <c r="M42" s="2483"/>
      <c r="N42" s="2483"/>
      <c r="O42" s="2538"/>
      <c r="P42" s="3441" t="s">
        <v>1696</v>
      </c>
      <c r="Q42" s="1262" t="str">
        <f t="shared" si="14"/>
        <v>工程地质条件</v>
      </c>
      <c r="R42" s="667" t="s">
        <v>14</v>
      </c>
      <c r="S42" s="668">
        <f t="shared" si="10"/>
        <v>100</v>
      </c>
      <c r="T42" s="667" t="s">
        <v>14</v>
      </c>
      <c r="U42" s="668">
        <f t="shared" si="11"/>
        <v>100</v>
      </c>
      <c r="V42" s="667" t="s">
        <v>14</v>
      </c>
      <c r="W42" s="668">
        <f t="shared" si="12"/>
        <v>100</v>
      </c>
      <c r="X42" s="1264"/>
      <c r="Y42" s="3441"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41"/>
      <c r="Q43" s="1262">
        <f t="shared" si="14"/>
        <v>111</v>
      </c>
      <c r="R43" s="667" t="s">
        <v>14</v>
      </c>
      <c r="S43" s="668">
        <f t="shared" si="10"/>
        <v>100</v>
      </c>
      <c r="T43" s="667" t="s">
        <v>14</v>
      </c>
      <c r="U43" s="668">
        <f t="shared" si="11"/>
        <v>100</v>
      </c>
      <c r="V43" s="667" t="s">
        <v>14</v>
      </c>
      <c r="W43" s="668">
        <f t="shared" si="12"/>
        <v>100</v>
      </c>
      <c r="X43" s="1264"/>
      <c r="Y43" s="3441"/>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41"/>
      <c r="Q44" s="1262">
        <f t="shared" si="14"/>
        <v>111</v>
      </c>
      <c r="R44" s="667" t="s">
        <v>14</v>
      </c>
      <c r="S44" s="668">
        <f t="shared" si="10"/>
        <v>100</v>
      </c>
      <c r="T44" s="667" t="s">
        <v>14</v>
      </c>
      <c r="U44" s="668">
        <f t="shared" si="11"/>
        <v>100</v>
      </c>
      <c r="V44" s="667" t="s">
        <v>14</v>
      </c>
      <c r="W44" s="668">
        <f t="shared" si="12"/>
        <v>100</v>
      </c>
      <c r="X44" s="1264"/>
      <c r="Y44" s="3441"/>
      <c r="Z44" s="1263">
        <f t="shared" si="13"/>
        <v>111</v>
      </c>
      <c r="AA44" s="1263">
        <f t="shared" si="3"/>
        <v>1</v>
      </c>
      <c r="AB44" s="1263">
        <f t="shared" si="4"/>
        <v>1</v>
      </c>
      <c r="AC44" s="1263">
        <f t="shared" si="5"/>
        <v>1</v>
      </c>
    </row>
    <row r="45" spans="1:29" s="408" customFormat="1" ht="15.6" thickBot="1">
      <c r="A45" s="406"/>
      <c r="B45" s="1067">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41"/>
      <c r="Q45" s="1262">
        <f t="shared" si="14"/>
        <v>111</v>
      </c>
      <c r="R45" s="669" t="s">
        <v>14</v>
      </c>
      <c r="S45" s="670">
        <f t="shared" si="10"/>
        <v>100</v>
      </c>
      <c r="T45" s="669" t="s">
        <v>14</v>
      </c>
      <c r="U45" s="670">
        <f t="shared" si="11"/>
        <v>100</v>
      </c>
      <c r="V45" s="669" t="s">
        <v>14</v>
      </c>
      <c r="W45" s="670">
        <f t="shared" si="12"/>
        <v>100</v>
      </c>
      <c r="X45" s="671"/>
      <c r="Y45" s="3441"/>
      <c r="Z45" s="672">
        <f t="shared" si="13"/>
        <v>111</v>
      </c>
      <c r="AA45" s="1263">
        <f t="shared" si="3"/>
        <v>1</v>
      </c>
      <c r="AB45" s="1263">
        <f t="shared" si="4"/>
        <v>1</v>
      </c>
      <c r="AC45" s="1263">
        <f t="shared" si="5"/>
        <v>1</v>
      </c>
    </row>
    <row r="46" spans="1:29" ht="14.4">
      <c r="A46" s="416" t="s">
        <v>1844</v>
      </c>
      <c r="B46" s="1826" t="s">
        <v>1879</v>
      </c>
      <c r="C46" s="602" t="s">
        <v>0</v>
      </c>
      <c r="D46" s="418"/>
      <c r="E46" s="419">
        <f>'土地比较法案例-中指'!P2</f>
        <v>18151</v>
      </c>
      <c r="F46" s="420"/>
      <c r="G46" s="421">
        <f>'土地比较法案例-中指'!P3</f>
        <v>18717</v>
      </c>
      <c r="H46" s="422"/>
      <c r="I46" s="419">
        <f>'土地比较法案例-中指'!P6</f>
        <v>22029</v>
      </c>
      <c r="J46" s="422"/>
      <c r="K46" s="674"/>
      <c r="L46" s="2490"/>
      <c r="M46" s="2483"/>
      <c r="N46" s="2483"/>
      <c r="O46" s="2483"/>
      <c r="P46" s="3434" t="str">
        <f>A46</f>
        <v>成交单价</v>
      </c>
      <c r="Q46" s="3434"/>
      <c r="R46" s="3435">
        <f>E46</f>
        <v>18151</v>
      </c>
      <c r="S46" s="3435"/>
      <c r="T46" s="3435">
        <f>G46</f>
        <v>18717</v>
      </c>
      <c r="U46" s="3435"/>
      <c r="V46" s="3435">
        <f>I46</f>
        <v>22029</v>
      </c>
      <c r="W46" s="3435"/>
      <c r="X46" s="385"/>
      <c r="Y46" s="673"/>
      <c r="Z46" s="385"/>
      <c r="AA46" s="385"/>
      <c r="AB46" s="385"/>
      <c r="AC46" s="385"/>
    </row>
    <row r="47" spans="1:29" ht="15" thickBot="1">
      <c r="A47" s="423" t="s">
        <v>1793</v>
      </c>
      <c r="B47" s="603"/>
      <c r="C47" s="426">
        <f>R48</f>
        <v>19732</v>
      </c>
      <c r="D47" s="2137" t="s">
        <v>2135</v>
      </c>
      <c r="E47" s="426">
        <f>R47</f>
        <v>19012</v>
      </c>
      <c r="F47" s="2138"/>
      <c r="G47" s="425">
        <f>T47</f>
        <v>18363</v>
      </c>
      <c r="H47" s="2138"/>
      <c r="I47" s="426">
        <f>V47</f>
        <v>21822</v>
      </c>
      <c r="J47" s="2138"/>
      <c r="K47" s="2140">
        <f>F47+H47+J47</f>
        <v>0</v>
      </c>
      <c r="L47" s="2490"/>
      <c r="M47" s="2483"/>
      <c r="N47" s="2483"/>
      <c r="O47" s="2483"/>
      <c r="P47" s="3434" t="str">
        <f>A47</f>
        <v>比较价值（元/平方米）</v>
      </c>
      <c r="Q47" s="3434"/>
      <c r="R47" s="3474">
        <f>ROUND(PRODUCT(R46,AA7:AA45),0)</f>
        <v>19012</v>
      </c>
      <c r="S47" s="3474"/>
      <c r="T47" s="3474">
        <f>ROUND(PRODUCT(T46,AB7:AB45),0)</f>
        <v>18363</v>
      </c>
      <c r="U47" s="3474"/>
      <c r="V47" s="3474">
        <f>ROUND(PRODUCT(V46,AC7:AC45),0)</f>
        <v>21822</v>
      </c>
      <c r="W47" s="3474"/>
      <c r="X47" s="385"/>
      <c r="Y47" s="385"/>
      <c r="Z47" s="385"/>
      <c r="AA47" s="385"/>
      <c r="AB47" s="385"/>
      <c r="AC47" s="385"/>
    </row>
    <row r="48" spans="1:29" ht="15" thickBot="1">
      <c r="A48" s="427" t="s">
        <v>1880</v>
      </c>
      <c r="B48" s="428"/>
      <c r="C48" s="429">
        <f>R48</f>
        <v>19732</v>
      </c>
      <c r="D48" s="429"/>
      <c r="E48" s="429"/>
      <c r="F48" s="429"/>
      <c r="G48" s="429"/>
      <c r="H48" s="429"/>
      <c r="I48" s="429"/>
      <c r="J48" s="429"/>
      <c r="K48" s="675"/>
      <c r="L48" s="2490"/>
      <c r="M48" s="2483"/>
      <c r="N48" s="2483"/>
      <c r="O48" s="2483"/>
      <c r="P48" s="3431" t="str">
        <f>A48</f>
        <v>估价对象XX用房的比较价值（楼面单价，元/平方米）</v>
      </c>
      <c r="Q48" s="3432"/>
      <c r="R48" s="3475">
        <f>ROUND(IF(D47="简单平均",AVERAGE(R47:W47),R47*F47+T47*H47+V47*J47),0)</f>
        <v>19732</v>
      </c>
      <c r="S48" s="3475"/>
      <c r="T48" s="3475"/>
      <c r="U48" s="3475"/>
      <c r="V48" s="3475"/>
      <c r="W48" s="3475"/>
      <c r="X48" s="385"/>
      <c r="Y48" s="385"/>
      <c r="Z48" s="385"/>
      <c r="AA48" s="385"/>
      <c r="AB48" s="385"/>
      <c r="AC48" s="385"/>
    </row>
    <row r="49" spans="1:29" ht="14.4">
      <c r="A49" s="2483"/>
      <c r="B49" s="2483"/>
      <c r="C49" s="3180" t="s">
        <v>3971</v>
      </c>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f>IF(E46&lt;E47,E47/E46-1,E46/E47-1)</f>
        <v>4.7435403008098787E-2</v>
      </c>
      <c r="F51" s="435" t="str">
        <f>IF(OR(E51&gt;=0.3,E51&lt;=-0.3),"超过30%","")</f>
        <v/>
      </c>
      <c r="G51" s="434">
        <f>IF(G46&lt;G47,G47/G46-1,G46/G47-1)</f>
        <v>1.9277895768665232E-2</v>
      </c>
      <c r="H51" s="435" t="str">
        <f>IF(OR(G51&gt;=0.3,G51&lt;=-0.3),"超过30%","")</f>
        <v/>
      </c>
      <c r="I51" s="434">
        <f>IF(I46&lt;I47,I47/I46-1,I46/I47-1)</f>
        <v>9.485839978003785E-3</v>
      </c>
      <c r="J51" s="435" t="str">
        <f>IF(OR(I51&gt;=0.3,I51&lt;=-0.3),"超过30%","")</f>
        <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f>IF(E47&lt;G47,G47/E47-1,E47/G47-1)</f>
        <v>3.5342808909219592E-2</v>
      </c>
      <c r="F52" s="435" t="str">
        <f>IF(OR(E52&gt;=0.2,E52&lt;=-0.2),"超过20%","")</f>
        <v/>
      </c>
      <c r="G52" s="434">
        <f>IF(G47&lt;I47,I47/G47-1,G47/I47-1)</f>
        <v>0.18836791373958506</v>
      </c>
      <c r="H52" s="435" t="str">
        <f>IF(OR(G52&gt;=0.2,G52&lt;=-0.2),"超过20%","")</f>
        <v/>
      </c>
      <c r="I52" s="434">
        <f>IF(I47&lt;E47,E47/I47-1,I47/E47-1)</f>
        <v>0.1478013885966758</v>
      </c>
      <c r="J52" s="435" t="str">
        <f>IF(OR(I52&gt;=0.2,I52&lt;=-0.2),"超过20%","")</f>
        <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f>IF(E46&lt;G46,G46/E46-1,E46/G46-1)</f>
        <v>3.1182854939121762E-2</v>
      </c>
      <c r="F53" s="435" t="str">
        <f>IF(OR(E53&gt;=0.3,E53&lt;=-0.3),"超过30%","")</f>
        <v/>
      </c>
      <c r="G53" s="434">
        <f>IF(G46&lt;I46,I46/G46-1,G46/I46-1)</f>
        <v>0.17695143452476358</v>
      </c>
      <c r="H53" s="435" t="str">
        <f>IF(OR(G53&gt;=0.3,G53&lt;=-0.3),"超过30%","")</f>
        <v/>
      </c>
      <c r="I53" s="434">
        <f>IF(I46&lt;E46,E46/I46-1,I46/E46-1)</f>
        <v>0.21365214037794056</v>
      </c>
      <c r="J53" s="435" t="str">
        <f>IF(OR(I53&gt;=0.3,I53&lt;=-0.3),"超过30%","")</f>
        <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27" t="s">
        <v>1883</v>
      </c>
      <c r="D55" s="1828" t="s">
        <v>1884</v>
      </c>
      <c r="E55" s="606" t="s">
        <v>1885</v>
      </c>
      <c r="F55" s="837" t="s">
        <v>1886</v>
      </c>
      <c r="G55" s="3449" t="s">
        <v>1887</v>
      </c>
      <c r="H55" s="3476"/>
      <c r="I55" s="127" t="s">
        <v>1888</v>
      </c>
      <c r="J55" s="1829">
        <f>项目基本情况!F35</f>
        <v>0</v>
      </c>
      <c r="K55" s="1830"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f>C48</f>
        <v>19732</v>
      </c>
      <c r="C56" s="610">
        <v>1</v>
      </c>
      <c r="D56" s="890">
        <v>1</v>
      </c>
      <c r="E56" s="610">
        <f>'数据-汇总表'!E8+'数据-汇总表'!E9</f>
        <v>185.94</v>
      </c>
      <c r="F56" s="833">
        <f t="shared" ref="F56:F64" si="15">ROUND(B56*E56/10000,0)</f>
        <v>367</v>
      </c>
      <c r="G56" s="3445"/>
      <c r="H56" s="3434"/>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f>ROUND($C$48*C57*D57,0)</f>
        <v>0</v>
      </c>
      <c r="C57" s="163">
        <f t="shared" ref="C57:C64" si="16">IF($C$55="北京市系数",I57,J57)</f>
        <v>0</v>
      </c>
      <c r="D57" s="891">
        <v>0.25</v>
      </c>
      <c r="E57" s="614"/>
      <c r="F57" s="833">
        <f t="shared" si="15"/>
        <v>0</v>
      </c>
      <c r="G57" s="2746" t="s">
        <v>1892</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f t="shared" ref="B58:B64" si="17">ROUND($C$48*C58*D58,0)</f>
        <v>0</v>
      </c>
      <c r="C58" s="163">
        <f t="shared" si="16"/>
        <v>0</v>
      </c>
      <c r="D58" s="891">
        <v>0.25</v>
      </c>
      <c r="E58" s="614"/>
      <c r="F58" s="833">
        <f t="shared" si="15"/>
        <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f t="shared" si="17"/>
        <v>0</v>
      </c>
      <c r="C59" s="163">
        <f t="shared" si="16"/>
        <v>0</v>
      </c>
      <c r="D59" s="891">
        <v>0.25</v>
      </c>
      <c r="E59" s="614"/>
      <c r="F59" s="833">
        <f t="shared" si="15"/>
        <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f t="shared" si="17"/>
        <v>0</v>
      </c>
      <c r="C60" s="163">
        <f t="shared" si="16"/>
        <v>0</v>
      </c>
      <c r="D60" s="891">
        <v>0.25</v>
      </c>
      <c r="E60" s="209">
        <f>'数据-汇总表'!E11</f>
        <v>0</v>
      </c>
      <c r="F60" s="833">
        <f t="shared" si="15"/>
        <v>0</v>
      </c>
      <c r="G60" s="1831" t="s">
        <v>1896</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f t="shared" si="17"/>
        <v>0</v>
      </c>
      <c r="C61" s="163">
        <f t="shared" si="16"/>
        <v>0</v>
      </c>
      <c r="D61" s="891">
        <v>0.25</v>
      </c>
      <c r="E61" s="209">
        <f>'数据-汇总表'!E12</f>
        <v>0</v>
      </c>
      <c r="F61" s="833">
        <f t="shared" si="15"/>
        <v>0</v>
      </c>
      <c r="G61" s="839" t="s">
        <v>1898</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f t="shared" si="17"/>
        <v>740</v>
      </c>
      <c r="C62" s="163">
        <f t="shared" si="16"/>
        <v>0.15</v>
      </c>
      <c r="D62" s="891">
        <v>0.25</v>
      </c>
      <c r="E62" s="209">
        <f>'数据-汇总表'!E13</f>
        <v>30.74</v>
      </c>
      <c r="F62" s="833">
        <f t="shared" si="15"/>
        <v>2</v>
      </c>
      <c r="G62" s="839" t="s">
        <v>1900</v>
      </c>
      <c r="H62" s="834" t="str">
        <f>IF(G62="商业",项目基本情况!B37,IF(G62="办公",项目基本情况!C37,IF(G62="住宅",项目基本情况!D37,项目基本情况!E37)))</f>
        <v>七级</v>
      </c>
      <c r="I62" s="838">
        <f>SUMIF(修正!A57:A68,H62,修正!G57:G68)</f>
        <v>0.15</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f t="shared" si="17"/>
        <v>0</v>
      </c>
      <c r="C63" s="163">
        <f t="shared" si="16"/>
        <v>0</v>
      </c>
      <c r="D63" s="891">
        <v>0.25</v>
      </c>
      <c r="E63" s="209">
        <f>'数据-汇总表'!E14</f>
        <v>0</v>
      </c>
      <c r="F63" s="833">
        <f t="shared" si="15"/>
        <v>0</v>
      </c>
      <c r="G63" s="1831" t="s">
        <v>1892</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1902</v>
      </c>
      <c r="B64" s="210">
        <f t="shared" si="17"/>
        <v>0</v>
      </c>
      <c r="C64" s="163">
        <f t="shared" si="16"/>
        <v>0</v>
      </c>
      <c r="D64" s="891">
        <v>0.25</v>
      </c>
      <c r="E64" s="209">
        <f>'数据-汇总表'!E15</f>
        <v>0</v>
      </c>
      <c r="F64" s="833">
        <f t="shared" si="15"/>
        <v>0</v>
      </c>
      <c r="G64" s="1832" t="s">
        <v>1896</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216.68</v>
      </c>
      <c r="F65" s="617">
        <f>IF(B46="楼面地价",SUM(F56:F64),ROUND(C48*E65/10000,0))</f>
        <v>369</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3"/>
      <c r="Q67" s="2483"/>
      <c r="R67" s="2483"/>
      <c r="S67" s="2483"/>
      <c r="T67" s="2483"/>
      <c r="U67" s="2483"/>
      <c r="V67" s="2483"/>
      <c r="W67" s="2483"/>
      <c r="X67" s="2483"/>
      <c r="Y67" s="2483"/>
      <c r="Z67" s="2483"/>
      <c r="AA67" s="2483"/>
      <c r="AB67" s="2483"/>
      <c r="AC67" s="2483"/>
    </row>
    <row r="68" spans="1:29" ht="22.2" thickBot="1">
      <c r="A68" s="658" t="s">
        <v>1798</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4.4">
      <c r="A69" s="1629" t="s">
        <v>1904</v>
      </c>
      <c r="B69" s="1046"/>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3" t="s">
        <v>1905</v>
      </c>
      <c r="B70" s="280" t="str">
        <f>"北京市平均增长率"&amp;TEXT(SUMIF('基准地价修正-住宅'!N25:N29,A70,'基准地价修正-住宅'!P25:P29),"0.00%")</f>
        <v>北京市平均增长率0.00%</v>
      </c>
      <c r="C70" s="530">
        <v>100</v>
      </c>
      <c r="D70" s="6">
        <v>100</v>
      </c>
      <c r="E70" s="6">
        <v>100</v>
      </c>
      <c r="F70" s="6">
        <v>100</v>
      </c>
      <c r="G70" s="6">
        <v>100</v>
      </c>
      <c r="H70" s="6">
        <v>100</v>
      </c>
      <c r="I70" s="6">
        <v>100</v>
      </c>
      <c r="J70" s="6">
        <v>100</v>
      </c>
      <c r="K70" s="6">
        <v>100</v>
      </c>
      <c r="L70" s="6">
        <v>100</v>
      </c>
      <c r="M70" s="6">
        <v>100</v>
      </c>
      <c r="N70" s="6">
        <v>100</v>
      </c>
      <c r="O70" s="6">
        <v>100</v>
      </c>
      <c r="P70" s="2504"/>
      <c r="Q70" s="2436"/>
      <c r="R70" s="2436"/>
      <c r="S70" s="2436"/>
      <c r="T70" s="2436"/>
      <c r="U70" s="2436"/>
      <c r="V70" s="2436"/>
      <c r="W70" s="2436"/>
      <c r="X70" s="2436"/>
      <c r="Y70" s="2436"/>
      <c r="Z70" s="2436"/>
      <c r="AA70" s="2436"/>
      <c r="AB70" s="2436"/>
      <c r="AC70" s="2436"/>
    </row>
    <row r="71" spans="1:29" s="102" customFormat="1" ht="15" thickBot="1">
      <c r="A71" s="449" t="s">
        <v>1716</v>
      </c>
      <c r="B71" s="450"/>
      <c r="C71" s="451"/>
      <c r="D71" s="452"/>
      <c r="E71" s="452"/>
      <c r="F71" s="452"/>
      <c r="G71" s="452"/>
      <c r="H71" s="452"/>
      <c r="I71" s="452"/>
      <c r="J71" s="452"/>
      <c r="K71" s="452"/>
      <c r="L71" s="452"/>
      <c r="M71" s="453"/>
      <c r="N71" s="452"/>
      <c r="O71" s="889"/>
      <c r="P71" s="2504"/>
      <c r="Q71" s="2504"/>
      <c r="R71" s="2436"/>
      <c r="S71" s="2436"/>
      <c r="T71" s="2436"/>
      <c r="U71" s="2436"/>
      <c r="V71" s="2436"/>
      <c r="W71" s="2436"/>
      <c r="X71" s="2436"/>
      <c r="Y71" s="2436"/>
      <c r="Z71" s="2436"/>
      <c r="AA71" s="2436"/>
      <c r="AB71" s="2436"/>
      <c r="AC71" s="2436"/>
    </row>
    <row r="72" spans="1:29" s="102" customFormat="1" ht="14.4">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ht="14.4">
      <c r="A74" s="379" t="s">
        <v>1719</v>
      </c>
      <c r="B74" s="460" t="s">
        <v>1685</v>
      </c>
      <c r="C74" s="3179" t="s">
        <v>3970</v>
      </c>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v>100</v>
      </c>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1689</v>
      </c>
      <c r="C78" s="478" t="str">
        <f>C79&amp;"（含）"&amp;"-"&amp;D79</f>
        <v>0（含）-3</v>
      </c>
      <c r="D78" s="478" t="str">
        <f t="shared" ref="D78:L78" si="20">D79&amp;"（含）"&amp;"-"&amp;E79</f>
        <v>3（含）-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v>0</v>
      </c>
      <c r="D79" s="480">
        <v>3</v>
      </c>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97</v>
      </c>
      <c r="E88" s="475">
        <f>D88-$K15</f>
        <v>94</v>
      </c>
      <c r="F88" s="475">
        <f>E88-$K15</f>
        <v>91</v>
      </c>
      <c r="G88" s="475">
        <f>F88-$K15</f>
        <v>88</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98</v>
      </c>
      <c r="E94" s="475">
        <f>D94-$K21</f>
        <v>96</v>
      </c>
      <c r="F94" s="475">
        <f>E94-$K21</f>
        <v>94</v>
      </c>
      <c r="G94" s="475">
        <f>F94-$K21</f>
        <v>92</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98</v>
      </c>
      <c r="E96" s="475">
        <f>D96-$K23</f>
        <v>96</v>
      </c>
      <c r="F96" s="475">
        <f>E96-$K23</f>
        <v>94</v>
      </c>
      <c r="G96" s="475">
        <f>F96-$K23</f>
        <v>92</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98</v>
      </c>
      <c r="E98" s="475">
        <f>D98-$K25</f>
        <v>96</v>
      </c>
      <c r="F98" s="475">
        <f>E98-$K25</f>
        <v>94</v>
      </c>
      <c r="G98" s="475">
        <f>F98-$K25</f>
        <v>92</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98</v>
      </c>
      <c r="E100" s="475">
        <f>D100-$K27</f>
        <v>96</v>
      </c>
      <c r="F100" s="475">
        <f>E100-$K27</f>
        <v>94</v>
      </c>
      <c r="G100" s="475">
        <f>F100-$K27</f>
        <v>92</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99</v>
      </c>
      <c r="E102" s="475">
        <f>D102-$K29</f>
        <v>98</v>
      </c>
      <c r="F102" s="475">
        <f>E102-$K29</f>
        <v>97</v>
      </c>
      <c r="G102" s="475">
        <f>F102-$K29</f>
        <v>96</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1873</v>
      </c>
      <c r="C107" s="3185" t="s">
        <v>3979</v>
      </c>
      <c r="D107" s="3185" t="s">
        <v>3980</v>
      </c>
      <c r="E107" s="3185" t="s">
        <v>3981</v>
      </c>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97.5</v>
      </c>
      <c r="E108" s="475">
        <f t="shared" si="24"/>
        <v>95</v>
      </c>
      <c r="F108" s="475">
        <f t="shared" si="24"/>
        <v>92.5</v>
      </c>
      <c r="G108" s="475">
        <f t="shared" si="24"/>
        <v>90</v>
      </c>
      <c r="H108" s="475">
        <f t="shared" si="24"/>
        <v>87.5</v>
      </c>
      <c r="I108" s="475">
        <f t="shared" si="24"/>
        <v>85</v>
      </c>
      <c r="J108" s="475">
        <f t="shared" si="24"/>
        <v>82.5</v>
      </c>
      <c r="K108" s="475">
        <f t="shared" si="24"/>
        <v>80</v>
      </c>
      <c r="L108" s="475">
        <f t="shared" si="24"/>
        <v>77.5</v>
      </c>
      <c r="M108" s="475">
        <f t="shared" si="24"/>
        <v>75</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27.6">
      <c r="A115" s="379" t="s">
        <v>1694</v>
      </c>
      <c r="B115" s="460" t="s">
        <v>1913</v>
      </c>
      <c r="C115" s="461" t="str">
        <f>C116&amp;"(含)"&amp;"-"&amp;D116</f>
        <v>0(含)-30000</v>
      </c>
      <c r="D115" s="461" t="str">
        <f t="shared" ref="D115:M115" si="25">D116&amp;"(含)"&amp;"-"&amp;E116</f>
        <v>30000(含)-60000</v>
      </c>
      <c r="E115" s="461" t="str">
        <f t="shared" si="25"/>
        <v>60000(含)-90000</v>
      </c>
      <c r="F115" s="461" t="str">
        <f t="shared" si="25"/>
        <v>90000(含)-120000</v>
      </c>
      <c r="G115" s="461" t="str">
        <f t="shared" si="25"/>
        <v>120000(含)-150000</v>
      </c>
      <c r="H115" s="461" t="str">
        <f t="shared" si="25"/>
        <v>150000(含)-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3188">
        <v>0</v>
      </c>
      <c r="D116" s="3188">
        <v>30000</v>
      </c>
      <c r="E116" s="3188">
        <v>60000</v>
      </c>
      <c r="F116" s="3188">
        <v>90000</v>
      </c>
      <c r="G116" s="3188">
        <v>120000</v>
      </c>
      <c r="H116" s="3188">
        <v>150000</v>
      </c>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3186">
        <v>100</v>
      </c>
      <c r="D117" s="3187">
        <v>101</v>
      </c>
      <c r="E117" s="3187">
        <v>102</v>
      </c>
      <c r="F117" s="3187">
        <v>103</v>
      </c>
      <c r="G117" s="3187">
        <v>104</v>
      </c>
      <c r="H117" s="3187">
        <v>105</v>
      </c>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3185" t="s">
        <v>3987</v>
      </c>
      <c r="D118" s="3185" t="s">
        <v>3983</v>
      </c>
      <c r="E118" s="3185" t="s">
        <v>3984</v>
      </c>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98</v>
      </c>
      <c r="E119" s="475">
        <f t="shared" si="26"/>
        <v>96</v>
      </c>
      <c r="F119" s="475">
        <f t="shared" si="26"/>
        <v>94</v>
      </c>
      <c r="G119" s="475">
        <f t="shared" si="26"/>
        <v>92</v>
      </c>
      <c r="H119" s="475">
        <f t="shared" si="26"/>
        <v>90</v>
      </c>
      <c r="I119" s="475">
        <f t="shared" si="26"/>
        <v>88</v>
      </c>
      <c r="J119" s="475">
        <f t="shared" si="26"/>
        <v>86</v>
      </c>
      <c r="K119" s="475">
        <f t="shared" si="26"/>
        <v>84</v>
      </c>
      <c r="L119" s="475">
        <f t="shared" si="26"/>
        <v>82</v>
      </c>
      <c r="M119" s="476">
        <f t="shared" si="26"/>
        <v>80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3184" t="s">
        <v>3973</v>
      </c>
      <c r="D122" s="3184" t="s">
        <v>3975</v>
      </c>
      <c r="E122" s="3184" t="s">
        <v>3977</v>
      </c>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99</v>
      </c>
      <c r="E123" s="475">
        <f t="shared" si="28"/>
        <v>98</v>
      </c>
      <c r="F123" s="475">
        <f t="shared" si="28"/>
        <v>97</v>
      </c>
      <c r="G123" s="475">
        <f t="shared" si="28"/>
        <v>96</v>
      </c>
      <c r="H123" s="475">
        <f t="shared" si="28"/>
        <v>95</v>
      </c>
      <c r="I123" s="475">
        <f t="shared" si="28"/>
        <v>94</v>
      </c>
      <c r="J123" s="475">
        <f t="shared" si="28"/>
        <v>93</v>
      </c>
      <c r="K123" s="475">
        <f t="shared" si="28"/>
        <v>92</v>
      </c>
      <c r="L123" s="475">
        <f t="shared" si="28"/>
        <v>91</v>
      </c>
      <c r="M123" s="476">
        <f t="shared" si="28"/>
        <v>90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3184" t="s">
        <v>3985</v>
      </c>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3" type="noConversion"/>
  <conditionalFormatting sqref="E51">
    <cfRule type="expression" dxfId="135" priority="13" stopIfTrue="1">
      <formula>$F$51="超过30%"</formula>
    </cfRule>
  </conditionalFormatting>
  <conditionalFormatting sqref="E52">
    <cfRule type="expression" dxfId="134" priority="11" stopIfTrue="1">
      <formula>$F$52="超过20%"</formula>
    </cfRule>
  </conditionalFormatting>
  <conditionalFormatting sqref="E53">
    <cfRule type="expression" dxfId="133" priority="10" stopIfTrue="1">
      <formula>$F$53="超过30%"</formula>
    </cfRule>
  </conditionalFormatting>
  <conditionalFormatting sqref="F7:F45 H7:H45 J7:J45">
    <cfRule type="cellIs" dxfId="132" priority="1" operator="notEqual">
      <formula>100</formula>
    </cfRule>
  </conditionalFormatting>
  <conditionalFormatting sqref="F47">
    <cfRule type="expression" dxfId="131" priority="4">
      <formula>$D$47="简单平均"</formula>
    </cfRule>
  </conditionalFormatting>
  <conditionalFormatting sqref="F51:F53 H51:H53 J51:J53">
    <cfRule type="containsText" dxfId="130" priority="14" stopIfTrue="1" operator="containsText" text="超过">
      <formula>NOT(ISERROR(SEARCH("超过",F51)))</formula>
    </cfRule>
  </conditionalFormatting>
  <conditionalFormatting sqref="G51">
    <cfRule type="expression" dxfId="129" priority="9" stopIfTrue="1">
      <formula>$H$53+$H$51="超过30%"</formula>
    </cfRule>
  </conditionalFormatting>
  <conditionalFormatting sqref="G52">
    <cfRule type="expression" dxfId="128" priority="8" stopIfTrue="1">
      <formula>$H$52="超过20%"</formula>
    </cfRule>
  </conditionalFormatting>
  <conditionalFormatting sqref="G53">
    <cfRule type="expression" dxfId="127" priority="12" stopIfTrue="1">
      <formula>$H$53="超过30%"</formula>
    </cfRule>
  </conditionalFormatting>
  <conditionalFormatting sqref="H47">
    <cfRule type="expression" dxfId="126" priority="3">
      <formula>$D$47="简单平均"</formula>
    </cfRule>
  </conditionalFormatting>
  <conditionalFormatting sqref="I51">
    <cfRule type="expression" dxfId="125" priority="7" stopIfTrue="1">
      <formula>$J$51="超过30%"</formula>
    </cfRule>
  </conditionalFormatting>
  <conditionalFormatting sqref="I52">
    <cfRule type="expression" dxfId="124" priority="6" stopIfTrue="1">
      <formula>$J$52="超过20%"</formula>
    </cfRule>
  </conditionalFormatting>
  <conditionalFormatting sqref="I53">
    <cfRule type="expression" dxfId="123" priority="5" stopIfTrue="1">
      <formula>$J$53="超过30%"</formula>
    </cfRule>
  </conditionalFormatting>
  <conditionalFormatting sqref="J47">
    <cfRule type="expression" dxfId="122" priority="2">
      <formula>$D$47="简单平均"</formula>
    </cfRule>
  </conditionalFormatting>
  <dataValidations count="25">
    <dataValidation type="list" allowBlank="1" showInputMessage="1" showErrorMessage="1" sqref="C25" xr:uid="{00000000-0002-0000-2800-000000000000}">
      <formula1>住宅朝向</formula1>
    </dataValidation>
    <dataValidation type="list" allowBlank="1" showInputMessage="1" showErrorMessage="1" sqref="E28 C28 G28 I28" xr:uid="{00000000-0002-0000-2800-000001000000}">
      <formula1>公共配套设施</formula1>
    </dataValidation>
    <dataValidation type="list" allowBlank="1" showInputMessage="1" showErrorMessage="1" sqref="E22 C22 G22 I22" xr:uid="{00000000-0002-0000-2800-000002000000}">
      <formula1>交通便捷度</formula1>
    </dataValidation>
    <dataValidation type="list" allowBlank="1" showInputMessage="1" showErrorMessage="1" sqref="E16 G16 I16 C16" xr:uid="{00000000-0002-0000-2800-000003000000}">
      <formula1>居住社区成熟度</formula1>
    </dataValidation>
    <dataValidation type="list" allowBlank="1" showInputMessage="1" showErrorMessage="1" sqref="C26 E26 G26 I26" xr:uid="{00000000-0002-0000-2800-000004000000}">
      <formula1>环境</formula1>
    </dataValidation>
    <dataValidation type="list" allowBlank="1" showInputMessage="1" showErrorMessage="1" sqref="B46" xr:uid="{00000000-0002-0000-2800-000005000000}">
      <formula1>单价内涵</formula1>
    </dataValidation>
    <dataValidation type="list" allowBlank="1" showInputMessage="1" showErrorMessage="1" sqref="C8 E8 G8 I8" xr:uid="{00000000-0002-0000-2800-000006000000}">
      <formula1>套综交易情况</formula1>
    </dataValidation>
    <dataValidation type="list" allowBlank="1" showInputMessage="1" showErrorMessage="1" sqref="C9 E9 G9 I9" xr:uid="{00000000-0002-0000-2800-000007000000}">
      <formula1>套综用途</formula1>
    </dataValidation>
    <dataValidation type="list" allowBlank="1" showInputMessage="1" showErrorMessage="1" sqref="E18 C18 G18 I18" xr:uid="{00000000-0002-0000-2800-000008000000}">
      <formula1>商业繁华度</formula1>
    </dataValidation>
    <dataValidation type="list" allowBlank="1" showInputMessage="1" showErrorMessage="1" sqref="E20 C20 G20 I20" xr:uid="{00000000-0002-0000-2800-000009000000}">
      <formula1>办公集聚程度</formula1>
    </dataValidation>
    <dataValidation type="list" allowBlank="1" showInputMessage="1" showErrorMessage="1" sqref="C33 E33 G33 I33" xr:uid="{00000000-0002-0000-2800-00000A000000}">
      <formula1>套综道路等级</formula1>
    </dataValidation>
    <dataValidation type="list" allowBlank="1" showInputMessage="1" showErrorMessage="1" sqref="C34 E34 G34 I34" xr:uid="{00000000-0002-0000-2800-00000B000000}">
      <formula1>套综土地级别</formula1>
    </dataValidation>
    <dataValidation type="list" allowBlank="1" showInputMessage="1" showErrorMessage="1" sqref="C39 E39 G39 I39" xr:uid="{00000000-0002-0000-2800-00000C000000}">
      <formula1>套综宗地形状</formula1>
    </dataValidation>
    <dataValidation type="list" allowBlank="1" showInputMessage="1" showErrorMessage="1" sqref="C40 E40 G40 I40" xr:uid="{00000000-0002-0000-2800-00000D000000}">
      <formula1>套综临街宽度及深度</formula1>
    </dataValidation>
    <dataValidation type="list" allowBlank="1" showInputMessage="1" showErrorMessage="1" sqref="C41 E41 G41 I41" xr:uid="{00000000-0002-0000-2800-00000E000000}">
      <formula1>套综宗地内开发程度</formula1>
    </dataValidation>
    <dataValidation type="list" allowBlank="1" showInputMessage="1" showErrorMessage="1" sqref="C42 E42 G42 I42" xr:uid="{00000000-0002-0000-2800-00000F000000}">
      <formula1>套综工程地质条件</formula1>
    </dataValidation>
    <dataValidation type="list" allowBlank="1" showInputMessage="1" showErrorMessage="1" sqref="C31 E31 G31 I31" xr:uid="{00000000-0002-0000-2800-000010000000}">
      <formula1>临街状况</formula1>
    </dataValidation>
    <dataValidation type="list" allowBlank="1" showInputMessage="1" showErrorMessage="1" sqref="E24 G24 I24 C24" xr:uid="{00000000-0002-0000-2800-000011000000}">
      <formula1>区域土地利用方向</formula1>
    </dataValidation>
    <dataValidation type="list" allowBlank="1" showInputMessage="1" showErrorMessage="1" sqref="C55" xr:uid="{00000000-0002-0000-2800-000012000000}">
      <formula1>"北京市系数,其他省市系数"</formula1>
    </dataValidation>
    <dataValidation type="list" allowBlank="1" showInputMessage="1" showErrorMessage="1" sqref="G61" xr:uid="{00000000-0002-0000-2800-000013000000}">
      <formula1>"商业,办公,住宅,工业"</formula1>
    </dataValidation>
    <dataValidation type="list" allowBlank="1" showInputMessage="1" showErrorMessage="1" sqref="G62" xr:uid="{00000000-0002-0000-2800-000014000000}">
      <formula1>"住宅,工业"</formula1>
    </dataValidation>
    <dataValidation type="list" allowBlank="1" showInputMessage="1" showErrorMessage="1" sqref="C30 E30 G30 I30" xr:uid="{00000000-0002-0000-2800-000015000000}">
      <formula1>基础设施水平</formula1>
    </dataValidation>
    <dataValidation type="list" allowBlank="1" showInputMessage="1" showErrorMessage="1" sqref="A70" xr:uid="{00000000-0002-0000-2800-000016000000}">
      <formula1>"综合,商业,办公,住宅"</formula1>
    </dataValidation>
    <dataValidation type="list" allowBlank="1" showInputMessage="1" showErrorMessage="1" sqref="D47" xr:uid="{00000000-0002-0000-2800-000017000000}">
      <formula1>"简单平均,加权平均"</formula1>
    </dataValidation>
    <dataValidation type="list" allowBlank="1" showInputMessage="1" showErrorMessage="1" sqref="D57:D64" xr:uid="{00000000-0002-0000-28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V23" sqref="V23"/>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7.664062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5" t="s">
        <v>2084</v>
      </c>
      <c r="D1" s="3486"/>
      <c r="E1" s="3486"/>
      <c r="F1" s="3486"/>
      <c r="G1" s="3486"/>
      <c r="H1" s="3486"/>
      <c r="I1" s="3486"/>
      <c r="J1" s="3486"/>
      <c r="K1" s="3486"/>
      <c r="L1" s="3486"/>
      <c r="M1" s="3486"/>
      <c r="N1" s="3486"/>
      <c r="O1" s="3486"/>
      <c r="P1" s="3486"/>
      <c r="Q1" s="3486"/>
      <c r="R1" s="3486"/>
      <c r="S1" s="3487"/>
      <c r="T1" s="929" t="s">
        <v>2085</v>
      </c>
    </row>
    <row r="2" spans="1:45" s="625" customFormat="1" ht="26.4">
      <c r="A2" s="930"/>
      <c r="B2" s="622" t="s">
        <v>2086</v>
      </c>
      <c r="C2" s="14" t="str">
        <f t="shared" ref="C2:L2" si="0">C3&amp;"(含)"&amp;"-"&amp;D3</f>
        <v>0(含)-250</v>
      </c>
      <c r="D2" s="623" t="str">
        <f t="shared" si="0"/>
        <v>250(含)-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'比较法-住宅'!C103</f>
        <v>0</v>
      </c>
      <c r="D3" s="627">
        <f>'比较法-住宅'!D103</f>
        <v>250</v>
      </c>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'比较法-住宅'!C104</f>
        <v>100</v>
      </c>
      <c r="D4" s="627">
        <f>'比较法-住宅'!D104</f>
        <v>99</v>
      </c>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3173"/>
      <c r="C5" s="3174"/>
      <c r="D5" s="3175"/>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2087</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2088</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3173" t="s">
        <v>3592</v>
      </c>
      <c r="C13" s="3174" t="s">
        <v>3594</v>
      </c>
      <c r="D13" s="3175" t="s">
        <v>3595</v>
      </c>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v>100</v>
      </c>
      <c r="D14" s="847">
        <v>105</v>
      </c>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2091</v>
      </c>
      <c r="B17" s="1983"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4" t="s">
        <v>2093</v>
      </c>
      <c r="E19" s="1252"/>
      <c r="F19" s="1252"/>
      <c r="G19" s="1252"/>
      <c r="H19" s="996"/>
      <c r="I19" s="151"/>
      <c r="J19" s="151"/>
      <c r="K19" s="151"/>
      <c r="L19" s="151"/>
      <c r="M19" s="151"/>
      <c r="N19" s="151"/>
      <c r="O19" s="151"/>
      <c r="P19" s="151"/>
      <c r="Q19" s="151"/>
      <c r="R19" s="151"/>
      <c r="S19" s="121"/>
    </row>
    <row r="20" spans="1:45" ht="16.2" thickBot="1">
      <c r="A20" s="632" t="s">
        <v>2094</v>
      </c>
      <c r="B20" s="286">
        <f ca="1">IF(D20="——",S22,S22-F20)</f>
        <v>33620</v>
      </c>
      <c r="C20" s="151"/>
      <c r="D20" s="1985" t="s">
        <v>43</v>
      </c>
      <c r="E20" s="1253"/>
      <c r="F20" s="929" t="e">
        <f ca="1">SUMIF(INDIRECT("'"&amp;H20&amp;"'"&amp;"!A:A"),"承租人权益价值",INDIRECT("'"&amp;H20&amp;"'"&amp;"!c:c"))</f>
        <v>#REF!</v>
      </c>
      <c r="G20" s="929" t="s">
        <v>2095</v>
      </c>
      <c r="H20" s="1986"/>
      <c r="I20" s="151"/>
      <c r="J20" s="151"/>
      <c r="K20" s="151"/>
      <c r="L20" s="151"/>
      <c r="M20" s="151"/>
      <c r="N20" s="151"/>
      <c r="O20" s="151"/>
      <c r="P20" s="151"/>
      <c r="Q20" s="151"/>
      <c r="R20" s="151"/>
      <c r="S20" s="121"/>
    </row>
    <row r="21" spans="1:45" ht="15.6">
      <c r="A21" s="632" t="s">
        <v>2096</v>
      </c>
      <c r="B21" s="286">
        <f ca="1">ROUND(B20*10000/B22,0)</f>
        <v>37815</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8890.739999999998</v>
      </c>
      <c r="C22" s="3482" t="s">
        <v>27</v>
      </c>
      <c r="D22" s="3483"/>
      <c r="E22" s="3483"/>
      <c r="F22" s="3483"/>
      <c r="G22" s="3483"/>
      <c r="H22" s="3483"/>
      <c r="I22" s="3483"/>
      <c r="J22" s="3483"/>
      <c r="K22" s="3483"/>
      <c r="L22" s="3483"/>
      <c r="M22" s="3483"/>
      <c r="N22" s="3483"/>
      <c r="O22" s="3483"/>
      <c r="P22" s="3483"/>
      <c r="Q22" s="3484"/>
      <c r="R22" s="21">
        <f ca="1">ROUND(S22*10000/B22,0)</f>
        <v>37815</v>
      </c>
      <c r="S22" s="21">
        <f ca="1">SUM(S24:S10000)</f>
        <v>33620</v>
      </c>
    </row>
    <row r="23" spans="1:45" s="9" customFormat="1" ht="24">
      <c r="A23" s="8" t="s">
        <v>2098</v>
      </c>
      <c r="B23" s="8" t="s">
        <v>2099</v>
      </c>
      <c r="C23" s="8" t="s">
        <v>2100</v>
      </c>
      <c r="D23" s="8">
        <f>B5</f>
        <v>0</v>
      </c>
      <c r="E23" s="8" t="s">
        <v>2100</v>
      </c>
      <c r="F23" s="8" t="str">
        <f>B7</f>
        <v>修正项3</v>
      </c>
      <c r="G23" s="8" t="s">
        <v>2100</v>
      </c>
      <c r="H23" s="8" t="str">
        <f>B9</f>
        <v>修正项4</v>
      </c>
      <c r="I23" s="8" t="s">
        <v>2100</v>
      </c>
      <c r="J23" s="8" t="str">
        <f>B11</f>
        <v>修正项5</v>
      </c>
      <c r="K23" s="8" t="s">
        <v>2100</v>
      </c>
      <c r="L23" s="8" t="str">
        <f>B13</f>
        <v>建筑形式</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64" t="s">
        <v>3510</v>
      </c>
      <c r="B24" s="633">
        <f>'数据-汇总表'!E19</f>
        <v>185.94</v>
      </c>
      <c r="C24" s="2566">
        <v>1</v>
      </c>
      <c r="D24" s="2567"/>
      <c r="E24" s="2566">
        <v>1</v>
      </c>
      <c r="F24" s="2567"/>
      <c r="G24" s="2566">
        <v>1</v>
      </c>
      <c r="H24" s="2567"/>
      <c r="I24" s="2566">
        <v>1</v>
      </c>
      <c r="J24" s="2567"/>
      <c r="K24" s="2566">
        <v>1</v>
      </c>
      <c r="L24" s="2567" t="s">
        <v>3593</v>
      </c>
      <c r="M24" s="2566">
        <v>1</v>
      </c>
      <c r="N24" s="2567"/>
      <c r="O24" s="2566">
        <v>1</v>
      </c>
      <c r="P24" s="2567"/>
      <c r="Q24" s="2566">
        <v>1</v>
      </c>
      <c r="R24" s="633">
        <f ca="1">'结果表-住宅'!H102</f>
        <v>36904</v>
      </c>
      <c r="S24" s="634">
        <f t="shared" ref="S24:S54" ca="1" si="11">ROUND(R24*B24/10000,0)</f>
        <v>686</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3165" t="s">
        <v>3511</v>
      </c>
      <c r="B25" s="52">
        <f>住宅面积信息!B11</f>
        <v>200.08</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t="str">
        <f>住宅面积信息!C11</f>
        <v>下叠</v>
      </c>
      <c r="M25" s="21">
        <f>(SUMIF($13:$13,L25,$14:$14)-SUMIF($13:$13,$L$24,$14:$14)+100)/100</f>
        <v>1.05</v>
      </c>
      <c r="N25" s="635"/>
      <c r="O25" s="21">
        <f>(SUMIF($15:$15,N25,$16:$16)-SUMIF($15:$15,$N$24,$16:$16)+100)/100</f>
        <v>1</v>
      </c>
      <c r="P25" s="635"/>
      <c r="Q25" s="21">
        <f>(SUMIF($17:$17,P25,$18:$18)-SUMIF($17:$17,$P$24,$18:$18)+100)/100</f>
        <v>1</v>
      </c>
      <c r="R25" s="21">
        <f ca="1">IF(B25="",0,ROUND($R$24*C25*E25*G25*I25*K25*M25*O25*Q25,0))</f>
        <v>38749</v>
      </c>
      <c r="S25" s="308">
        <f t="shared" ca="1" si="11"/>
        <v>775</v>
      </c>
    </row>
    <row r="26" spans="1:45">
      <c r="A26" s="3165" t="s">
        <v>3512</v>
      </c>
      <c r="B26" s="52">
        <f>住宅面积信息!B12</f>
        <v>190.42</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t="str">
        <f>住宅面积信息!C12</f>
        <v>下叠</v>
      </c>
      <c r="M26" s="21">
        <f t="shared" ref="M26:M89" si="17">(SUMIF($13:$13,L26,$14:$14)-SUMIF($13:$13,$L$24,$14:$14)+100)/100</f>
        <v>1.05</v>
      </c>
      <c r="N26" s="635"/>
      <c r="O26" s="21">
        <f t="shared" ref="O26:O89" si="18">(SUMIF($15:$15,N26,$16:$16)-SUMIF($15:$15,$N$24,$16:$16)+100)/100</f>
        <v>1</v>
      </c>
      <c r="P26" s="635"/>
      <c r="Q26" s="21">
        <f t="shared" ref="Q26:Q89" si="19">(SUMIF($17:$17,P26,$18:$18)-SUMIF($17:$17,$P$24,$18:$18)+100)/100</f>
        <v>1</v>
      </c>
      <c r="R26" s="21">
        <f t="shared" ref="R26:R89" ca="1" si="20">IF(B26="",0,ROUND($R$24*C26*E26*G26*I26*K26*M26*O26*Q26,0))</f>
        <v>38749</v>
      </c>
      <c r="S26" s="308">
        <f t="shared" ca="1" si="11"/>
        <v>738</v>
      </c>
    </row>
    <row r="27" spans="1:45">
      <c r="A27" s="3165" t="s">
        <v>3513</v>
      </c>
      <c r="B27" s="52">
        <f>住宅面积信息!B13</f>
        <v>193.24</v>
      </c>
      <c r="C27" s="21">
        <f t="shared" si="12"/>
        <v>1</v>
      </c>
      <c r="D27" s="635"/>
      <c r="E27" s="21">
        <f t="shared" si="13"/>
        <v>1</v>
      </c>
      <c r="F27" s="635"/>
      <c r="G27" s="21">
        <f t="shared" si="14"/>
        <v>1</v>
      </c>
      <c r="H27" s="635"/>
      <c r="I27" s="21">
        <f t="shared" si="15"/>
        <v>1</v>
      </c>
      <c r="J27" s="635"/>
      <c r="K27" s="21">
        <f t="shared" si="16"/>
        <v>1</v>
      </c>
      <c r="L27" s="635" t="str">
        <f>住宅面积信息!C13</f>
        <v>上叠</v>
      </c>
      <c r="M27" s="21">
        <f t="shared" si="17"/>
        <v>1</v>
      </c>
      <c r="N27" s="635"/>
      <c r="O27" s="21">
        <f t="shared" si="18"/>
        <v>1</v>
      </c>
      <c r="P27" s="635"/>
      <c r="Q27" s="21">
        <f t="shared" si="19"/>
        <v>1</v>
      </c>
      <c r="R27" s="21">
        <f t="shared" ca="1" si="20"/>
        <v>36904</v>
      </c>
      <c r="S27" s="308">
        <f t="shared" ca="1" si="11"/>
        <v>713</v>
      </c>
    </row>
    <row r="28" spans="1:45">
      <c r="A28" s="3165" t="s">
        <v>3514</v>
      </c>
      <c r="B28" s="52">
        <f>住宅面积信息!B14</f>
        <v>185.94</v>
      </c>
      <c r="C28" s="21">
        <f t="shared" si="12"/>
        <v>1</v>
      </c>
      <c r="D28" s="635"/>
      <c r="E28" s="21">
        <f t="shared" si="13"/>
        <v>1</v>
      </c>
      <c r="F28" s="635"/>
      <c r="G28" s="21">
        <f t="shared" si="14"/>
        <v>1</v>
      </c>
      <c r="H28" s="635"/>
      <c r="I28" s="21">
        <f t="shared" si="15"/>
        <v>1</v>
      </c>
      <c r="J28" s="635"/>
      <c r="K28" s="21">
        <f t="shared" si="16"/>
        <v>1</v>
      </c>
      <c r="L28" s="635" t="str">
        <f>住宅面积信息!C14</f>
        <v>上叠</v>
      </c>
      <c r="M28" s="21">
        <f t="shared" si="17"/>
        <v>1</v>
      </c>
      <c r="N28" s="635"/>
      <c r="O28" s="21">
        <f t="shared" si="18"/>
        <v>1</v>
      </c>
      <c r="P28" s="635"/>
      <c r="Q28" s="21">
        <f t="shared" si="19"/>
        <v>1</v>
      </c>
      <c r="R28" s="21">
        <f t="shared" ca="1" si="20"/>
        <v>36904</v>
      </c>
      <c r="S28" s="308">
        <f t="shared" ca="1" si="11"/>
        <v>686</v>
      </c>
    </row>
    <row r="29" spans="1:45">
      <c r="A29" s="3165" t="s">
        <v>3515</v>
      </c>
      <c r="B29" s="52">
        <f>住宅面积信息!B15</f>
        <v>190.42</v>
      </c>
      <c r="C29" s="21">
        <f t="shared" si="12"/>
        <v>1</v>
      </c>
      <c r="D29" s="635"/>
      <c r="E29" s="21">
        <f t="shared" si="13"/>
        <v>1</v>
      </c>
      <c r="F29" s="635"/>
      <c r="G29" s="21">
        <f t="shared" si="14"/>
        <v>1</v>
      </c>
      <c r="H29" s="635"/>
      <c r="I29" s="21">
        <f t="shared" si="15"/>
        <v>1</v>
      </c>
      <c r="J29" s="635"/>
      <c r="K29" s="21">
        <f t="shared" si="16"/>
        <v>1</v>
      </c>
      <c r="L29" s="635" t="str">
        <f>住宅面积信息!C15</f>
        <v>下叠</v>
      </c>
      <c r="M29" s="21">
        <f t="shared" si="17"/>
        <v>1.05</v>
      </c>
      <c r="N29" s="635"/>
      <c r="O29" s="21">
        <f t="shared" si="18"/>
        <v>1</v>
      </c>
      <c r="P29" s="635"/>
      <c r="Q29" s="21">
        <f t="shared" si="19"/>
        <v>1</v>
      </c>
      <c r="R29" s="21">
        <f t="shared" ca="1" si="20"/>
        <v>38749</v>
      </c>
      <c r="S29" s="308">
        <f t="shared" ca="1" si="11"/>
        <v>738</v>
      </c>
    </row>
    <row r="30" spans="1:45">
      <c r="A30" s="3165" t="s">
        <v>3516</v>
      </c>
      <c r="B30" s="52">
        <f>住宅面积信息!B16</f>
        <v>190.42</v>
      </c>
      <c r="C30" s="21">
        <f t="shared" si="12"/>
        <v>1</v>
      </c>
      <c r="D30" s="635"/>
      <c r="E30" s="21">
        <f t="shared" si="13"/>
        <v>1</v>
      </c>
      <c r="F30" s="635"/>
      <c r="G30" s="21">
        <f t="shared" si="14"/>
        <v>1</v>
      </c>
      <c r="H30" s="635"/>
      <c r="I30" s="21">
        <f t="shared" si="15"/>
        <v>1</v>
      </c>
      <c r="J30" s="635"/>
      <c r="K30" s="21">
        <f t="shared" si="16"/>
        <v>1</v>
      </c>
      <c r="L30" s="635" t="str">
        <f>住宅面积信息!C16</f>
        <v>下叠</v>
      </c>
      <c r="M30" s="21">
        <f t="shared" si="17"/>
        <v>1.05</v>
      </c>
      <c r="N30" s="635"/>
      <c r="O30" s="21">
        <f t="shared" si="18"/>
        <v>1</v>
      </c>
      <c r="P30" s="635"/>
      <c r="Q30" s="21">
        <f t="shared" si="19"/>
        <v>1</v>
      </c>
      <c r="R30" s="21">
        <f t="shared" ca="1" si="20"/>
        <v>38749</v>
      </c>
      <c r="S30" s="308">
        <f t="shared" ca="1" si="11"/>
        <v>738</v>
      </c>
    </row>
    <row r="31" spans="1:45">
      <c r="A31" s="3165" t="s">
        <v>3517</v>
      </c>
      <c r="B31" s="52">
        <f>住宅面积信息!B17</f>
        <v>185.94</v>
      </c>
      <c r="C31" s="21">
        <f t="shared" si="12"/>
        <v>1</v>
      </c>
      <c r="D31" s="635"/>
      <c r="E31" s="21">
        <f t="shared" si="13"/>
        <v>1</v>
      </c>
      <c r="F31" s="635"/>
      <c r="G31" s="21">
        <f t="shared" si="14"/>
        <v>1</v>
      </c>
      <c r="H31" s="635"/>
      <c r="I31" s="21">
        <f t="shared" si="15"/>
        <v>1</v>
      </c>
      <c r="J31" s="635"/>
      <c r="K31" s="21">
        <f t="shared" si="16"/>
        <v>1</v>
      </c>
      <c r="L31" s="635" t="str">
        <f>住宅面积信息!C17</f>
        <v>上叠</v>
      </c>
      <c r="M31" s="21">
        <f t="shared" si="17"/>
        <v>1</v>
      </c>
      <c r="N31" s="635"/>
      <c r="O31" s="21">
        <f t="shared" si="18"/>
        <v>1</v>
      </c>
      <c r="P31" s="635"/>
      <c r="Q31" s="21">
        <f t="shared" si="19"/>
        <v>1</v>
      </c>
      <c r="R31" s="21">
        <f t="shared" ca="1" si="20"/>
        <v>36904</v>
      </c>
      <c r="S31" s="308">
        <f t="shared" ca="1" si="11"/>
        <v>686</v>
      </c>
    </row>
    <row r="32" spans="1:45">
      <c r="A32" s="3165" t="s">
        <v>3518</v>
      </c>
      <c r="B32" s="52">
        <f>住宅面积信息!B18</f>
        <v>185.94</v>
      </c>
      <c r="C32" s="21">
        <f t="shared" si="12"/>
        <v>1</v>
      </c>
      <c r="D32" s="635"/>
      <c r="E32" s="21">
        <f t="shared" si="13"/>
        <v>1</v>
      </c>
      <c r="F32" s="635"/>
      <c r="G32" s="21">
        <f t="shared" si="14"/>
        <v>1</v>
      </c>
      <c r="H32" s="635"/>
      <c r="I32" s="21">
        <f t="shared" si="15"/>
        <v>1</v>
      </c>
      <c r="J32" s="635"/>
      <c r="K32" s="21">
        <f t="shared" si="16"/>
        <v>1</v>
      </c>
      <c r="L32" s="635" t="str">
        <f>住宅面积信息!C18</f>
        <v>上叠</v>
      </c>
      <c r="M32" s="21">
        <f t="shared" si="17"/>
        <v>1</v>
      </c>
      <c r="N32" s="635"/>
      <c r="O32" s="21">
        <f t="shared" si="18"/>
        <v>1</v>
      </c>
      <c r="P32" s="635"/>
      <c r="Q32" s="21">
        <f t="shared" si="19"/>
        <v>1</v>
      </c>
      <c r="R32" s="21">
        <f t="shared" ca="1" si="20"/>
        <v>36904</v>
      </c>
      <c r="S32" s="308">
        <f t="shared" ca="1" si="11"/>
        <v>686</v>
      </c>
    </row>
    <row r="33" spans="1:19">
      <c r="A33" s="3165" t="s">
        <v>3519</v>
      </c>
      <c r="B33" s="52">
        <f>住宅面积信息!B19</f>
        <v>190.42</v>
      </c>
      <c r="C33" s="21">
        <f t="shared" si="12"/>
        <v>1</v>
      </c>
      <c r="D33" s="635"/>
      <c r="E33" s="21">
        <f t="shared" si="13"/>
        <v>1</v>
      </c>
      <c r="F33" s="635"/>
      <c r="G33" s="21">
        <f t="shared" si="14"/>
        <v>1</v>
      </c>
      <c r="H33" s="635"/>
      <c r="I33" s="21">
        <f t="shared" si="15"/>
        <v>1</v>
      </c>
      <c r="J33" s="635"/>
      <c r="K33" s="21">
        <f t="shared" si="16"/>
        <v>1</v>
      </c>
      <c r="L33" s="635" t="str">
        <f>住宅面积信息!C19</f>
        <v>下叠</v>
      </c>
      <c r="M33" s="21">
        <f t="shared" si="17"/>
        <v>1.05</v>
      </c>
      <c r="N33" s="635"/>
      <c r="O33" s="21">
        <f t="shared" si="18"/>
        <v>1</v>
      </c>
      <c r="P33" s="635"/>
      <c r="Q33" s="21">
        <f t="shared" si="19"/>
        <v>1</v>
      </c>
      <c r="R33" s="21">
        <f t="shared" ca="1" si="20"/>
        <v>38749</v>
      </c>
      <c r="S33" s="308">
        <f t="shared" ca="1" si="11"/>
        <v>738</v>
      </c>
    </row>
    <row r="34" spans="1:19">
      <c r="A34" s="3165" t="s">
        <v>3520</v>
      </c>
      <c r="B34" s="52">
        <f>住宅面积信息!B20</f>
        <v>185.94</v>
      </c>
      <c r="C34" s="21">
        <f t="shared" si="12"/>
        <v>1</v>
      </c>
      <c r="D34" s="635"/>
      <c r="E34" s="21">
        <f t="shared" si="13"/>
        <v>1</v>
      </c>
      <c r="F34" s="635"/>
      <c r="G34" s="21">
        <f t="shared" si="14"/>
        <v>1</v>
      </c>
      <c r="H34" s="635"/>
      <c r="I34" s="21">
        <f t="shared" si="15"/>
        <v>1</v>
      </c>
      <c r="J34" s="635"/>
      <c r="K34" s="21">
        <f t="shared" si="16"/>
        <v>1</v>
      </c>
      <c r="L34" s="635" t="str">
        <f>住宅面积信息!C20</f>
        <v>上叠</v>
      </c>
      <c r="M34" s="21">
        <f t="shared" si="17"/>
        <v>1</v>
      </c>
      <c r="N34" s="635"/>
      <c r="O34" s="21">
        <f t="shared" si="18"/>
        <v>1</v>
      </c>
      <c r="P34" s="635"/>
      <c r="Q34" s="21">
        <f t="shared" si="19"/>
        <v>1</v>
      </c>
      <c r="R34" s="21">
        <f t="shared" ca="1" si="20"/>
        <v>36904</v>
      </c>
      <c r="S34" s="308">
        <f t="shared" ca="1" si="11"/>
        <v>686</v>
      </c>
    </row>
    <row r="35" spans="1:19">
      <c r="A35" s="3165" t="s">
        <v>3521</v>
      </c>
      <c r="B35" s="52">
        <f>住宅面积信息!B21</f>
        <v>190.42</v>
      </c>
      <c r="C35" s="21">
        <f t="shared" si="12"/>
        <v>1</v>
      </c>
      <c r="D35" s="635"/>
      <c r="E35" s="21">
        <f t="shared" si="13"/>
        <v>1</v>
      </c>
      <c r="F35" s="635"/>
      <c r="G35" s="21">
        <f t="shared" si="14"/>
        <v>1</v>
      </c>
      <c r="H35" s="635"/>
      <c r="I35" s="21">
        <f t="shared" si="15"/>
        <v>1</v>
      </c>
      <c r="J35" s="635"/>
      <c r="K35" s="21">
        <f t="shared" si="16"/>
        <v>1</v>
      </c>
      <c r="L35" s="635" t="str">
        <f>住宅面积信息!C21</f>
        <v>下叠</v>
      </c>
      <c r="M35" s="21">
        <f t="shared" si="17"/>
        <v>1.05</v>
      </c>
      <c r="N35" s="635"/>
      <c r="O35" s="21">
        <f t="shared" si="18"/>
        <v>1</v>
      </c>
      <c r="P35" s="635"/>
      <c r="Q35" s="21">
        <f t="shared" si="19"/>
        <v>1</v>
      </c>
      <c r="R35" s="21">
        <f t="shared" ca="1" si="20"/>
        <v>38749</v>
      </c>
      <c r="S35" s="308">
        <f t="shared" ca="1" si="11"/>
        <v>738</v>
      </c>
    </row>
    <row r="36" spans="1:19">
      <c r="A36" s="3165" t="s">
        <v>3522</v>
      </c>
      <c r="B36" s="52">
        <f>住宅面积信息!B22</f>
        <v>185.94</v>
      </c>
      <c r="C36" s="21">
        <f t="shared" si="12"/>
        <v>1</v>
      </c>
      <c r="D36" s="635"/>
      <c r="E36" s="21">
        <f t="shared" si="13"/>
        <v>1</v>
      </c>
      <c r="F36" s="635"/>
      <c r="G36" s="21">
        <f t="shared" si="14"/>
        <v>1</v>
      </c>
      <c r="H36" s="635"/>
      <c r="I36" s="21">
        <f t="shared" si="15"/>
        <v>1</v>
      </c>
      <c r="J36" s="635"/>
      <c r="K36" s="21">
        <f t="shared" si="16"/>
        <v>1</v>
      </c>
      <c r="L36" s="635" t="str">
        <f>住宅面积信息!C22</f>
        <v>上叠</v>
      </c>
      <c r="M36" s="21">
        <f t="shared" si="17"/>
        <v>1</v>
      </c>
      <c r="N36" s="635"/>
      <c r="O36" s="21">
        <f t="shared" si="18"/>
        <v>1</v>
      </c>
      <c r="P36" s="635"/>
      <c r="Q36" s="21">
        <f t="shared" si="19"/>
        <v>1</v>
      </c>
      <c r="R36" s="21">
        <f t="shared" ca="1" si="20"/>
        <v>36904</v>
      </c>
      <c r="S36" s="308">
        <f t="shared" ca="1" si="11"/>
        <v>686</v>
      </c>
    </row>
    <row r="37" spans="1:19">
      <c r="A37" s="3165" t="s">
        <v>3523</v>
      </c>
      <c r="B37" s="52">
        <f>住宅面积信息!B23</f>
        <v>185.94</v>
      </c>
      <c r="C37" s="21">
        <f t="shared" si="12"/>
        <v>1</v>
      </c>
      <c r="D37" s="635"/>
      <c r="E37" s="21">
        <f t="shared" si="13"/>
        <v>1</v>
      </c>
      <c r="F37" s="635"/>
      <c r="G37" s="21">
        <f t="shared" si="14"/>
        <v>1</v>
      </c>
      <c r="H37" s="635"/>
      <c r="I37" s="21">
        <f t="shared" si="15"/>
        <v>1</v>
      </c>
      <c r="J37" s="635"/>
      <c r="K37" s="21">
        <f t="shared" si="16"/>
        <v>1</v>
      </c>
      <c r="L37" s="635" t="str">
        <f>住宅面积信息!C23</f>
        <v>上叠</v>
      </c>
      <c r="M37" s="21">
        <f t="shared" si="17"/>
        <v>1</v>
      </c>
      <c r="N37" s="635"/>
      <c r="O37" s="21">
        <f t="shared" si="18"/>
        <v>1</v>
      </c>
      <c r="P37" s="635"/>
      <c r="Q37" s="21">
        <f t="shared" si="19"/>
        <v>1</v>
      </c>
      <c r="R37" s="21">
        <f t="shared" ca="1" si="20"/>
        <v>36904</v>
      </c>
      <c r="S37" s="308">
        <f t="shared" ca="1" si="11"/>
        <v>686</v>
      </c>
    </row>
    <row r="38" spans="1:19">
      <c r="A38" s="3165" t="s">
        <v>3524</v>
      </c>
      <c r="B38" s="52">
        <f>住宅面积信息!B24</f>
        <v>185.94</v>
      </c>
      <c r="C38" s="21">
        <f t="shared" si="12"/>
        <v>1</v>
      </c>
      <c r="D38" s="635"/>
      <c r="E38" s="21">
        <f t="shared" si="13"/>
        <v>1</v>
      </c>
      <c r="F38" s="635"/>
      <c r="G38" s="21">
        <f t="shared" si="14"/>
        <v>1</v>
      </c>
      <c r="H38" s="635"/>
      <c r="I38" s="21">
        <f t="shared" si="15"/>
        <v>1</v>
      </c>
      <c r="J38" s="635"/>
      <c r="K38" s="21">
        <f t="shared" si="16"/>
        <v>1</v>
      </c>
      <c r="L38" s="635" t="str">
        <f>住宅面积信息!C24</f>
        <v>上叠</v>
      </c>
      <c r="M38" s="21">
        <f t="shared" si="17"/>
        <v>1</v>
      </c>
      <c r="N38" s="635"/>
      <c r="O38" s="21">
        <f t="shared" si="18"/>
        <v>1</v>
      </c>
      <c r="P38" s="635"/>
      <c r="Q38" s="21">
        <f t="shared" si="19"/>
        <v>1</v>
      </c>
      <c r="R38" s="21">
        <f t="shared" ca="1" si="20"/>
        <v>36904</v>
      </c>
      <c r="S38" s="308">
        <f t="shared" ca="1" si="11"/>
        <v>686</v>
      </c>
    </row>
    <row r="39" spans="1:19">
      <c r="A39" s="3165" t="s">
        <v>3525</v>
      </c>
      <c r="B39" s="52">
        <f>住宅面积信息!B25</f>
        <v>190.42</v>
      </c>
      <c r="C39" s="21">
        <f t="shared" si="12"/>
        <v>1</v>
      </c>
      <c r="D39" s="635"/>
      <c r="E39" s="21">
        <f t="shared" si="13"/>
        <v>1</v>
      </c>
      <c r="F39" s="635"/>
      <c r="G39" s="21">
        <f t="shared" si="14"/>
        <v>1</v>
      </c>
      <c r="H39" s="635"/>
      <c r="I39" s="21">
        <f t="shared" si="15"/>
        <v>1</v>
      </c>
      <c r="J39" s="635"/>
      <c r="K39" s="21">
        <f t="shared" si="16"/>
        <v>1</v>
      </c>
      <c r="L39" s="635" t="str">
        <f>住宅面积信息!C25</f>
        <v>下叠</v>
      </c>
      <c r="M39" s="21">
        <f t="shared" si="17"/>
        <v>1.05</v>
      </c>
      <c r="N39" s="635"/>
      <c r="O39" s="21">
        <f t="shared" si="18"/>
        <v>1</v>
      </c>
      <c r="P39" s="635"/>
      <c r="Q39" s="21">
        <f t="shared" si="19"/>
        <v>1</v>
      </c>
      <c r="R39" s="21">
        <f t="shared" ca="1" si="20"/>
        <v>38749</v>
      </c>
      <c r="S39" s="308">
        <f t="shared" ca="1" si="11"/>
        <v>738</v>
      </c>
    </row>
    <row r="40" spans="1:19">
      <c r="A40" s="3165" t="s">
        <v>3526</v>
      </c>
      <c r="B40" s="52">
        <f>住宅面积信息!B26</f>
        <v>185.94</v>
      </c>
      <c r="C40" s="21">
        <f t="shared" si="12"/>
        <v>1</v>
      </c>
      <c r="D40" s="635"/>
      <c r="E40" s="21">
        <f t="shared" si="13"/>
        <v>1</v>
      </c>
      <c r="F40" s="635"/>
      <c r="G40" s="21">
        <f t="shared" si="14"/>
        <v>1</v>
      </c>
      <c r="H40" s="635"/>
      <c r="I40" s="21">
        <f t="shared" si="15"/>
        <v>1</v>
      </c>
      <c r="J40" s="635"/>
      <c r="K40" s="21">
        <f t="shared" si="16"/>
        <v>1</v>
      </c>
      <c r="L40" s="635" t="str">
        <f>住宅面积信息!C26</f>
        <v>上叠</v>
      </c>
      <c r="M40" s="21">
        <f t="shared" si="17"/>
        <v>1</v>
      </c>
      <c r="N40" s="635"/>
      <c r="O40" s="21">
        <f t="shared" si="18"/>
        <v>1</v>
      </c>
      <c r="P40" s="635"/>
      <c r="Q40" s="21">
        <f t="shared" si="19"/>
        <v>1</v>
      </c>
      <c r="R40" s="21">
        <f t="shared" ca="1" si="20"/>
        <v>36904</v>
      </c>
      <c r="S40" s="308">
        <f t="shared" ca="1" si="11"/>
        <v>686</v>
      </c>
    </row>
    <row r="41" spans="1:19">
      <c r="A41" s="3165" t="s">
        <v>3527</v>
      </c>
      <c r="B41" s="52">
        <f>住宅面积信息!B27</f>
        <v>185.94</v>
      </c>
      <c r="C41" s="21">
        <f t="shared" si="12"/>
        <v>1</v>
      </c>
      <c r="D41" s="635"/>
      <c r="E41" s="21">
        <f t="shared" si="13"/>
        <v>1</v>
      </c>
      <c r="F41" s="635"/>
      <c r="G41" s="21">
        <f t="shared" si="14"/>
        <v>1</v>
      </c>
      <c r="H41" s="635"/>
      <c r="I41" s="21">
        <f t="shared" si="15"/>
        <v>1</v>
      </c>
      <c r="J41" s="635"/>
      <c r="K41" s="21">
        <f t="shared" si="16"/>
        <v>1</v>
      </c>
      <c r="L41" s="635" t="str">
        <f>住宅面积信息!C27</f>
        <v>上叠</v>
      </c>
      <c r="M41" s="21">
        <f t="shared" si="17"/>
        <v>1</v>
      </c>
      <c r="N41" s="635"/>
      <c r="O41" s="21">
        <f t="shared" si="18"/>
        <v>1</v>
      </c>
      <c r="P41" s="635"/>
      <c r="Q41" s="21">
        <f t="shared" si="19"/>
        <v>1</v>
      </c>
      <c r="R41" s="21">
        <f t="shared" ca="1" si="20"/>
        <v>36904</v>
      </c>
      <c r="S41" s="308">
        <f t="shared" ca="1" si="11"/>
        <v>686</v>
      </c>
    </row>
    <row r="42" spans="1:19">
      <c r="A42" s="3165" t="s">
        <v>3528</v>
      </c>
      <c r="B42" s="52">
        <f>住宅面积信息!B28</f>
        <v>190.42</v>
      </c>
      <c r="C42" s="21">
        <f t="shared" si="12"/>
        <v>1</v>
      </c>
      <c r="D42" s="635"/>
      <c r="E42" s="21">
        <f t="shared" si="13"/>
        <v>1</v>
      </c>
      <c r="F42" s="635"/>
      <c r="G42" s="21">
        <f t="shared" si="14"/>
        <v>1</v>
      </c>
      <c r="H42" s="635"/>
      <c r="I42" s="21">
        <f t="shared" si="15"/>
        <v>1</v>
      </c>
      <c r="J42" s="635"/>
      <c r="K42" s="21">
        <f t="shared" si="16"/>
        <v>1</v>
      </c>
      <c r="L42" s="635" t="str">
        <f>住宅面积信息!C28</f>
        <v>下叠</v>
      </c>
      <c r="M42" s="21">
        <f t="shared" si="17"/>
        <v>1.05</v>
      </c>
      <c r="N42" s="635"/>
      <c r="O42" s="21">
        <f t="shared" si="18"/>
        <v>1</v>
      </c>
      <c r="P42" s="635"/>
      <c r="Q42" s="21">
        <f t="shared" si="19"/>
        <v>1</v>
      </c>
      <c r="R42" s="21">
        <f t="shared" ca="1" si="20"/>
        <v>38749</v>
      </c>
      <c r="S42" s="308">
        <f t="shared" ca="1" si="11"/>
        <v>738</v>
      </c>
    </row>
    <row r="43" spans="1:19">
      <c r="A43" s="3165" t="s">
        <v>3529</v>
      </c>
      <c r="B43" s="52">
        <f>住宅面积信息!B29</f>
        <v>190.42</v>
      </c>
      <c r="C43" s="21">
        <f t="shared" si="12"/>
        <v>1</v>
      </c>
      <c r="D43" s="635"/>
      <c r="E43" s="21">
        <f t="shared" si="13"/>
        <v>1</v>
      </c>
      <c r="F43" s="635"/>
      <c r="G43" s="21">
        <f t="shared" si="14"/>
        <v>1</v>
      </c>
      <c r="H43" s="635"/>
      <c r="I43" s="21">
        <f t="shared" si="15"/>
        <v>1</v>
      </c>
      <c r="J43" s="635"/>
      <c r="K43" s="21">
        <f t="shared" si="16"/>
        <v>1</v>
      </c>
      <c r="L43" s="635" t="str">
        <f>住宅面积信息!C29</f>
        <v>下叠</v>
      </c>
      <c r="M43" s="21">
        <f t="shared" si="17"/>
        <v>1.05</v>
      </c>
      <c r="N43" s="635"/>
      <c r="O43" s="21">
        <f t="shared" si="18"/>
        <v>1</v>
      </c>
      <c r="P43" s="635"/>
      <c r="Q43" s="21">
        <f t="shared" si="19"/>
        <v>1</v>
      </c>
      <c r="R43" s="21">
        <f t="shared" ca="1" si="20"/>
        <v>38749</v>
      </c>
      <c r="S43" s="308">
        <f t="shared" ca="1" si="11"/>
        <v>738</v>
      </c>
    </row>
    <row r="44" spans="1:19">
      <c r="A44" s="3165" t="s">
        <v>3530</v>
      </c>
      <c r="B44" s="52">
        <f>住宅面积信息!B30</f>
        <v>190.42</v>
      </c>
      <c r="C44" s="21">
        <f t="shared" si="12"/>
        <v>1</v>
      </c>
      <c r="D44" s="635"/>
      <c r="E44" s="21">
        <f t="shared" si="13"/>
        <v>1</v>
      </c>
      <c r="F44" s="635"/>
      <c r="G44" s="21">
        <f t="shared" si="14"/>
        <v>1</v>
      </c>
      <c r="H44" s="635"/>
      <c r="I44" s="21">
        <f t="shared" si="15"/>
        <v>1</v>
      </c>
      <c r="J44" s="635"/>
      <c r="K44" s="21">
        <f t="shared" si="16"/>
        <v>1</v>
      </c>
      <c r="L44" s="635" t="str">
        <f>住宅面积信息!C30</f>
        <v>下叠</v>
      </c>
      <c r="M44" s="21">
        <f t="shared" si="17"/>
        <v>1.05</v>
      </c>
      <c r="N44" s="635"/>
      <c r="O44" s="21">
        <f t="shared" si="18"/>
        <v>1</v>
      </c>
      <c r="P44" s="635"/>
      <c r="Q44" s="21">
        <f t="shared" si="19"/>
        <v>1</v>
      </c>
      <c r="R44" s="21">
        <f t="shared" ca="1" si="20"/>
        <v>38749</v>
      </c>
      <c r="S44" s="308">
        <f t="shared" ca="1" si="11"/>
        <v>738</v>
      </c>
    </row>
    <row r="45" spans="1:19">
      <c r="A45" s="3165" t="s">
        <v>3531</v>
      </c>
      <c r="B45" s="52">
        <f>住宅面积信息!B31</f>
        <v>185.94</v>
      </c>
      <c r="C45" s="21">
        <f t="shared" si="12"/>
        <v>1</v>
      </c>
      <c r="D45" s="635"/>
      <c r="E45" s="21">
        <f t="shared" si="13"/>
        <v>1</v>
      </c>
      <c r="F45" s="635"/>
      <c r="G45" s="21">
        <f t="shared" si="14"/>
        <v>1</v>
      </c>
      <c r="H45" s="635"/>
      <c r="I45" s="21">
        <f t="shared" si="15"/>
        <v>1</v>
      </c>
      <c r="J45" s="635"/>
      <c r="K45" s="21">
        <f t="shared" si="16"/>
        <v>1</v>
      </c>
      <c r="L45" s="635" t="str">
        <f>住宅面积信息!C31</f>
        <v>上叠</v>
      </c>
      <c r="M45" s="21">
        <f t="shared" si="17"/>
        <v>1</v>
      </c>
      <c r="N45" s="635"/>
      <c r="O45" s="21">
        <f t="shared" si="18"/>
        <v>1</v>
      </c>
      <c r="P45" s="635"/>
      <c r="Q45" s="21">
        <f t="shared" si="19"/>
        <v>1</v>
      </c>
      <c r="R45" s="21">
        <f t="shared" ca="1" si="20"/>
        <v>36904</v>
      </c>
      <c r="S45" s="308">
        <f t="shared" ca="1" si="11"/>
        <v>686</v>
      </c>
    </row>
    <row r="46" spans="1:19">
      <c r="A46" s="3165" t="s">
        <v>3509</v>
      </c>
      <c r="B46" s="52"/>
      <c r="C46" s="21">
        <f t="shared" si="12"/>
        <v>1</v>
      </c>
      <c r="D46" s="635"/>
      <c r="E46" s="21">
        <f t="shared" si="13"/>
        <v>1</v>
      </c>
      <c r="F46" s="635"/>
      <c r="G46" s="21">
        <f t="shared" si="14"/>
        <v>1</v>
      </c>
      <c r="H46" s="635"/>
      <c r="I46" s="21">
        <f t="shared" si="15"/>
        <v>1</v>
      </c>
      <c r="J46" s="635"/>
      <c r="K46" s="21">
        <f t="shared" si="16"/>
        <v>1</v>
      </c>
      <c r="L46" s="635" t="str">
        <f>住宅面积信息!C32</f>
        <v>上叠</v>
      </c>
      <c r="M46" s="21">
        <f t="shared" si="17"/>
        <v>1</v>
      </c>
      <c r="N46" s="635"/>
      <c r="O46" s="21">
        <f t="shared" si="18"/>
        <v>1</v>
      </c>
      <c r="P46" s="635"/>
      <c r="Q46" s="21">
        <f t="shared" si="19"/>
        <v>1</v>
      </c>
      <c r="R46" s="21">
        <f t="shared" si="20"/>
        <v>0</v>
      </c>
      <c r="S46" s="308">
        <f t="shared" si="11"/>
        <v>0</v>
      </c>
    </row>
    <row r="47" spans="1:19">
      <c r="A47" s="3165" t="s">
        <v>3532</v>
      </c>
      <c r="B47" s="52">
        <f>住宅面积信息!B33</f>
        <v>190.42</v>
      </c>
      <c r="C47" s="21">
        <f t="shared" si="12"/>
        <v>1</v>
      </c>
      <c r="D47" s="635"/>
      <c r="E47" s="21">
        <f t="shared" si="13"/>
        <v>1</v>
      </c>
      <c r="F47" s="635"/>
      <c r="G47" s="21">
        <f t="shared" si="14"/>
        <v>1</v>
      </c>
      <c r="H47" s="635"/>
      <c r="I47" s="21">
        <f t="shared" si="15"/>
        <v>1</v>
      </c>
      <c r="J47" s="635"/>
      <c r="K47" s="21">
        <f t="shared" si="16"/>
        <v>1</v>
      </c>
      <c r="L47" s="635" t="str">
        <f>住宅面积信息!C33</f>
        <v>下叠</v>
      </c>
      <c r="M47" s="21">
        <f t="shared" si="17"/>
        <v>1.05</v>
      </c>
      <c r="N47" s="635"/>
      <c r="O47" s="21">
        <f t="shared" si="18"/>
        <v>1</v>
      </c>
      <c r="P47" s="635"/>
      <c r="Q47" s="21">
        <f t="shared" si="19"/>
        <v>1</v>
      </c>
      <c r="R47" s="21">
        <f t="shared" ca="1" si="20"/>
        <v>38749</v>
      </c>
      <c r="S47" s="308">
        <f t="shared" ca="1" si="11"/>
        <v>738</v>
      </c>
    </row>
    <row r="48" spans="1:19">
      <c r="A48" s="142" t="s">
        <v>3533</v>
      </c>
      <c r="B48" s="52">
        <f>住宅面积信息!B34</f>
        <v>185.94</v>
      </c>
      <c r="C48" s="21">
        <f t="shared" si="12"/>
        <v>1</v>
      </c>
      <c r="D48" s="635"/>
      <c r="E48" s="21">
        <f t="shared" si="13"/>
        <v>1</v>
      </c>
      <c r="F48" s="635"/>
      <c r="G48" s="21">
        <f t="shared" si="14"/>
        <v>1</v>
      </c>
      <c r="H48" s="635"/>
      <c r="I48" s="21">
        <f t="shared" si="15"/>
        <v>1</v>
      </c>
      <c r="J48" s="635"/>
      <c r="K48" s="21">
        <f t="shared" si="16"/>
        <v>1</v>
      </c>
      <c r="L48" s="635" t="str">
        <f>住宅面积信息!C34</f>
        <v>上叠</v>
      </c>
      <c r="M48" s="21">
        <f t="shared" si="17"/>
        <v>1</v>
      </c>
      <c r="N48" s="635"/>
      <c r="O48" s="21">
        <f t="shared" si="18"/>
        <v>1</v>
      </c>
      <c r="P48" s="635"/>
      <c r="Q48" s="21">
        <f t="shared" si="19"/>
        <v>1</v>
      </c>
      <c r="R48" s="21">
        <f t="shared" ca="1" si="20"/>
        <v>36904</v>
      </c>
      <c r="S48" s="308">
        <f t="shared" ca="1" si="11"/>
        <v>686</v>
      </c>
    </row>
    <row r="49" spans="1:19">
      <c r="A49" s="142" t="s">
        <v>3534</v>
      </c>
      <c r="B49" s="52">
        <f>住宅面积信息!B35</f>
        <v>185.94</v>
      </c>
      <c r="C49" s="21">
        <f t="shared" si="12"/>
        <v>1</v>
      </c>
      <c r="D49" s="635"/>
      <c r="E49" s="21">
        <f t="shared" si="13"/>
        <v>1</v>
      </c>
      <c r="F49" s="635"/>
      <c r="G49" s="21">
        <f t="shared" si="14"/>
        <v>1</v>
      </c>
      <c r="H49" s="635"/>
      <c r="I49" s="21">
        <f t="shared" si="15"/>
        <v>1</v>
      </c>
      <c r="J49" s="635"/>
      <c r="K49" s="21">
        <f t="shared" si="16"/>
        <v>1</v>
      </c>
      <c r="L49" s="635" t="str">
        <f>住宅面积信息!C35</f>
        <v>上叠</v>
      </c>
      <c r="M49" s="21">
        <f t="shared" si="17"/>
        <v>1</v>
      </c>
      <c r="N49" s="635"/>
      <c r="O49" s="21">
        <f t="shared" si="18"/>
        <v>1</v>
      </c>
      <c r="P49" s="635"/>
      <c r="Q49" s="21">
        <f t="shared" si="19"/>
        <v>1</v>
      </c>
      <c r="R49" s="21">
        <f t="shared" ca="1" si="20"/>
        <v>36904</v>
      </c>
      <c r="S49" s="308">
        <f t="shared" ca="1" si="11"/>
        <v>686</v>
      </c>
    </row>
    <row r="50" spans="1:19">
      <c r="A50" s="142" t="s">
        <v>3535</v>
      </c>
      <c r="B50" s="52">
        <f>住宅面积信息!B36</f>
        <v>185.94</v>
      </c>
      <c r="C50" s="21">
        <f t="shared" si="12"/>
        <v>1</v>
      </c>
      <c r="D50" s="635"/>
      <c r="E50" s="21">
        <f t="shared" si="13"/>
        <v>1</v>
      </c>
      <c r="F50" s="635"/>
      <c r="G50" s="21">
        <f t="shared" si="14"/>
        <v>1</v>
      </c>
      <c r="H50" s="635"/>
      <c r="I50" s="21">
        <f t="shared" si="15"/>
        <v>1</v>
      </c>
      <c r="J50" s="635"/>
      <c r="K50" s="21">
        <f t="shared" si="16"/>
        <v>1</v>
      </c>
      <c r="L50" s="635" t="str">
        <f>住宅面积信息!C36</f>
        <v>上叠</v>
      </c>
      <c r="M50" s="21">
        <f t="shared" si="17"/>
        <v>1</v>
      </c>
      <c r="N50" s="635"/>
      <c r="O50" s="21">
        <f t="shared" si="18"/>
        <v>1</v>
      </c>
      <c r="P50" s="635"/>
      <c r="Q50" s="21">
        <f t="shared" si="19"/>
        <v>1</v>
      </c>
      <c r="R50" s="21">
        <f t="shared" ca="1" si="20"/>
        <v>36904</v>
      </c>
      <c r="S50" s="308">
        <f t="shared" ca="1" si="11"/>
        <v>686</v>
      </c>
    </row>
    <row r="51" spans="1:19">
      <c r="A51" s="142" t="s">
        <v>3536</v>
      </c>
      <c r="B51" s="52">
        <f>住宅面积信息!B37</f>
        <v>190.42</v>
      </c>
      <c r="C51" s="21">
        <f t="shared" si="12"/>
        <v>1</v>
      </c>
      <c r="D51" s="635"/>
      <c r="E51" s="21">
        <f t="shared" si="13"/>
        <v>1</v>
      </c>
      <c r="F51" s="635"/>
      <c r="G51" s="21">
        <f t="shared" si="14"/>
        <v>1</v>
      </c>
      <c r="H51" s="635"/>
      <c r="I51" s="21">
        <f t="shared" si="15"/>
        <v>1</v>
      </c>
      <c r="J51" s="635"/>
      <c r="K51" s="21">
        <f t="shared" si="16"/>
        <v>1</v>
      </c>
      <c r="L51" s="635" t="str">
        <f>住宅面积信息!C37</f>
        <v>下叠</v>
      </c>
      <c r="M51" s="21">
        <f t="shared" si="17"/>
        <v>1.05</v>
      </c>
      <c r="N51" s="635"/>
      <c r="O51" s="21">
        <f t="shared" si="18"/>
        <v>1</v>
      </c>
      <c r="P51" s="635"/>
      <c r="Q51" s="21">
        <f t="shared" si="19"/>
        <v>1</v>
      </c>
      <c r="R51" s="21">
        <f t="shared" ca="1" si="20"/>
        <v>38749</v>
      </c>
      <c r="S51" s="308">
        <f t="shared" ca="1" si="11"/>
        <v>738</v>
      </c>
    </row>
    <row r="52" spans="1:19">
      <c r="A52" s="142" t="s">
        <v>3537</v>
      </c>
      <c r="B52" s="52">
        <f>住宅面积信息!B38</f>
        <v>193.24</v>
      </c>
      <c r="C52" s="21">
        <f t="shared" si="12"/>
        <v>1</v>
      </c>
      <c r="D52" s="635"/>
      <c r="E52" s="21">
        <f t="shared" si="13"/>
        <v>1</v>
      </c>
      <c r="F52" s="635"/>
      <c r="G52" s="21">
        <f t="shared" si="14"/>
        <v>1</v>
      </c>
      <c r="H52" s="635"/>
      <c r="I52" s="21">
        <f t="shared" si="15"/>
        <v>1</v>
      </c>
      <c r="J52" s="635"/>
      <c r="K52" s="21">
        <f t="shared" si="16"/>
        <v>1</v>
      </c>
      <c r="L52" s="635" t="str">
        <f>住宅面积信息!C38</f>
        <v>上叠</v>
      </c>
      <c r="M52" s="21">
        <f t="shared" si="17"/>
        <v>1</v>
      </c>
      <c r="N52" s="635"/>
      <c r="O52" s="21">
        <f t="shared" si="18"/>
        <v>1</v>
      </c>
      <c r="P52" s="635"/>
      <c r="Q52" s="21">
        <f t="shared" si="19"/>
        <v>1</v>
      </c>
      <c r="R52" s="21">
        <f t="shared" ca="1" si="20"/>
        <v>36904</v>
      </c>
      <c r="S52" s="308">
        <f t="shared" ca="1" si="11"/>
        <v>713</v>
      </c>
    </row>
    <row r="53" spans="1:19">
      <c r="A53" s="142" t="s">
        <v>3538</v>
      </c>
      <c r="B53" s="52">
        <f>住宅面积信息!B39</f>
        <v>185.94</v>
      </c>
      <c r="C53" s="21">
        <f t="shared" si="12"/>
        <v>1</v>
      </c>
      <c r="D53" s="635"/>
      <c r="E53" s="21">
        <f t="shared" si="13"/>
        <v>1</v>
      </c>
      <c r="F53" s="635"/>
      <c r="G53" s="21">
        <f t="shared" si="14"/>
        <v>1</v>
      </c>
      <c r="H53" s="635"/>
      <c r="I53" s="21">
        <f t="shared" si="15"/>
        <v>1</v>
      </c>
      <c r="J53" s="635"/>
      <c r="K53" s="21">
        <f t="shared" si="16"/>
        <v>1</v>
      </c>
      <c r="L53" s="635" t="str">
        <f>住宅面积信息!C39</f>
        <v>上叠</v>
      </c>
      <c r="M53" s="21">
        <f t="shared" si="17"/>
        <v>1</v>
      </c>
      <c r="N53" s="635"/>
      <c r="O53" s="21">
        <f t="shared" si="18"/>
        <v>1</v>
      </c>
      <c r="P53" s="635"/>
      <c r="Q53" s="21">
        <f t="shared" si="19"/>
        <v>1</v>
      </c>
      <c r="R53" s="21">
        <f t="shared" ca="1" si="20"/>
        <v>36904</v>
      </c>
      <c r="S53" s="308">
        <f t="shared" ca="1" si="11"/>
        <v>686</v>
      </c>
    </row>
    <row r="54" spans="1:19">
      <c r="A54" s="142" t="s">
        <v>3539</v>
      </c>
      <c r="B54" s="52">
        <f>住宅面积信息!B40</f>
        <v>190.42</v>
      </c>
      <c r="C54" s="21">
        <f t="shared" si="12"/>
        <v>1</v>
      </c>
      <c r="D54" s="635"/>
      <c r="E54" s="21">
        <f t="shared" si="13"/>
        <v>1</v>
      </c>
      <c r="F54" s="635"/>
      <c r="G54" s="21">
        <f t="shared" si="14"/>
        <v>1</v>
      </c>
      <c r="H54" s="635"/>
      <c r="I54" s="21">
        <f t="shared" si="15"/>
        <v>1</v>
      </c>
      <c r="J54" s="635"/>
      <c r="K54" s="21">
        <f t="shared" si="16"/>
        <v>1</v>
      </c>
      <c r="L54" s="635" t="str">
        <f>住宅面积信息!C40</f>
        <v>下叠</v>
      </c>
      <c r="M54" s="21">
        <f t="shared" si="17"/>
        <v>1.05</v>
      </c>
      <c r="N54" s="635"/>
      <c r="O54" s="21">
        <f t="shared" si="18"/>
        <v>1</v>
      </c>
      <c r="P54" s="635"/>
      <c r="Q54" s="21">
        <f t="shared" si="19"/>
        <v>1</v>
      </c>
      <c r="R54" s="21">
        <f t="shared" ca="1" si="20"/>
        <v>38749</v>
      </c>
      <c r="S54" s="308">
        <f t="shared" ca="1" si="11"/>
        <v>738</v>
      </c>
    </row>
    <row r="55" spans="1:19">
      <c r="A55" s="142" t="s">
        <v>3540</v>
      </c>
      <c r="B55" s="52">
        <f>住宅面积信息!B41</f>
        <v>190.42</v>
      </c>
      <c r="C55" s="21">
        <f t="shared" si="12"/>
        <v>1</v>
      </c>
      <c r="D55" s="635"/>
      <c r="E55" s="21">
        <f t="shared" si="13"/>
        <v>1</v>
      </c>
      <c r="F55" s="635"/>
      <c r="G55" s="21">
        <f t="shared" si="14"/>
        <v>1</v>
      </c>
      <c r="H55" s="635"/>
      <c r="I55" s="21">
        <f t="shared" si="15"/>
        <v>1</v>
      </c>
      <c r="J55" s="635"/>
      <c r="K55" s="21">
        <f t="shared" si="16"/>
        <v>1</v>
      </c>
      <c r="L55" s="635" t="str">
        <f>住宅面积信息!C41</f>
        <v>下叠</v>
      </c>
      <c r="M55" s="21">
        <f t="shared" si="17"/>
        <v>1.05</v>
      </c>
      <c r="N55" s="635"/>
      <c r="O55" s="21">
        <f t="shared" si="18"/>
        <v>1</v>
      </c>
      <c r="P55" s="635"/>
      <c r="Q55" s="21">
        <f t="shared" si="19"/>
        <v>1</v>
      </c>
      <c r="R55" s="21">
        <f t="shared" ca="1" si="20"/>
        <v>38749</v>
      </c>
      <c r="S55" s="308">
        <f t="shared" ref="S55:S77" ca="1" si="21">ROUND(R55*B55/10000,0)</f>
        <v>738</v>
      </c>
    </row>
    <row r="56" spans="1:19">
      <c r="A56" s="142" t="s">
        <v>3541</v>
      </c>
      <c r="B56" s="52">
        <f>住宅面积信息!B42</f>
        <v>185.94</v>
      </c>
      <c r="C56" s="21">
        <f t="shared" si="12"/>
        <v>1</v>
      </c>
      <c r="D56" s="635"/>
      <c r="E56" s="21">
        <f t="shared" si="13"/>
        <v>1</v>
      </c>
      <c r="F56" s="635"/>
      <c r="G56" s="21">
        <f t="shared" si="14"/>
        <v>1</v>
      </c>
      <c r="H56" s="635"/>
      <c r="I56" s="21">
        <f t="shared" si="15"/>
        <v>1</v>
      </c>
      <c r="J56" s="635"/>
      <c r="K56" s="21">
        <f t="shared" si="16"/>
        <v>1</v>
      </c>
      <c r="L56" s="635" t="str">
        <f>住宅面积信息!C42</f>
        <v>上叠</v>
      </c>
      <c r="M56" s="21">
        <f t="shared" si="17"/>
        <v>1</v>
      </c>
      <c r="N56" s="635"/>
      <c r="O56" s="21">
        <f t="shared" si="18"/>
        <v>1</v>
      </c>
      <c r="P56" s="635"/>
      <c r="Q56" s="21">
        <f t="shared" si="19"/>
        <v>1</v>
      </c>
      <c r="R56" s="21">
        <f t="shared" ca="1" si="20"/>
        <v>36904</v>
      </c>
      <c r="S56" s="308">
        <f t="shared" ca="1" si="21"/>
        <v>686</v>
      </c>
    </row>
    <row r="57" spans="1:19">
      <c r="A57" s="142" t="s">
        <v>3542</v>
      </c>
      <c r="B57" s="52">
        <f>住宅面积信息!B43</f>
        <v>185.94</v>
      </c>
      <c r="C57" s="21">
        <f t="shared" si="12"/>
        <v>1</v>
      </c>
      <c r="D57" s="635"/>
      <c r="E57" s="21">
        <f t="shared" si="13"/>
        <v>1</v>
      </c>
      <c r="F57" s="635"/>
      <c r="G57" s="21">
        <f t="shared" si="14"/>
        <v>1</v>
      </c>
      <c r="H57" s="635"/>
      <c r="I57" s="21">
        <f t="shared" si="15"/>
        <v>1</v>
      </c>
      <c r="J57" s="635"/>
      <c r="K57" s="21">
        <f t="shared" si="16"/>
        <v>1</v>
      </c>
      <c r="L57" s="635" t="str">
        <f>住宅面积信息!C43</f>
        <v>上叠</v>
      </c>
      <c r="M57" s="21">
        <f t="shared" si="17"/>
        <v>1</v>
      </c>
      <c r="N57" s="635"/>
      <c r="O57" s="21">
        <f t="shared" si="18"/>
        <v>1</v>
      </c>
      <c r="P57" s="635"/>
      <c r="Q57" s="21">
        <f t="shared" si="19"/>
        <v>1</v>
      </c>
      <c r="R57" s="21">
        <f t="shared" ca="1" si="20"/>
        <v>36904</v>
      </c>
      <c r="S57" s="308">
        <f t="shared" ca="1" si="21"/>
        <v>686</v>
      </c>
    </row>
    <row r="58" spans="1:19">
      <c r="A58" s="142" t="s">
        <v>3543</v>
      </c>
      <c r="B58" s="52">
        <f>住宅面积信息!B44</f>
        <v>185.94</v>
      </c>
      <c r="C58" s="21">
        <f t="shared" si="12"/>
        <v>1</v>
      </c>
      <c r="D58" s="635"/>
      <c r="E58" s="21">
        <f t="shared" si="13"/>
        <v>1</v>
      </c>
      <c r="F58" s="635"/>
      <c r="G58" s="21">
        <f t="shared" si="14"/>
        <v>1</v>
      </c>
      <c r="H58" s="635"/>
      <c r="I58" s="21">
        <f t="shared" si="15"/>
        <v>1</v>
      </c>
      <c r="J58" s="635"/>
      <c r="K58" s="21">
        <f t="shared" si="16"/>
        <v>1</v>
      </c>
      <c r="L58" s="635" t="str">
        <f>住宅面积信息!C44</f>
        <v>上叠</v>
      </c>
      <c r="M58" s="21">
        <f t="shared" si="17"/>
        <v>1</v>
      </c>
      <c r="N58" s="635"/>
      <c r="O58" s="21">
        <f t="shared" si="18"/>
        <v>1</v>
      </c>
      <c r="P58" s="635"/>
      <c r="Q58" s="21">
        <f t="shared" si="19"/>
        <v>1</v>
      </c>
      <c r="R58" s="21">
        <f t="shared" ca="1" si="20"/>
        <v>36904</v>
      </c>
      <c r="S58" s="308">
        <f t="shared" ca="1" si="21"/>
        <v>686</v>
      </c>
    </row>
    <row r="59" spans="1:19">
      <c r="A59" s="142" t="s">
        <v>3544</v>
      </c>
      <c r="B59" s="52">
        <f>住宅面积信息!B45</f>
        <v>193.24</v>
      </c>
      <c r="C59" s="21">
        <f t="shared" si="12"/>
        <v>1</v>
      </c>
      <c r="D59" s="635"/>
      <c r="E59" s="21">
        <f t="shared" si="13"/>
        <v>1</v>
      </c>
      <c r="F59" s="635"/>
      <c r="G59" s="21">
        <f t="shared" si="14"/>
        <v>1</v>
      </c>
      <c r="H59" s="635"/>
      <c r="I59" s="21">
        <f t="shared" si="15"/>
        <v>1</v>
      </c>
      <c r="J59" s="635"/>
      <c r="K59" s="21">
        <f t="shared" si="16"/>
        <v>1</v>
      </c>
      <c r="L59" s="635" t="str">
        <f>住宅面积信息!C45</f>
        <v>上叠</v>
      </c>
      <c r="M59" s="21">
        <f t="shared" si="17"/>
        <v>1</v>
      </c>
      <c r="N59" s="635"/>
      <c r="O59" s="21">
        <f t="shared" si="18"/>
        <v>1</v>
      </c>
      <c r="P59" s="635"/>
      <c r="Q59" s="21">
        <f t="shared" si="19"/>
        <v>1</v>
      </c>
      <c r="R59" s="21">
        <f t="shared" ca="1" si="20"/>
        <v>36904</v>
      </c>
      <c r="S59" s="308">
        <f t="shared" ca="1" si="21"/>
        <v>713</v>
      </c>
    </row>
    <row r="60" spans="1:19">
      <c r="A60" s="142" t="s">
        <v>3545</v>
      </c>
      <c r="B60" s="52">
        <f>住宅面积信息!B46</f>
        <v>200.08</v>
      </c>
      <c r="C60" s="21">
        <f t="shared" si="12"/>
        <v>1</v>
      </c>
      <c r="D60" s="635"/>
      <c r="E60" s="21">
        <f t="shared" si="13"/>
        <v>1</v>
      </c>
      <c r="F60" s="635"/>
      <c r="G60" s="21">
        <f t="shared" si="14"/>
        <v>1</v>
      </c>
      <c r="H60" s="635"/>
      <c r="I60" s="21">
        <f t="shared" si="15"/>
        <v>1</v>
      </c>
      <c r="J60" s="635"/>
      <c r="K60" s="21">
        <f t="shared" si="16"/>
        <v>1</v>
      </c>
      <c r="L60" s="635" t="str">
        <f>住宅面积信息!C46</f>
        <v>下叠</v>
      </c>
      <c r="M60" s="21">
        <f t="shared" si="17"/>
        <v>1.05</v>
      </c>
      <c r="N60" s="635"/>
      <c r="O60" s="21">
        <f t="shared" si="18"/>
        <v>1</v>
      </c>
      <c r="P60" s="635"/>
      <c r="Q60" s="21">
        <f t="shared" si="19"/>
        <v>1</v>
      </c>
      <c r="R60" s="21">
        <f t="shared" ca="1" si="20"/>
        <v>38749</v>
      </c>
      <c r="S60" s="308">
        <f t="shared" ca="1" si="21"/>
        <v>775</v>
      </c>
    </row>
    <row r="61" spans="1:19">
      <c r="A61" s="142" t="s">
        <v>3546</v>
      </c>
      <c r="B61" s="52">
        <f>住宅面积信息!B47</f>
        <v>190.42</v>
      </c>
      <c r="C61" s="21">
        <f t="shared" si="12"/>
        <v>1</v>
      </c>
      <c r="D61" s="635"/>
      <c r="E61" s="21">
        <f t="shared" si="13"/>
        <v>1</v>
      </c>
      <c r="F61" s="635"/>
      <c r="G61" s="21">
        <f t="shared" si="14"/>
        <v>1</v>
      </c>
      <c r="H61" s="635"/>
      <c r="I61" s="21">
        <f t="shared" si="15"/>
        <v>1</v>
      </c>
      <c r="J61" s="635"/>
      <c r="K61" s="21">
        <f t="shared" si="16"/>
        <v>1</v>
      </c>
      <c r="L61" s="635" t="str">
        <f>住宅面积信息!C47</f>
        <v>下叠</v>
      </c>
      <c r="M61" s="21">
        <f t="shared" si="17"/>
        <v>1.05</v>
      </c>
      <c r="N61" s="635"/>
      <c r="O61" s="21">
        <f t="shared" si="18"/>
        <v>1</v>
      </c>
      <c r="P61" s="635"/>
      <c r="Q61" s="21">
        <f t="shared" si="19"/>
        <v>1</v>
      </c>
      <c r="R61" s="21">
        <f t="shared" ca="1" si="20"/>
        <v>38749</v>
      </c>
      <c r="S61" s="308">
        <f t="shared" ca="1" si="21"/>
        <v>738</v>
      </c>
    </row>
    <row r="62" spans="1:19">
      <c r="A62" s="142" t="s">
        <v>3547</v>
      </c>
      <c r="B62" s="52">
        <f>住宅面积信息!B48</f>
        <v>190.42</v>
      </c>
      <c r="C62" s="21">
        <f t="shared" si="12"/>
        <v>1</v>
      </c>
      <c r="D62" s="635"/>
      <c r="E62" s="21">
        <f t="shared" si="13"/>
        <v>1</v>
      </c>
      <c r="F62" s="635"/>
      <c r="G62" s="21">
        <f t="shared" si="14"/>
        <v>1</v>
      </c>
      <c r="H62" s="635"/>
      <c r="I62" s="21">
        <f t="shared" si="15"/>
        <v>1</v>
      </c>
      <c r="J62" s="635"/>
      <c r="K62" s="21">
        <f t="shared" si="16"/>
        <v>1</v>
      </c>
      <c r="L62" s="635" t="str">
        <f>住宅面积信息!C48</f>
        <v>下叠</v>
      </c>
      <c r="M62" s="21">
        <f t="shared" si="17"/>
        <v>1.05</v>
      </c>
      <c r="N62" s="635"/>
      <c r="O62" s="21">
        <f t="shared" si="18"/>
        <v>1</v>
      </c>
      <c r="P62" s="635"/>
      <c r="Q62" s="21">
        <f t="shared" si="19"/>
        <v>1</v>
      </c>
      <c r="R62" s="21">
        <f t="shared" ca="1" si="20"/>
        <v>38749</v>
      </c>
      <c r="S62" s="308">
        <f t="shared" ca="1" si="21"/>
        <v>738</v>
      </c>
    </row>
    <row r="63" spans="1:19">
      <c r="A63" s="142" t="s">
        <v>3548</v>
      </c>
      <c r="B63" s="52">
        <f>住宅面积信息!B49</f>
        <v>190.42</v>
      </c>
      <c r="C63" s="21">
        <f t="shared" si="12"/>
        <v>1</v>
      </c>
      <c r="D63" s="635"/>
      <c r="E63" s="21">
        <f t="shared" si="13"/>
        <v>1</v>
      </c>
      <c r="F63" s="635"/>
      <c r="G63" s="21">
        <f t="shared" si="14"/>
        <v>1</v>
      </c>
      <c r="H63" s="635"/>
      <c r="I63" s="21">
        <f t="shared" si="15"/>
        <v>1</v>
      </c>
      <c r="J63" s="635"/>
      <c r="K63" s="21">
        <f t="shared" si="16"/>
        <v>1</v>
      </c>
      <c r="L63" s="635" t="str">
        <f>住宅面积信息!C49</f>
        <v>下叠</v>
      </c>
      <c r="M63" s="21">
        <f t="shared" si="17"/>
        <v>1.05</v>
      </c>
      <c r="N63" s="635"/>
      <c r="O63" s="21">
        <f t="shared" si="18"/>
        <v>1</v>
      </c>
      <c r="P63" s="635"/>
      <c r="Q63" s="21">
        <f t="shared" si="19"/>
        <v>1</v>
      </c>
      <c r="R63" s="21">
        <f t="shared" ca="1" si="20"/>
        <v>38749</v>
      </c>
      <c r="S63" s="308">
        <f t="shared" ca="1" si="21"/>
        <v>738</v>
      </c>
    </row>
    <row r="64" spans="1:19">
      <c r="A64" s="142" t="s">
        <v>3549</v>
      </c>
      <c r="B64" s="52">
        <f>住宅面积信息!B50</f>
        <v>190.42</v>
      </c>
      <c r="C64" s="21">
        <f t="shared" si="12"/>
        <v>1</v>
      </c>
      <c r="D64" s="635"/>
      <c r="E64" s="21">
        <f t="shared" si="13"/>
        <v>1</v>
      </c>
      <c r="F64" s="635"/>
      <c r="G64" s="21">
        <f t="shared" si="14"/>
        <v>1</v>
      </c>
      <c r="H64" s="635"/>
      <c r="I64" s="21">
        <f t="shared" si="15"/>
        <v>1</v>
      </c>
      <c r="J64" s="635"/>
      <c r="K64" s="21">
        <f t="shared" si="16"/>
        <v>1</v>
      </c>
      <c r="L64" s="635" t="str">
        <f>住宅面积信息!C50</f>
        <v>下叠</v>
      </c>
      <c r="M64" s="21">
        <f t="shared" si="17"/>
        <v>1.05</v>
      </c>
      <c r="N64" s="635"/>
      <c r="O64" s="21">
        <f t="shared" si="18"/>
        <v>1</v>
      </c>
      <c r="P64" s="635"/>
      <c r="Q64" s="21">
        <f t="shared" si="19"/>
        <v>1</v>
      </c>
      <c r="R64" s="21">
        <f t="shared" ca="1" si="20"/>
        <v>38749</v>
      </c>
      <c r="S64" s="308">
        <f t="shared" ca="1" si="21"/>
        <v>738</v>
      </c>
    </row>
    <row r="65" spans="1:19">
      <c r="A65" s="142" t="s">
        <v>3550</v>
      </c>
      <c r="B65" s="52">
        <f>住宅面积信息!B51</f>
        <v>190.42</v>
      </c>
      <c r="C65" s="21">
        <f t="shared" si="12"/>
        <v>1</v>
      </c>
      <c r="D65" s="635"/>
      <c r="E65" s="21">
        <f t="shared" si="13"/>
        <v>1</v>
      </c>
      <c r="F65" s="635"/>
      <c r="G65" s="21">
        <f t="shared" si="14"/>
        <v>1</v>
      </c>
      <c r="H65" s="635"/>
      <c r="I65" s="21">
        <f t="shared" si="15"/>
        <v>1</v>
      </c>
      <c r="J65" s="635"/>
      <c r="K65" s="21">
        <f t="shared" si="16"/>
        <v>1</v>
      </c>
      <c r="L65" s="635" t="str">
        <f>住宅面积信息!C51</f>
        <v>下叠</v>
      </c>
      <c r="M65" s="21">
        <f t="shared" si="17"/>
        <v>1.05</v>
      </c>
      <c r="N65" s="635"/>
      <c r="O65" s="21">
        <f t="shared" si="18"/>
        <v>1</v>
      </c>
      <c r="P65" s="635"/>
      <c r="Q65" s="21">
        <f t="shared" si="19"/>
        <v>1</v>
      </c>
      <c r="R65" s="21">
        <f t="shared" ca="1" si="20"/>
        <v>38749</v>
      </c>
      <c r="S65" s="308">
        <f t="shared" ca="1" si="21"/>
        <v>738</v>
      </c>
    </row>
    <row r="66" spans="1:19">
      <c r="A66" s="142" t="s">
        <v>3551</v>
      </c>
      <c r="B66" s="52">
        <f>住宅面积信息!B52</f>
        <v>193.24</v>
      </c>
      <c r="C66" s="21">
        <f t="shared" si="12"/>
        <v>1</v>
      </c>
      <c r="D66" s="635"/>
      <c r="E66" s="21">
        <f t="shared" si="13"/>
        <v>1</v>
      </c>
      <c r="F66" s="635"/>
      <c r="G66" s="21">
        <f t="shared" si="14"/>
        <v>1</v>
      </c>
      <c r="H66" s="635"/>
      <c r="I66" s="21">
        <f t="shared" si="15"/>
        <v>1</v>
      </c>
      <c r="J66" s="635"/>
      <c r="K66" s="21">
        <f t="shared" si="16"/>
        <v>1</v>
      </c>
      <c r="L66" s="635" t="str">
        <f>住宅面积信息!C52</f>
        <v>上叠</v>
      </c>
      <c r="M66" s="21">
        <f t="shared" si="17"/>
        <v>1</v>
      </c>
      <c r="N66" s="635"/>
      <c r="O66" s="21">
        <f t="shared" si="18"/>
        <v>1</v>
      </c>
      <c r="P66" s="635"/>
      <c r="Q66" s="21">
        <f t="shared" si="19"/>
        <v>1</v>
      </c>
      <c r="R66" s="21">
        <f t="shared" ca="1" si="20"/>
        <v>36904</v>
      </c>
      <c r="S66" s="308">
        <f t="shared" ca="1" si="21"/>
        <v>713</v>
      </c>
    </row>
    <row r="67" spans="1:19">
      <c r="A67" s="142" t="s">
        <v>3552</v>
      </c>
      <c r="B67" s="52">
        <f>住宅面积信息!B53</f>
        <v>185.94</v>
      </c>
      <c r="C67" s="21">
        <f t="shared" si="12"/>
        <v>1</v>
      </c>
      <c r="D67" s="635"/>
      <c r="E67" s="21">
        <f t="shared" si="13"/>
        <v>1</v>
      </c>
      <c r="F67" s="635"/>
      <c r="G67" s="21">
        <f t="shared" si="14"/>
        <v>1</v>
      </c>
      <c r="H67" s="635"/>
      <c r="I67" s="21">
        <f t="shared" si="15"/>
        <v>1</v>
      </c>
      <c r="J67" s="635"/>
      <c r="K67" s="21">
        <f t="shared" si="16"/>
        <v>1</v>
      </c>
      <c r="L67" s="635" t="str">
        <f>住宅面积信息!C53</f>
        <v>上叠</v>
      </c>
      <c r="M67" s="21">
        <f t="shared" si="17"/>
        <v>1</v>
      </c>
      <c r="N67" s="635"/>
      <c r="O67" s="21">
        <f t="shared" si="18"/>
        <v>1</v>
      </c>
      <c r="P67" s="635"/>
      <c r="Q67" s="21">
        <f t="shared" si="19"/>
        <v>1</v>
      </c>
      <c r="R67" s="21">
        <f t="shared" ca="1" si="20"/>
        <v>36904</v>
      </c>
      <c r="S67" s="308">
        <f t="shared" ca="1" si="21"/>
        <v>686</v>
      </c>
    </row>
    <row r="68" spans="1:19">
      <c r="A68" s="142" t="s">
        <v>3553</v>
      </c>
      <c r="B68" s="52">
        <f>住宅面积信息!B54</f>
        <v>190.42</v>
      </c>
      <c r="C68" s="21">
        <f t="shared" si="12"/>
        <v>1</v>
      </c>
      <c r="D68" s="635"/>
      <c r="E68" s="21">
        <f t="shared" si="13"/>
        <v>1</v>
      </c>
      <c r="F68" s="635"/>
      <c r="G68" s="21">
        <f t="shared" si="14"/>
        <v>1</v>
      </c>
      <c r="H68" s="635"/>
      <c r="I68" s="21">
        <f t="shared" si="15"/>
        <v>1</v>
      </c>
      <c r="J68" s="635"/>
      <c r="K68" s="21">
        <f t="shared" si="16"/>
        <v>1</v>
      </c>
      <c r="L68" s="635" t="str">
        <f>住宅面积信息!C54</f>
        <v>下叠</v>
      </c>
      <c r="M68" s="21">
        <f t="shared" si="17"/>
        <v>1.05</v>
      </c>
      <c r="N68" s="635"/>
      <c r="O68" s="21">
        <f t="shared" si="18"/>
        <v>1</v>
      </c>
      <c r="P68" s="635"/>
      <c r="Q68" s="21">
        <f t="shared" si="19"/>
        <v>1</v>
      </c>
      <c r="R68" s="21">
        <f t="shared" ca="1" si="20"/>
        <v>38749</v>
      </c>
      <c r="S68" s="308">
        <f t="shared" ca="1" si="21"/>
        <v>738</v>
      </c>
    </row>
    <row r="69" spans="1:19">
      <c r="A69" s="142" t="s">
        <v>3554</v>
      </c>
      <c r="B69" s="52">
        <f>住宅面积信息!B55</f>
        <v>190.42</v>
      </c>
      <c r="C69" s="21">
        <f t="shared" si="12"/>
        <v>1</v>
      </c>
      <c r="D69" s="635"/>
      <c r="E69" s="21">
        <f t="shared" si="13"/>
        <v>1</v>
      </c>
      <c r="F69" s="635"/>
      <c r="G69" s="21">
        <f t="shared" si="14"/>
        <v>1</v>
      </c>
      <c r="H69" s="635"/>
      <c r="I69" s="21">
        <f t="shared" si="15"/>
        <v>1</v>
      </c>
      <c r="J69" s="635"/>
      <c r="K69" s="21">
        <f t="shared" si="16"/>
        <v>1</v>
      </c>
      <c r="L69" s="635" t="str">
        <f>住宅面积信息!C55</f>
        <v>下叠</v>
      </c>
      <c r="M69" s="21">
        <f t="shared" si="17"/>
        <v>1.05</v>
      </c>
      <c r="N69" s="635"/>
      <c r="O69" s="21">
        <f t="shared" si="18"/>
        <v>1</v>
      </c>
      <c r="P69" s="635"/>
      <c r="Q69" s="21">
        <f t="shared" si="19"/>
        <v>1</v>
      </c>
      <c r="R69" s="21">
        <f t="shared" ca="1" si="20"/>
        <v>38749</v>
      </c>
      <c r="S69" s="308">
        <f t="shared" ca="1" si="21"/>
        <v>738</v>
      </c>
    </row>
    <row r="70" spans="1:19">
      <c r="A70" s="142" t="s">
        <v>3555</v>
      </c>
      <c r="B70" s="52">
        <f>住宅面积信息!B56</f>
        <v>185.94</v>
      </c>
      <c r="C70" s="21">
        <f t="shared" si="12"/>
        <v>1</v>
      </c>
      <c r="D70" s="635"/>
      <c r="E70" s="21">
        <f t="shared" si="13"/>
        <v>1</v>
      </c>
      <c r="F70" s="635"/>
      <c r="G70" s="21">
        <f t="shared" si="14"/>
        <v>1</v>
      </c>
      <c r="H70" s="635"/>
      <c r="I70" s="21">
        <f t="shared" si="15"/>
        <v>1</v>
      </c>
      <c r="J70" s="635"/>
      <c r="K70" s="21">
        <f t="shared" si="16"/>
        <v>1</v>
      </c>
      <c r="L70" s="635" t="str">
        <f>住宅面积信息!C56</f>
        <v>上叠</v>
      </c>
      <c r="M70" s="21">
        <f t="shared" si="17"/>
        <v>1</v>
      </c>
      <c r="N70" s="635"/>
      <c r="O70" s="21">
        <f t="shared" si="18"/>
        <v>1</v>
      </c>
      <c r="P70" s="635"/>
      <c r="Q70" s="21">
        <f t="shared" si="19"/>
        <v>1</v>
      </c>
      <c r="R70" s="21">
        <f t="shared" ca="1" si="20"/>
        <v>36904</v>
      </c>
      <c r="S70" s="308">
        <f t="shared" ca="1" si="21"/>
        <v>686</v>
      </c>
    </row>
    <row r="71" spans="1:19">
      <c r="A71" s="142" t="s">
        <v>3556</v>
      </c>
      <c r="B71" s="52">
        <f>住宅面积信息!B57</f>
        <v>190.42</v>
      </c>
      <c r="C71" s="21">
        <f t="shared" si="12"/>
        <v>1</v>
      </c>
      <c r="D71" s="635"/>
      <c r="E71" s="21">
        <f t="shared" si="13"/>
        <v>1</v>
      </c>
      <c r="F71" s="635"/>
      <c r="G71" s="21">
        <f t="shared" si="14"/>
        <v>1</v>
      </c>
      <c r="H71" s="635"/>
      <c r="I71" s="21">
        <f t="shared" si="15"/>
        <v>1</v>
      </c>
      <c r="J71" s="635"/>
      <c r="K71" s="21">
        <f t="shared" si="16"/>
        <v>1</v>
      </c>
      <c r="L71" s="635" t="str">
        <f>住宅面积信息!C57</f>
        <v>下叠</v>
      </c>
      <c r="M71" s="21">
        <f t="shared" si="17"/>
        <v>1.05</v>
      </c>
      <c r="N71" s="635"/>
      <c r="O71" s="21">
        <f t="shared" si="18"/>
        <v>1</v>
      </c>
      <c r="P71" s="635"/>
      <c r="Q71" s="21">
        <f t="shared" si="19"/>
        <v>1</v>
      </c>
      <c r="R71" s="21">
        <f t="shared" ca="1" si="20"/>
        <v>38749</v>
      </c>
      <c r="S71" s="308">
        <f t="shared" ca="1" si="21"/>
        <v>738</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0</v>
      </c>
      <c r="N72" s="635"/>
      <c r="O72" s="21">
        <f t="shared" si="18"/>
        <v>1</v>
      </c>
      <c r="P72" s="635"/>
      <c r="Q72" s="21">
        <f t="shared" si="19"/>
        <v>1</v>
      </c>
      <c r="R72" s="21">
        <f t="shared" si="20"/>
        <v>0</v>
      </c>
      <c r="S72" s="308">
        <f t="shared" si="21"/>
        <v>0</v>
      </c>
    </row>
    <row r="73" spans="1:19">
      <c r="A73" s="142"/>
      <c r="B73" s="52">
        <f>住宅面积信息!B59</f>
        <v>0</v>
      </c>
      <c r="C73" s="21">
        <f t="shared" si="12"/>
        <v>1</v>
      </c>
      <c r="D73" s="635"/>
      <c r="E73" s="21">
        <f t="shared" si="13"/>
        <v>1</v>
      </c>
      <c r="F73" s="635"/>
      <c r="G73" s="21">
        <f t="shared" si="14"/>
        <v>1</v>
      </c>
      <c r="H73" s="635"/>
      <c r="I73" s="21">
        <f t="shared" si="15"/>
        <v>1</v>
      </c>
      <c r="J73" s="635"/>
      <c r="K73" s="21">
        <f t="shared" si="16"/>
        <v>1</v>
      </c>
      <c r="L73" s="635"/>
      <c r="M73" s="21">
        <f t="shared" si="17"/>
        <v>0</v>
      </c>
      <c r="N73" s="635"/>
      <c r="O73" s="21">
        <f t="shared" si="18"/>
        <v>1</v>
      </c>
      <c r="P73" s="635"/>
      <c r="Q73" s="21">
        <f t="shared" si="19"/>
        <v>1</v>
      </c>
      <c r="R73" s="21">
        <f t="shared" ca="1" si="20"/>
        <v>0</v>
      </c>
      <c r="S73" s="308">
        <f t="shared" ca="1" si="21"/>
        <v>0</v>
      </c>
    </row>
    <row r="74" spans="1:19">
      <c r="A74" s="142"/>
      <c r="B74" s="52">
        <f>住宅面积信息!B60</f>
        <v>0</v>
      </c>
      <c r="C74" s="21">
        <f t="shared" si="12"/>
        <v>1</v>
      </c>
      <c r="D74" s="635"/>
      <c r="E74" s="21">
        <f t="shared" si="13"/>
        <v>1</v>
      </c>
      <c r="F74" s="635"/>
      <c r="G74" s="21">
        <f t="shared" si="14"/>
        <v>1</v>
      </c>
      <c r="H74" s="635"/>
      <c r="I74" s="21">
        <f t="shared" si="15"/>
        <v>1</v>
      </c>
      <c r="J74" s="635"/>
      <c r="K74" s="21">
        <f t="shared" si="16"/>
        <v>1</v>
      </c>
      <c r="L74" s="635"/>
      <c r="M74" s="21">
        <f t="shared" si="17"/>
        <v>0</v>
      </c>
      <c r="N74" s="635"/>
      <c r="O74" s="21">
        <f t="shared" si="18"/>
        <v>1</v>
      </c>
      <c r="P74" s="635"/>
      <c r="Q74" s="21">
        <f t="shared" si="19"/>
        <v>1</v>
      </c>
      <c r="R74" s="21">
        <f t="shared" ca="1" si="20"/>
        <v>0</v>
      </c>
      <c r="S74" s="308">
        <f t="shared" ca="1" si="21"/>
        <v>0</v>
      </c>
    </row>
    <row r="75" spans="1:19">
      <c r="A75" s="142"/>
      <c r="B75" s="52">
        <f>住宅面积信息!B61</f>
        <v>0</v>
      </c>
      <c r="C75" s="21">
        <f t="shared" si="12"/>
        <v>1</v>
      </c>
      <c r="D75" s="635"/>
      <c r="E75" s="21">
        <f t="shared" si="13"/>
        <v>1</v>
      </c>
      <c r="F75" s="635"/>
      <c r="G75" s="21">
        <f t="shared" si="14"/>
        <v>1</v>
      </c>
      <c r="H75" s="635"/>
      <c r="I75" s="21">
        <f t="shared" si="15"/>
        <v>1</v>
      </c>
      <c r="J75" s="635"/>
      <c r="K75" s="21">
        <f t="shared" si="16"/>
        <v>1</v>
      </c>
      <c r="L75" s="635"/>
      <c r="M75" s="21">
        <f t="shared" si="17"/>
        <v>0</v>
      </c>
      <c r="N75" s="635"/>
      <c r="O75" s="21">
        <f t="shared" si="18"/>
        <v>1</v>
      </c>
      <c r="P75" s="635"/>
      <c r="Q75" s="21">
        <f t="shared" si="19"/>
        <v>1</v>
      </c>
      <c r="R75" s="21">
        <f t="shared" ca="1" si="20"/>
        <v>0</v>
      </c>
      <c r="S75" s="308">
        <f t="shared" ca="1" si="21"/>
        <v>0</v>
      </c>
    </row>
    <row r="76" spans="1:19">
      <c r="A76" s="142"/>
      <c r="B76" s="52">
        <f>住宅面积信息!B62</f>
        <v>0</v>
      </c>
      <c r="C76" s="21">
        <f t="shared" si="12"/>
        <v>1</v>
      </c>
      <c r="D76" s="635"/>
      <c r="E76" s="21">
        <f t="shared" si="13"/>
        <v>1</v>
      </c>
      <c r="F76" s="635"/>
      <c r="G76" s="21">
        <f t="shared" si="14"/>
        <v>1</v>
      </c>
      <c r="H76" s="635"/>
      <c r="I76" s="21">
        <f t="shared" si="15"/>
        <v>1</v>
      </c>
      <c r="J76" s="635"/>
      <c r="K76" s="21">
        <f t="shared" si="16"/>
        <v>1</v>
      </c>
      <c r="L76" s="635"/>
      <c r="M76" s="21">
        <f t="shared" si="17"/>
        <v>0</v>
      </c>
      <c r="N76" s="635"/>
      <c r="O76" s="21">
        <f t="shared" si="18"/>
        <v>1</v>
      </c>
      <c r="P76" s="635"/>
      <c r="Q76" s="21">
        <f t="shared" si="19"/>
        <v>1</v>
      </c>
      <c r="R76" s="21">
        <f t="shared" ca="1" si="20"/>
        <v>0</v>
      </c>
      <c r="S76" s="308">
        <f t="shared" ca="1" si="21"/>
        <v>0</v>
      </c>
    </row>
    <row r="77" spans="1:19">
      <c r="A77" s="142"/>
      <c r="B77" s="52">
        <f>住宅面积信息!B63</f>
        <v>0</v>
      </c>
      <c r="C77" s="21">
        <f t="shared" si="12"/>
        <v>1</v>
      </c>
      <c r="D77" s="635"/>
      <c r="E77" s="21">
        <f t="shared" si="13"/>
        <v>1</v>
      </c>
      <c r="F77" s="635"/>
      <c r="G77" s="21">
        <f t="shared" si="14"/>
        <v>1</v>
      </c>
      <c r="H77" s="635"/>
      <c r="I77" s="21">
        <f t="shared" si="15"/>
        <v>1</v>
      </c>
      <c r="J77" s="635"/>
      <c r="K77" s="21">
        <f t="shared" si="16"/>
        <v>1</v>
      </c>
      <c r="L77" s="635"/>
      <c r="M77" s="21">
        <f t="shared" si="17"/>
        <v>0</v>
      </c>
      <c r="N77" s="635"/>
      <c r="O77" s="21">
        <f t="shared" si="18"/>
        <v>1</v>
      </c>
      <c r="P77" s="635"/>
      <c r="Q77" s="21">
        <f t="shared" si="19"/>
        <v>1</v>
      </c>
      <c r="R77" s="21">
        <f t="shared" ca="1" si="20"/>
        <v>0</v>
      </c>
      <c r="S77" s="308">
        <f t="shared" ca="1" si="21"/>
        <v>0</v>
      </c>
    </row>
    <row r="78" spans="1:19">
      <c r="A78" s="142"/>
      <c r="B78" s="52">
        <f>住宅面积信息!B64</f>
        <v>0</v>
      </c>
      <c r="C78" s="21">
        <f t="shared" si="12"/>
        <v>1</v>
      </c>
      <c r="D78" s="635"/>
      <c r="E78" s="21">
        <f t="shared" si="13"/>
        <v>1</v>
      </c>
      <c r="F78" s="635"/>
      <c r="G78" s="21">
        <f t="shared" si="14"/>
        <v>1</v>
      </c>
      <c r="H78" s="635"/>
      <c r="I78" s="21">
        <f t="shared" si="15"/>
        <v>1</v>
      </c>
      <c r="J78" s="635"/>
      <c r="K78" s="21">
        <f t="shared" si="16"/>
        <v>1</v>
      </c>
      <c r="L78" s="635"/>
      <c r="M78" s="21">
        <f t="shared" si="17"/>
        <v>0</v>
      </c>
      <c r="N78" s="635"/>
      <c r="O78" s="21">
        <f t="shared" si="18"/>
        <v>1</v>
      </c>
      <c r="P78" s="635"/>
      <c r="Q78" s="21">
        <f t="shared" si="19"/>
        <v>1</v>
      </c>
      <c r="R78" s="21">
        <f t="shared" ca="1" si="20"/>
        <v>0</v>
      </c>
      <c r="S78" s="308">
        <f t="shared" ref="S78:S122" ca="1" si="22">ROUND(R78*B78/10000,0)</f>
        <v>0</v>
      </c>
    </row>
    <row r="79" spans="1:19">
      <c r="A79" s="142"/>
      <c r="B79" s="52">
        <f>住宅面积信息!B65</f>
        <v>0</v>
      </c>
      <c r="C79" s="21">
        <f t="shared" si="12"/>
        <v>1</v>
      </c>
      <c r="D79" s="635"/>
      <c r="E79" s="21">
        <f t="shared" si="13"/>
        <v>1</v>
      </c>
      <c r="F79" s="635"/>
      <c r="G79" s="21">
        <f t="shared" si="14"/>
        <v>1</v>
      </c>
      <c r="H79" s="635"/>
      <c r="I79" s="21">
        <f t="shared" si="15"/>
        <v>1</v>
      </c>
      <c r="J79" s="635"/>
      <c r="K79" s="21">
        <f t="shared" si="16"/>
        <v>1</v>
      </c>
      <c r="L79" s="635"/>
      <c r="M79" s="21">
        <f t="shared" si="17"/>
        <v>0</v>
      </c>
      <c r="N79" s="635"/>
      <c r="O79" s="21">
        <f t="shared" si="18"/>
        <v>1</v>
      </c>
      <c r="P79" s="635"/>
      <c r="Q79" s="21">
        <f t="shared" si="19"/>
        <v>1</v>
      </c>
      <c r="R79" s="21">
        <f t="shared" ca="1" si="20"/>
        <v>0</v>
      </c>
      <c r="S79" s="308">
        <f t="shared" ca="1" si="22"/>
        <v>0</v>
      </c>
    </row>
    <row r="80" spans="1:19">
      <c r="A80" s="142"/>
      <c r="B80" s="52">
        <f>住宅面积信息!B66</f>
        <v>0</v>
      </c>
      <c r="C80" s="21">
        <f t="shared" si="12"/>
        <v>1</v>
      </c>
      <c r="D80" s="635"/>
      <c r="E80" s="21">
        <f t="shared" si="13"/>
        <v>1</v>
      </c>
      <c r="F80" s="635"/>
      <c r="G80" s="21">
        <f t="shared" si="14"/>
        <v>1</v>
      </c>
      <c r="H80" s="635"/>
      <c r="I80" s="21">
        <f t="shared" si="15"/>
        <v>1</v>
      </c>
      <c r="J80" s="635"/>
      <c r="K80" s="21">
        <f t="shared" si="16"/>
        <v>1</v>
      </c>
      <c r="L80" s="635"/>
      <c r="M80" s="21">
        <f t="shared" si="17"/>
        <v>0</v>
      </c>
      <c r="N80" s="635"/>
      <c r="O80" s="21">
        <f t="shared" si="18"/>
        <v>1</v>
      </c>
      <c r="P80" s="635"/>
      <c r="Q80" s="21">
        <f t="shared" si="19"/>
        <v>1</v>
      </c>
      <c r="R80" s="21">
        <f t="shared" ca="1" si="20"/>
        <v>0</v>
      </c>
      <c r="S80" s="308">
        <f t="shared" ca="1" si="22"/>
        <v>0</v>
      </c>
    </row>
    <row r="81" spans="1:19">
      <c r="A81" s="142"/>
      <c r="B81" s="52">
        <f>住宅面积信息!B67</f>
        <v>0</v>
      </c>
      <c r="C81" s="21">
        <f t="shared" si="12"/>
        <v>1</v>
      </c>
      <c r="D81" s="635"/>
      <c r="E81" s="21">
        <f t="shared" si="13"/>
        <v>1</v>
      </c>
      <c r="F81" s="635"/>
      <c r="G81" s="21">
        <f t="shared" si="14"/>
        <v>1</v>
      </c>
      <c r="H81" s="635"/>
      <c r="I81" s="21">
        <f t="shared" si="15"/>
        <v>1</v>
      </c>
      <c r="J81" s="635"/>
      <c r="K81" s="21">
        <f t="shared" si="16"/>
        <v>1</v>
      </c>
      <c r="L81" s="635"/>
      <c r="M81" s="21">
        <f t="shared" si="17"/>
        <v>0</v>
      </c>
      <c r="N81" s="635"/>
      <c r="O81" s="21">
        <f t="shared" si="18"/>
        <v>1</v>
      </c>
      <c r="P81" s="635"/>
      <c r="Q81" s="21">
        <f t="shared" si="19"/>
        <v>1</v>
      </c>
      <c r="R81" s="21">
        <f t="shared" ca="1" si="20"/>
        <v>0</v>
      </c>
      <c r="S81" s="308">
        <f t="shared" ca="1" si="22"/>
        <v>0</v>
      </c>
    </row>
    <row r="82" spans="1:19">
      <c r="A82" s="142"/>
      <c r="B82" s="52">
        <f>住宅面积信息!B68</f>
        <v>0</v>
      </c>
      <c r="C82" s="21">
        <f t="shared" si="12"/>
        <v>1</v>
      </c>
      <c r="D82" s="635"/>
      <c r="E82" s="21">
        <f t="shared" si="13"/>
        <v>1</v>
      </c>
      <c r="F82" s="635"/>
      <c r="G82" s="21">
        <f t="shared" si="14"/>
        <v>1</v>
      </c>
      <c r="H82" s="635"/>
      <c r="I82" s="21">
        <f t="shared" si="15"/>
        <v>1</v>
      </c>
      <c r="J82" s="635"/>
      <c r="K82" s="21">
        <f t="shared" si="16"/>
        <v>1</v>
      </c>
      <c r="L82" s="635"/>
      <c r="M82" s="21">
        <f t="shared" si="17"/>
        <v>0</v>
      </c>
      <c r="N82" s="635"/>
      <c r="O82" s="21">
        <f t="shared" si="18"/>
        <v>1</v>
      </c>
      <c r="P82" s="635"/>
      <c r="Q82" s="21">
        <f t="shared" si="19"/>
        <v>1</v>
      </c>
      <c r="R82" s="21">
        <f t="shared" ca="1" si="20"/>
        <v>0</v>
      </c>
      <c r="S82" s="308">
        <f t="shared" ca="1" si="22"/>
        <v>0</v>
      </c>
    </row>
    <row r="83" spans="1:19">
      <c r="A83" s="142"/>
      <c r="B83" s="52">
        <f>住宅面积信息!B69</f>
        <v>0</v>
      </c>
      <c r="C83" s="21">
        <f t="shared" si="12"/>
        <v>1</v>
      </c>
      <c r="D83" s="635"/>
      <c r="E83" s="21">
        <f t="shared" si="13"/>
        <v>1</v>
      </c>
      <c r="F83" s="635"/>
      <c r="G83" s="21">
        <f t="shared" si="14"/>
        <v>1</v>
      </c>
      <c r="H83" s="635"/>
      <c r="I83" s="21">
        <f t="shared" si="15"/>
        <v>1</v>
      </c>
      <c r="J83" s="635"/>
      <c r="K83" s="21">
        <f t="shared" si="16"/>
        <v>1</v>
      </c>
      <c r="L83" s="635"/>
      <c r="M83" s="21">
        <f t="shared" si="17"/>
        <v>0</v>
      </c>
      <c r="N83" s="635"/>
      <c r="O83" s="21">
        <f t="shared" si="18"/>
        <v>1</v>
      </c>
      <c r="P83" s="635"/>
      <c r="Q83" s="21">
        <f t="shared" si="19"/>
        <v>1</v>
      </c>
      <c r="R83" s="21">
        <f t="shared" ca="1" si="20"/>
        <v>0</v>
      </c>
      <c r="S83" s="308">
        <f t="shared" ca="1" si="22"/>
        <v>0</v>
      </c>
    </row>
    <row r="84" spans="1:19">
      <c r="A84" s="142"/>
      <c r="B84" s="52">
        <f>住宅面积信息!B70</f>
        <v>0</v>
      </c>
      <c r="C84" s="21">
        <f t="shared" si="12"/>
        <v>1</v>
      </c>
      <c r="D84" s="635"/>
      <c r="E84" s="21">
        <f t="shared" si="13"/>
        <v>1</v>
      </c>
      <c r="F84" s="635"/>
      <c r="G84" s="21">
        <f t="shared" si="14"/>
        <v>1</v>
      </c>
      <c r="H84" s="635"/>
      <c r="I84" s="21">
        <f t="shared" si="15"/>
        <v>1</v>
      </c>
      <c r="J84" s="635"/>
      <c r="K84" s="21">
        <f t="shared" si="16"/>
        <v>1</v>
      </c>
      <c r="L84" s="635"/>
      <c r="M84" s="21">
        <f t="shared" si="17"/>
        <v>0</v>
      </c>
      <c r="N84" s="635"/>
      <c r="O84" s="21">
        <f t="shared" si="18"/>
        <v>1</v>
      </c>
      <c r="P84" s="635"/>
      <c r="Q84" s="21">
        <f t="shared" si="19"/>
        <v>1</v>
      </c>
      <c r="R84" s="21">
        <f t="shared" ca="1" si="20"/>
        <v>0</v>
      </c>
      <c r="S84" s="308">
        <f t="shared" ca="1" si="22"/>
        <v>0</v>
      </c>
    </row>
    <row r="85" spans="1:19">
      <c r="A85" s="142"/>
      <c r="B85" s="52">
        <f>住宅面积信息!B71</f>
        <v>0</v>
      </c>
      <c r="C85" s="21">
        <f t="shared" si="12"/>
        <v>1</v>
      </c>
      <c r="D85" s="635"/>
      <c r="E85" s="21">
        <f t="shared" si="13"/>
        <v>1</v>
      </c>
      <c r="F85" s="635"/>
      <c r="G85" s="21">
        <f t="shared" si="14"/>
        <v>1</v>
      </c>
      <c r="H85" s="635"/>
      <c r="I85" s="21">
        <f t="shared" si="15"/>
        <v>1</v>
      </c>
      <c r="J85" s="635"/>
      <c r="K85" s="21">
        <f t="shared" si="16"/>
        <v>1</v>
      </c>
      <c r="L85" s="635"/>
      <c r="M85" s="21">
        <f t="shared" si="17"/>
        <v>0</v>
      </c>
      <c r="N85" s="635"/>
      <c r="O85" s="21">
        <f t="shared" si="18"/>
        <v>1</v>
      </c>
      <c r="P85" s="635"/>
      <c r="Q85" s="21">
        <f t="shared" si="19"/>
        <v>1</v>
      </c>
      <c r="R85" s="21">
        <f t="shared" ca="1" si="20"/>
        <v>0</v>
      </c>
      <c r="S85" s="308">
        <f t="shared" ca="1" si="22"/>
        <v>0</v>
      </c>
    </row>
    <row r="86" spans="1:19">
      <c r="A86" s="142"/>
      <c r="B86" s="52">
        <f>住宅面积信息!B72</f>
        <v>0</v>
      </c>
      <c r="C86" s="21">
        <f t="shared" si="12"/>
        <v>1</v>
      </c>
      <c r="D86" s="635"/>
      <c r="E86" s="21">
        <f t="shared" si="13"/>
        <v>1</v>
      </c>
      <c r="F86" s="635"/>
      <c r="G86" s="21">
        <f t="shared" si="14"/>
        <v>1</v>
      </c>
      <c r="H86" s="635"/>
      <c r="I86" s="21">
        <f t="shared" si="15"/>
        <v>1</v>
      </c>
      <c r="J86" s="635"/>
      <c r="K86" s="21">
        <f t="shared" si="16"/>
        <v>1</v>
      </c>
      <c r="L86" s="635"/>
      <c r="M86" s="21">
        <f t="shared" si="17"/>
        <v>0</v>
      </c>
      <c r="N86" s="635"/>
      <c r="O86" s="21">
        <f t="shared" si="18"/>
        <v>1</v>
      </c>
      <c r="P86" s="635"/>
      <c r="Q86" s="21">
        <f t="shared" si="19"/>
        <v>1</v>
      </c>
      <c r="R86" s="21">
        <f t="shared" ca="1" si="20"/>
        <v>0</v>
      </c>
      <c r="S86" s="308">
        <f t="shared" ca="1" si="22"/>
        <v>0</v>
      </c>
    </row>
    <row r="87" spans="1:19">
      <c r="A87" s="142"/>
      <c r="B87" s="52">
        <f>住宅面积信息!B73</f>
        <v>0</v>
      </c>
      <c r="C87" s="21">
        <f t="shared" si="12"/>
        <v>1</v>
      </c>
      <c r="D87" s="635"/>
      <c r="E87" s="21">
        <f t="shared" si="13"/>
        <v>1</v>
      </c>
      <c r="F87" s="635"/>
      <c r="G87" s="21">
        <f t="shared" si="14"/>
        <v>1</v>
      </c>
      <c r="H87" s="635"/>
      <c r="I87" s="21">
        <f t="shared" si="15"/>
        <v>1</v>
      </c>
      <c r="J87" s="635"/>
      <c r="K87" s="21">
        <f t="shared" si="16"/>
        <v>1</v>
      </c>
      <c r="L87" s="635"/>
      <c r="M87" s="21">
        <f t="shared" si="17"/>
        <v>0</v>
      </c>
      <c r="N87" s="635"/>
      <c r="O87" s="21">
        <f t="shared" si="18"/>
        <v>1</v>
      </c>
      <c r="P87" s="635"/>
      <c r="Q87" s="21">
        <f t="shared" si="19"/>
        <v>1</v>
      </c>
      <c r="R87" s="21">
        <f t="shared" ca="1" si="20"/>
        <v>0</v>
      </c>
      <c r="S87" s="308">
        <f t="shared" ca="1" si="22"/>
        <v>0</v>
      </c>
    </row>
    <row r="88" spans="1:19">
      <c r="A88" s="142"/>
      <c r="B88" s="52">
        <f>住宅面积信息!B74</f>
        <v>0</v>
      </c>
      <c r="C88" s="21">
        <f t="shared" si="12"/>
        <v>1</v>
      </c>
      <c r="D88" s="635"/>
      <c r="E88" s="21">
        <f t="shared" si="13"/>
        <v>1</v>
      </c>
      <c r="F88" s="635"/>
      <c r="G88" s="21">
        <f t="shared" si="14"/>
        <v>1</v>
      </c>
      <c r="H88" s="635"/>
      <c r="I88" s="21">
        <f t="shared" si="15"/>
        <v>1</v>
      </c>
      <c r="J88" s="635"/>
      <c r="K88" s="21">
        <f t="shared" si="16"/>
        <v>1</v>
      </c>
      <c r="L88" s="635"/>
      <c r="M88" s="21">
        <f t="shared" si="17"/>
        <v>0</v>
      </c>
      <c r="N88" s="635"/>
      <c r="O88" s="21">
        <f t="shared" si="18"/>
        <v>1</v>
      </c>
      <c r="P88" s="635"/>
      <c r="Q88" s="21">
        <f t="shared" si="19"/>
        <v>1</v>
      </c>
      <c r="R88" s="21">
        <f t="shared" ca="1" si="20"/>
        <v>0</v>
      </c>
      <c r="S88" s="308">
        <f t="shared" ca="1" si="22"/>
        <v>0</v>
      </c>
    </row>
    <row r="89" spans="1:19">
      <c r="A89" s="142"/>
      <c r="B89" s="52">
        <f>住宅面积信息!B75</f>
        <v>0</v>
      </c>
      <c r="C89" s="21">
        <f t="shared" si="12"/>
        <v>1</v>
      </c>
      <c r="D89" s="635"/>
      <c r="E89" s="21">
        <f t="shared" si="13"/>
        <v>1</v>
      </c>
      <c r="F89" s="635"/>
      <c r="G89" s="21">
        <f t="shared" si="14"/>
        <v>1</v>
      </c>
      <c r="H89" s="635"/>
      <c r="I89" s="21">
        <f t="shared" si="15"/>
        <v>1</v>
      </c>
      <c r="J89" s="635"/>
      <c r="K89" s="21">
        <f t="shared" si="16"/>
        <v>1</v>
      </c>
      <c r="L89" s="635"/>
      <c r="M89" s="21">
        <f t="shared" si="17"/>
        <v>0</v>
      </c>
      <c r="N89" s="635"/>
      <c r="O89" s="21">
        <f t="shared" si="18"/>
        <v>1</v>
      </c>
      <c r="P89" s="635"/>
      <c r="Q89" s="21">
        <f t="shared" si="19"/>
        <v>1</v>
      </c>
      <c r="R89" s="21">
        <f t="shared" ca="1" si="20"/>
        <v>0</v>
      </c>
      <c r="S89" s="308">
        <f t="shared" ca="1" si="22"/>
        <v>0</v>
      </c>
    </row>
    <row r="90" spans="1:19">
      <c r="A90" s="142"/>
      <c r="B90" s="52">
        <f>住宅面积信息!B76</f>
        <v>0</v>
      </c>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0</v>
      </c>
      <c r="N90" s="635"/>
      <c r="O90" s="21">
        <f t="shared" ref="O90:O153" si="29">(SUMIF($15:$15,N90,$16:$16)-SUMIF($15:$15,$N$24,$16:$16)+100)/100</f>
        <v>1</v>
      </c>
      <c r="P90" s="635"/>
      <c r="Q90" s="21">
        <f t="shared" ref="Q90:Q153" si="30">(SUMIF($17:$17,P90,$18:$18)-SUMIF($17:$17,$P$24,$18:$18)+100)/100</f>
        <v>1</v>
      </c>
      <c r="R90" s="21">
        <f t="shared" ref="R90:R153" ca="1" si="31">IF(B90="",0,ROUND($R$24*C90*E90*G90*I90*K90*M90*O90*Q90,0))</f>
        <v>0</v>
      </c>
      <c r="S90" s="308">
        <f t="shared" ca="1" si="22"/>
        <v>0</v>
      </c>
    </row>
    <row r="91" spans="1:19">
      <c r="A91" s="142"/>
      <c r="B91" s="52">
        <f>住宅面积信息!B77</f>
        <v>0</v>
      </c>
      <c r="C91" s="21">
        <f t="shared" si="23"/>
        <v>1</v>
      </c>
      <c r="D91" s="635"/>
      <c r="E91" s="21">
        <f t="shared" si="24"/>
        <v>1</v>
      </c>
      <c r="F91" s="635"/>
      <c r="G91" s="21">
        <f t="shared" si="25"/>
        <v>1</v>
      </c>
      <c r="H91" s="635"/>
      <c r="I91" s="21">
        <f t="shared" si="26"/>
        <v>1</v>
      </c>
      <c r="J91" s="635"/>
      <c r="K91" s="21">
        <f t="shared" si="27"/>
        <v>1</v>
      </c>
      <c r="L91" s="635"/>
      <c r="M91" s="21">
        <f t="shared" si="28"/>
        <v>0</v>
      </c>
      <c r="N91" s="635"/>
      <c r="O91" s="21">
        <f t="shared" si="29"/>
        <v>1</v>
      </c>
      <c r="P91" s="635"/>
      <c r="Q91" s="21">
        <f t="shared" si="30"/>
        <v>1</v>
      </c>
      <c r="R91" s="21">
        <f t="shared" ca="1" si="31"/>
        <v>0</v>
      </c>
      <c r="S91" s="308">
        <f t="shared" ca="1" si="22"/>
        <v>0</v>
      </c>
    </row>
    <row r="92" spans="1:19">
      <c r="A92" s="142"/>
      <c r="B92" s="52">
        <f>住宅面积信息!B78</f>
        <v>0</v>
      </c>
      <c r="C92" s="21">
        <f t="shared" si="23"/>
        <v>1</v>
      </c>
      <c r="D92" s="635"/>
      <c r="E92" s="21">
        <f t="shared" si="24"/>
        <v>1</v>
      </c>
      <c r="F92" s="635"/>
      <c r="G92" s="21">
        <f t="shared" si="25"/>
        <v>1</v>
      </c>
      <c r="H92" s="635"/>
      <c r="I92" s="21">
        <f t="shared" si="26"/>
        <v>1</v>
      </c>
      <c r="J92" s="635"/>
      <c r="K92" s="21">
        <f t="shared" si="27"/>
        <v>1</v>
      </c>
      <c r="L92" s="635"/>
      <c r="M92" s="21">
        <f t="shared" si="28"/>
        <v>0</v>
      </c>
      <c r="N92" s="635"/>
      <c r="O92" s="21">
        <f t="shared" si="29"/>
        <v>1</v>
      </c>
      <c r="P92" s="635"/>
      <c r="Q92" s="21">
        <f t="shared" si="30"/>
        <v>1</v>
      </c>
      <c r="R92" s="21">
        <f t="shared" ca="1" si="31"/>
        <v>0</v>
      </c>
      <c r="S92" s="308">
        <f t="shared" ca="1" si="22"/>
        <v>0</v>
      </c>
    </row>
    <row r="93" spans="1:19">
      <c r="A93" s="142"/>
      <c r="B93" s="52">
        <f>住宅面积信息!B79</f>
        <v>0</v>
      </c>
      <c r="C93" s="21">
        <f t="shared" si="23"/>
        <v>1</v>
      </c>
      <c r="D93" s="635"/>
      <c r="E93" s="21">
        <f t="shared" si="24"/>
        <v>1</v>
      </c>
      <c r="F93" s="635"/>
      <c r="G93" s="21">
        <f t="shared" si="25"/>
        <v>1</v>
      </c>
      <c r="H93" s="635"/>
      <c r="I93" s="21">
        <f t="shared" si="26"/>
        <v>1</v>
      </c>
      <c r="J93" s="635"/>
      <c r="K93" s="21">
        <f t="shared" si="27"/>
        <v>1</v>
      </c>
      <c r="L93" s="635"/>
      <c r="M93" s="21">
        <f t="shared" si="28"/>
        <v>0</v>
      </c>
      <c r="N93" s="635"/>
      <c r="O93" s="21">
        <f t="shared" si="29"/>
        <v>1</v>
      </c>
      <c r="P93" s="635"/>
      <c r="Q93" s="21">
        <f t="shared" si="30"/>
        <v>1</v>
      </c>
      <c r="R93" s="21">
        <f t="shared" ca="1" si="31"/>
        <v>0</v>
      </c>
      <c r="S93" s="308">
        <f t="shared" ca="1" si="22"/>
        <v>0</v>
      </c>
    </row>
    <row r="94" spans="1:19">
      <c r="A94" s="142"/>
      <c r="B94" s="52">
        <f>住宅面积信息!B80</f>
        <v>0</v>
      </c>
      <c r="C94" s="21">
        <f t="shared" si="23"/>
        <v>1</v>
      </c>
      <c r="D94" s="635"/>
      <c r="E94" s="21">
        <f t="shared" si="24"/>
        <v>1</v>
      </c>
      <c r="F94" s="635"/>
      <c r="G94" s="21">
        <f t="shared" si="25"/>
        <v>1</v>
      </c>
      <c r="H94" s="635"/>
      <c r="I94" s="21">
        <f t="shared" si="26"/>
        <v>1</v>
      </c>
      <c r="J94" s="635"/>
      <c r="K94" s="21">
        <f t="shared" si="27"/>
        <v>1</v>
      </c>
      <c r="L94" s="635"/>
      <c r="M94" s="21">
        <f t="shared" si="28"/>
        <v>0</v>
      </c>
      <c r="N94" s="635"/>
      <c r="O94" s="21">
        <f t="shared" si="29"/>
        <v>1</v>
      </c>
      <c r="P94" s="635"/>
      <c r="Q94" s="21">
        <f t="shared" si="30"/>
        <v>1</v>
      </c>
      <c r="R94" s="21">
        <f t="shared" ca="1" si="31"/>
        <v>0</v>
      </c>
      <c r="S94" s="308">
        <f t="shared" ca="1" si="22"/>
        <v>0</v>
      </c>
    </row>
    <row r="95" spans="1:19">
      <c r="A95" s="142"/>
      <c r="B95" s="52">
        <f>住宅面积信息!B81</f>
        <v>0</v>
      </c>
      <c r="C95" s="21">
        <f t="shared" si="23"/>
        <v>1</v>
      </c>
      <c r="D95" s="635"/>
      <c r="E95" s="21">
        <f t="shared" si="24"/>
        <v>1</v>
      </c>
      <c r="F95" s="635"/>
      <c r="G95" s="21">
        <f t="shared" si="25"/>
        <v>1</v>
      </c>
      <c r="H95" s="635"/>
      <c r="I95" s="21">
        <f t="shared" si="26"/>
        <v>1</v>
      </c>
      <c r="J95" s="635"/>
      <c r="K95" s="21">
        <f t="shared" si="27"/>
        <v>1</v>
      </c>
      <c r="L95" s="635"/>
      <c r="M95" s="21">
        <f t="shared" si="28"/>
        <v>0</v>
      </c>
      <c r="N95" s="635"/>
      <c r="O95" s="21">
        <f t="shared" si="29"/>
        <v>1</v>
      </c>
      <c r="P95" s="635"/>
      <c r="Q95" s="21">
        <f t="shared" si="30"/>
        <v>1</v>
      </c>
      <c r="R95" s="21">
        <f t="shared" ca="1" si="31"/>
        <v>0</v>
      </c>
      <c r="S95" s="308">
        <f t="shared" ca="1" si="22"/>
        <v>0</v>
      </c>
    </row>
    <row r="96" spans="1:19">
      <c r="A96" s="142"/>
      <c r="B96" s="52">
        <f>住宅面积信息!B82</f>
        <v>0</v>
      </c>
      <c r="C96" s="21">
        <f t="shared" si="23"/>
        <v>1</v>
      </c>
      <c r="D96" s="635"/>
      <c r="E96" s="21">
        <f t="shared" si="24"/>
        <v>1</v>
      </c>
      <c r="F96" s="635"/>
      <c r="G96" s="21">
        <f t="shared" si="25"/>
        <v>1</v>
      </c>
      <c r="H96" s="635"/>
      <c r="I96" s="21">
        <f t="shared" si="26"/>
        <v>1</v>
      </c>
      <c r="J96" s="635"/>
      <c r="K96" s="21">
        <f t="shared" si="27"/>
        <v>1</v>
      </c>
      <c r="L96" s="635"/>
      <c r="M96" s="21">
        <f t="shared" si="28"/>
        <v>0</v>
      </c>
      <c r="N96" s="635"/>
      <c r="O96" s="21">
        <f t="shared" si="29"/>
        <v>1</v>
      </c>
      <c r="P96" s="635"/>
      <c r="Q96" s="21">
        <f t="shared" si="30"/>
        <v>1</v>
      </c>
      <c r="R96" s="21">
        <f t="shared" ca="1" si="31"/>
        <v>0</v>
      </c>
      <c r="S96" s="308">
        <f t="shared" ca="1" si="22"/>
        <v>0</v>
      </c>
    </row>
    <row r="97" spans="1:19">
      <c r="A97" s="142"/>
      <c r="B97" s="52">
        <f>住宅面积信息!B83</f>
        <v>0</v>
      </c>
      <c r="C97" s="21">
        <f t="shared" si="23"/>
        <v>1</v>
      </c>
      <c r="D97" s="635"/>
      <c r="E97" s="21">
        <f t="shared" si="24"/>
        <v>1</v>
      </c>
      <c r="F97" s="635"/>
      <c r="G97" s="21">
        <f t="shared" si="25"/>
        <v>1</v>
      </c>
      <c r="H97" s="635"/>
      <c r="I97" s="21">
        <f t="shared" si="26"/>
        <v>1</v>
      </c>
      <c r="J97" s="635"/>
      <c r="K97" s="21">
        <f t="shared" si="27"/>
        <v>1</v>
      </c>
      <c r="L97" s="635"/>
      <c r="M97" s="21">
        <f t="shared" si="28"/>
        <v>0</v>
      </c>
      <c r="N97" s="635"/>
      <c r="O97" s="21">
        <f t="shared" si="29"/>
        <v>1</v>
      </c>
      <c r="P97" s="635"/>
      <c r="Q97" s="21">
        <f t="shared" si="30"/>
        <v>1</v>
      </c>
      <c r="R97" s="21">
        <f t="shared" ca="1" si="31"/>
        <v>0</v>
      </c>
      <c r="S97" s="308">
        <f t="shared" ca="1" si="22"/>
        <v>0</v>
      </c>
    </row>
    <row r="98" spans="1:19">
      <c r="A98" s="142"/>
      <c r="B98" s="52">
        <f>住宅面积信息!B84</f>
        <v>0</v>
      </c>
      <c r="C98" s="21">
        <f t="shared" si="23"/>
        <v>1</v>
      </c>
      <c r="D98" s="635"/>
      <c r="E98" s="21">
        <f t="shared" si="24"/>
        <v>1</v>
      </c>
      <c r="F98" s="635"/>
      <c r="G98" s="21">
        <f t="shared" si="25"/>
        <v>1</v>
      </c>
      <c r="H98" s="635"/>
      <c r="I98" s="21">
        <f t="shared" si="26"/>
        <v>1</v>
      </c>
      <c r="J98" s="635"/>
      <c r="K98" s="21">
        <f t="shared" si="27"/>
        <v>1</v>
      </c>
      <c r="L98" s="635"/>
      <c r="M98" s="21">
        <f t="shared" si="28"/>
        <v>0</v>
      </c>
      <c r="N98" s="635"/>
      <c r="O98" s="21">
        <f t="shared" si="29"/>
        <v>1</v>
      </c>
      <c r="P98" s="635"/>
      <c r="Q98" s="21">
        <f t="shared" si="30"/>
        <v>1</v>
      </c>
      <c r="R98" s="21">
        <f t="shared" ca="1" si="31"/>
        <v>0</v>
      </c>
      <c r="S98" s="308">
        <f t="shared" ca="1" si="22"/>
        <v>0</v>
      </c>
    </row>
    <row r="99" spans="1:19">
      <c r="A99" s="142"/>
      <c r="B99" s="52">
        <f>住宅面积信息!B85</f>
        <v>0</v>
      </c>
      <c r="C99" s="21">
        <f t="shared" si="23"/>
        <v>1</v>
      </c>
      <c r="D99" s="635"/>
      <c r="E99" s="21">
        <f t="shared" si="24"/>
        <v>1</v>
      </c>
      <c r="F99" s="635"/>
      <c r="G99" s="21">
        <f t="shared" si="25"/>
        <v>1</v>
      </c>
      <c r="H99" s="635"/>
      <c r="I99" s="21">
        <f t="shared" si="26"/>
        <v>1</v>
      </c>
      <c r="J99" s="635"/>
      <c r="K99" s="21">
        <f t="shared" si="27"/>
        <v>1</v>
      </c>
      <c r="L99" s="635"/>
      <c r="M99" s="21">
        <f t="shared" si="28"/>
        <v>0</v>
      </c>
      <c r="N99" s="635"/>
      <c r="O99" s="21">
        <f t="shared" si="29"/>
        <v>1</v>
      </c>
      <c r="P99" s="635"/>
      <c r="Q99" s="21">
        <f t="shared" si="30"/>
        <v>1</v>
      </c>
      <c r="R99" s="21">
        <f t="shared" ca="1" si="31"/>
        <v>0</v>
      </c>
      <c r="S99" s="308">
        <f t="shared" ca="1" si="22"/>
        <v>0</v>
      </c>
    </row>
    <row r="100" spans="1:19">
      <c r="A100" s="142"/>
      <c r="B100" s="52">
        <f>住宅面积信息!B86</f>
        <v>0</v>
      </c>
      <c r="C100" s="21">
        <f t="shared" si="23"/>
        <v>1</v>
      </c>
      <c r="D100" s="635"/>
      <c r="E100" s="21">
        <f t="shared" si="24"/>
        <v>1</v>
      </c>
      <c r="F100" s="635"/>
      <c r="G100" s="21">
        <f t="shared" si="25"/>
        <v>1</v>
      </c>
      <c r="H100" s="635"/>
      <c r="I100" s="21">
        <f t="shared" si="26"/>
        <v>1</v>
      </c>
      <c r="J100" s="635"/>
      <c r="K100" s="21">
        <f t="shared" si="27"/>
        <v>1</v>
      </c>
      <c r="L100" s="635"/>
      <c r="M100" s="21">
        <f t="shared" si="28"/>
        <v>0</v>
      </c>
      <c r="N100" s="635"/>
      <c r="O100" s="21">
        <f t="shared" si="29"/>
        <v>1</v>
      </c>
      <c r="P100" s="635"/>
      <c r="Q100" s="21">
        <f t="shared" si="30"/>
        <v>1</v>
      </c>
      <c r="R100" s="21">
        <f t="shared" ca="1" si="31"/>
        <v>0</v>
      </c>
      <c r="S100" s="308">
        <f t="shared" ca="1" si="22"/>
        <v>0</v>
      </c>
    </row>
    <row r="101" spans="1:19">
      <c r="A101" s="142"/>
      <c r="B101" s="52">
        <f>住宅面积信息!B87</f>
        <v>0</v>
      </c>
      <c r="C101" s="21">
        <f t="shared" si="23"/>
        <v>1</v>
      </c>
      <c r="D101" s="635"/>
      <c r="E101" s="21">
        <f t="shared" si="24"/>
        <v>1</v>
      </c>
      <c r="F101" s="635"/>
      <c r="G101" s="21">
        <f t="shared" si="25"/>
        <v>1</v>
      </c>
      <c r="H101" s="635"/>
      <c r="I101" s="21">
        <f t="shared" si="26"/>
        <v>1</v>
      </c>
      <c r="J101" s="635"/>
      <c r="K101" s="21">
        <f t="shared" si="27"/>
        <v>1</v>
      </c>
      <c r="L101" s="635"/>
      <c r="M101" s="21">
        <f t="shared" si="28"/>
        <v>0</v>
      </c>
      <c r="N101" s="635"/>
      <c r="O101" s="21">
        <f t="shared" si="29"/>
        <v>1</v>
      </c>
      <c r="P101" s="635"/>
      <c r="Q101" s="21">
        <f t="shared" si="30"/>
        <v>1</v>
      </c>
      <c r="R101" s="21">
        <f t="shared" ca="1" si="31"/>
        <v>0</v>
      </c>
      <c r="S101" s="308">
        <f t="shared" ca="1" si="22"/>
        <v>0</v>
      </c>
    </row>
    <row r="102" spans="1:19">
      <c r="A102" s="142"/>
      <c r="B102" s="52">
        <f>住宅面积信息!B88</f>
        <v>0</v>
      </c>
      <c r="C102" s="21">
        <f t="shared" si="23"/>
        <v>1</v>
      </c>
      <c r="D102" s="635"/>
      <c r="E102" s="21">
        <f t="shared" si="24"/>
        <v>1</v>
      </c>
      <c r="F102" s="635"/>
      <c r="G102" s="21">
        <f t="shared" si="25"/>
        <v>1</v>
      </c>
      <c r="H102" s="635"/>
      <c r="I102" s="21">
        <f t="shared" si="26"/>
        <v>1</v>
      </c>
      <c r="J102" s="635"/>
      <c r="K102" s="21">
        <f t="shared" si="27"/>
        <v>1</v>
      </c>
      <c r="L102" s="635"/>
      <c r="M102" s="21">
        <f t="shared" si="28"/>
        <v>0</v>
      </c>
      <c r="N102" s="635"/>
      <c r="O102" s="21">
        <f t="shared" si="29"/>
        <v>1</v>
      </c>
      <c r="P102" s="635"/>
      <c r="Q102" s="21">
        <f t="shared" si="30"/>
        <v>1</v>
      </c>
      <c r="R102" s="21">
        <f t="shared" ca="1" si="31"/>
        <v>0</v>
      </c>
      <c r="S102" s="308">
        <f t="shared" ca="1"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0</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0</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0</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0</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0</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0</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0</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0</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0</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0</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0</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0</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0</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0</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0</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0</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0</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0</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0</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0</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0</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0</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0</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0</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0</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0</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0</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0</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0</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0</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0</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0</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0</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0</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0</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0</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0</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0</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0</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0</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0</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0</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0</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0</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0</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0</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0</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0</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0</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0</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0</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0</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0</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0</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0</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0</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0</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0</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0</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0</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0</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0</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0</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0</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0</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0</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0</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0</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0</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0</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0</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0</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0</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0</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0</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0</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0</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0</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0</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0</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0</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0</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0</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0</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0</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0</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0</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0</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0</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0</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0</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0</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0</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0</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0</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0</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0</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0</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0</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0</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0</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0</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0</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0</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0</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0</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0</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0</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0</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0</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0</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0</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0</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0</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0</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0</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0</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0</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0</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0</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0</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0</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0</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0</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0</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0</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0</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0</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0</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0</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0</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0</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0</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0</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0</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0</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0</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0</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0</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0</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0</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0</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0</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0</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0</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0</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0</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0</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0</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0</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0</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0</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0</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0</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0</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0</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0</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0</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0</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0</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0</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0</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0</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0</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0</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0</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0</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0</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0</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0</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0</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0</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0</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0</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0</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0</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0</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0</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0</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0</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0</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0</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0</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0</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0</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0</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0</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0</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0</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0</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0</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0</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0</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0</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0</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0</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0</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0</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0</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0</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0</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0</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0</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0</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0</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0</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0</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0</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0</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0</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0</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0</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0</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0</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0</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0</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0</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0</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0</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0</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0</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0</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0</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0</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0</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0</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0</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0</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0</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0</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0</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0</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0</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0</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0</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0</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0</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0</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0</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0</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0</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0</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0</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0</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0</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0</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0</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0</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0</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0</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0</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0</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0</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0</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0</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0</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0</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0</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0</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0</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0</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0</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0</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0</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0</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0</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0</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0</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0</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0</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0</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0</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0</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0</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0</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0</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0</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0</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0</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0</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0</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0</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0</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0</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0</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0</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0</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0</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0</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0</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0</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0</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0</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0</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0</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0</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0</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0</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0</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0</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0</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0</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0</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0</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0</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0</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0</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0</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0</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0</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0</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0</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0</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0</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0</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0</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0</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0</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0</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0</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0</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0</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0</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0</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0</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0</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0</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0</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0</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0</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0</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0</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0</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0</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0</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0</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0</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0</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0</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0</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0</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0</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0</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0</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0</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0</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0</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0</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0</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0</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0</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0</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0</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0</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0</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0</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0</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0</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0</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0</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0</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0</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0</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0</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0</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0</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0</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0</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0</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0</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0</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0</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0</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0</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0</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0</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0</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0</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0</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0</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0</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0</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0</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0</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0</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0</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0</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0</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0</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0</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0</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0</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0</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0</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0</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0</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0</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0</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0</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0</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0</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0</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0</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0</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0</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0</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0</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0</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0</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0</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0</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0</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0</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0</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0</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0</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0</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0</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0</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0</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0</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0</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600-000000000000}">
      <formula1>一修多修正项2</formula1>
    </dataValidation>
    <dataValidation type="list" allowBlank="1" showInputMessage="1" showErrorMessage="1" sqref="F24:F524" xr:uid="{00000000-0002-0000-1600-000001000000}">
      <formula1>一修多修正项3</formula1>
    </dataValidation>
    <dataValidation type="list" allowBlank="1" showInputMessage="1" showErrorMessage="1" sqref="H24:H524" xr:uid="{00000000-0002-0000-1600-000002000000}">
      <formula1>一修多修正项4</formula1>
    </dataValidation>
    <dataValidation type="list" allowBlank="1" showInputMessage="1" showErrorMessage="1" sqref="J24:J524" xr:uid="{00000000-0002-0000-1600-000003000000}">
      <formula1>一修多修正项5</formula1>
    </dataValidation>
    <dataValidation type="list" allowBlank="1" showInputMessage="1" showErrorMessage="1" sqref="L24:L524" xr:uid="{00000000-0002-0000-1600-000004000000}">
      <formula1>一修多修正项6</formula1>
    </dataValidation>
    <dataValidation type="list" allowBlank="1" showInputMessage="1" showErrorMessage="1" sqref="N24:N524" xr:uid="{00000000-0002-0000-1600-000005000000}">
      <formula1>一修多修正项7</formula1>
    </dataValidation>
    <dataValidation type="list" allowBlank="1" showInputMessage="1" showErrorMessage="1" sqref="P24:P524" xr:uid="{00000000-0002-0000-1600-000006000000}">
      <formula1>一修多修正项8</formula1>
    </dataValidation>
    <dataValidation type="list" allowBlank="1" showInputMessage="1" showErrorMessage="1" sqref="D20" xr:uid="{00000000-0002-0000-1600-000007000000}">
      <formula1>"需扣减承租人权益,——"</formula1>
    </dataValidation>
    <dataValidation type="list" allowBlank="1" showInputMessage="1" showErrorMessage="1" sqref="H20" xr:uid="{00000000-0002-0000-1600-00000800000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631C1-8EDB-41E1-B3FF-1FBD876B76FF}">
  <sheetPr>
    <tabColor rgb="FF7030A0"/>
  </sheetPr>
  <dimension ref="A1:BM28"/>
  <sheetViews>
    <sheetView workbookViewId="0">
      <selection activeCell="K6" sqref="A6:XFD6"/>
    </sheetView>
  </sheetViews>
  <sheetFormatPr defaultRowHeight="14.4"/>
  <cols>
    <col min="1" max="1" width="22.21875" style="1155" customWidth="1"/>
    <col min="2" max="4" width="22.21875" style="1155" hidden="1" customWidth="1"/>
    <col min="5" max="5" width="14.88671875" style="1155" customWidth="1"/>
    <col min="6" max="8" width="22.21875" style="1155" customWidth="1"/>
    <col min="9" max="10" width="15" style="1155" customWidth="1"/>
    <col min="11" max="11" width="6.6640625" style="1155" customWidth="1"/>
    <col min="12" max="16" width="12.77734375" style="1155" customWidth="1"/>
    <col min="17" max="20" width="22.21875" style="1155" customWidth="1"/>
    <col min="21" max="24" width="15" style="1155" customWidth="1"/>
    <col min="25" max="25" width="11.21875" style="1155" customWidth="1"/>
    <col min="26" max="66" width="22.21875" style="1155" customWidth="1"/>
    <col min="67" max="16384" width="8.88671875" style="1155"/>
  </cols>
  <sheetData>
    <row r="1" spans="1:65">
      <c r="A1" s="1155" t="s">
        <v>3598</v>
      </c>
      <c r="B1" s="1155" t="s">
        <v>3599</v>
      </c>
      <c r="C1" s="1155" t="s">
        <v>3600</v>
      </c>
      <c r="D1" s="1155" t="s">
        <v>3601</v>
      </c>
      <c r="E1" s="1155" t="s">
        <v>3602</v>
      </c>
      <c r="F1" s="1155" t="s">
        <v>3603</v>
      </c>
      <c r="G1" s="1155" t="s">
        <v>3604</v>
      </c>
      <c r="H1" s="1155" t="s">
        <v>3605</v>
      </c>
      <c r="I1" s="1155" t="s">
        <v>3606</v>
      </c>
      <c r="J1" s="1155" t="s">
        <v>3607</v>
      </c>
      <c r="K1" s="1155" t="s">
        <v>3608</v>
      </c>
      <c r="L1" s="1155" t="s">
        <v>3609</v>
      </c>
      <c r="M1" s="1155" t="s">
        <v>3610</v>
      </c>
      <c r="N1" s="1155" t="s">
        <v>3611</v>
      </c>
      <c r="O1" s="1155" t="s">
        <v>3612</v>
      </c>
      <c r="P1" s="1155" t="s">
        <v>3613</v>
      </c>
      <c r="Q1" s="1155" t="s">
        <v>3614</v>
      </c>
      <c r="R1" s="1155" t="s">
        <v>3615</v>
      </c>
      <c r="S1" s="1155" t="s">
        <v>3616</v>
      </c>
      <c r="T1" s="1155" t="s">
        <v>3617</v>
      </c>
      <c r="U1" s="1155" t="s">
        <v>3618</v>
      </c>
      <c r="V1" s="1155" t="s">
        <v>3619</v>
      </c>
      <c r="W1" s="1155" t="s">
        <v>3620</v>
      </c>
      <c r="X1" s="1155" t="s">
        <v>3621</v>
      </c>
      <c r="Y1" s="1155" t="s">
        <v>3622</v>
      </c>
      <c r="Z1" s="1155" t="s">
        <v>3623</v>
      </c>
      <c r="AA1" s="1155" t="s">
        <v>3624</v>
      </c>
      <c r="AB1" s="1155" t="s">
        <v>3625</v>
      </c>
      <c r="AC1" s="1155" t="s">
        <v>3626</v>
      </c>
      <c r="AD1" s="1155" t="s">
        <v>3627</v>
      </c>
      <c r="AE1" s="1155" t="s">
        <v>3628</v>
      </c>
      <c r="AF1" s="1155" t="s">
        <v>3629</v>
      </c>
      <c r="AG1" s="1155" t="s">
        <v>3630</v>
      </c>
      <c r="AH1" s="1155" t="s">
        <v>3631</v>
      </c>
      <c r="AI1" s="1155" t="s">
        <v>3632</v>
      </c>
      <c r="AJ1" s="1155" t="s">
        <v>3633</v>
      </c>
      <c r="AK1" s="1155" t="s">
        <v>3634</v>
      </c>
      <c r="AL1" s="1155" t="s">
        <v>3635</v>
      </c>
      <c r="AM1" s="1155" t="s">
        <v>3636</v>
      </c>
      <c r="AN1" s="1155" t="s">
        <v>3637</v>
      </c>
      <c r="AO1" s="1155" t="s">
        <v>3638</v>
      </c>
      <c r="AP1" s="1155" t="s">
        <v>3639</v>
      </c>
      <c r="AQ1" s="1155" t="s">
        <v>3640</v>
      </c>
      <c r="AR1" s="1155" t="s">
        <v>3641</v>
      </c>
      <c r="AS1" s="1155" t="s">
        <v>3642</v>
      </c>
      <c r="AT1" s="1155" t="s">
        <v>3643</v>
      </c>
      <c r="AU1" s="1155" t="s">
        <v>3644</v>
      </c>
      <c r="AV1" s="1155" t="s">
        <v>3645</v>
      </c>
      <c r="AW1" s="1155" t="s">
        <v>3646</v>
      </c>
      <c r="AX1" s="1155" t="s">
        <v>3647</v>
      </c>
      <c r="AY1" s="1155" t="s">
        <v>3648</v>
      </c>
      <c r="AZ1" s="1155" t="s">
        <v>3649</v>
      </c>
      <c r="BA1" s="1155" t="s">
        <v>3650</v>
      </c>
      <c r="BB1" s="1155" t="s">
        <v>3651</v>
      </c>
      <c r="BC1" s="1155" t="s">
        <v>3652</v>
      </c>
      <c r="BD1" s="1155" t="s">
        <v>3653</v>
      </c>
      <c r="BE1" s="1155" t="s">
        <v>3654</v>
      </c>
      <c r="BF1" s="1155" t="s">
        <v>3655</v>
      </c>
      <c r="BG1" s="1155" t="s">
        <v>3656</v>
      </c>
      <c r="BH1" s="1155" t="s">
        <v>3657</v>
      </c>
      <c r="BI1" s="1155" t="s">
        <v>3658</v>
      </c>
      <c r="BJ1" s="1155" t="s">
        <v>3659</v>
      </c>
      <c r="BK1" s="1155" t="s">
        <v>3660</v>
      </c>
      <c r="BL1" s="1155" t="s">
        <v>3661</v>
      </c>
      <c r="BM1" s="1155" t="s">
        <v>3662</v>
      </c>
    </row>
    <row r="2" spans="1:65" s="3176" customFormat="1">
      <c r="A2" s="3176" t="s">
        <v>3663</v>
      </c>
      <c r="B2" s="3176" t="s">
        <v>3664</v>
      </c>
      <c r="C2" s="3176" t="s">
        <v>3469</v>
      </c>
      <c r="D2" s="3176" t="s">
        <v>3665</v>
      </c>
      <c r="E2" s="3176" t="s">
        <v>3666</v>
      </c>
      <c r="F2" s="3176" t="s">
        <v>3667</v>
      </c>
      <c r="G2" s="3176" t="s">
        <v>3667</v>
      </c>
      <c r="H2" s="3176" t="s">
        <v>3668</v>
      </c>
      <c r="I2" s="3176">
        <v>48345.71</v>
      </c>
      <c r="J2" s="3176">
        <v>90571.42</v>
      </c>
      <c r="K2" s="3176">
        <v>2</v>
      </c>
      <c r="L2" s="3176" t="s">
        <v>3669</v>
      </c>
      <c r="M2" s="3176">
        <v>164400</v>
      </c>
      <c r="N2" s="3176">
        <v>34005.08</v>
      </c>
      <c r="O2" s="3176">
        <v>2267.0100000000002</v>
      </c>
      <c r="P2" s="3176">
        <v>18151</v>
      </c>
      <c r="Q2" s="3176" t="s">
        <v>3670</v>
      </c>
      <c r="R2" s="3176" t="s">
        <v>3670</v>
      </c>
      <c r="S2" s="3176" t="s">
        <v>3670</v>
      </c>
      <c r="T2" s="3176" t="s">
        <v>3670</v>
      </c>
      <c r="U2" s="3176" t="s">
        <v>3670</v>
      </c>
      <c r="V2" s="3176" t="s">
        <v>3670</v>
      </c>
      <c r="W2" s="3176">
        <v>0</v>
      </c>
      <c r="X2" s="3176">
        <v>0</v>
      </c>
      <c r="Y2" s="3176" t="s">
        <v>3671</v>
      </c>
      <c r="Z2" s="3176" t="s">
        <v>3672</v>
      </c>
      <c r="AA2" s="3176" t="s">
        <v>3673</v>
      </c>
      <c r="AB2" s="3176" t="s">
        <v>3674</v>
      </c>
      <c r="AC2" s="3176" t="s">
        <v>3675</v>
      </c>
      <c r="AD2" s="3176" t="s">
        <v>3670</v>
      </c>
      <c r="AE2" s="3176">
        <v>30</v>
      </c>
      <c r="AF2" s="3176" t="s">
        <v>3676</v>
      </c>
      <c r="AG2" s="3176" t="s">
        <v>3677</v>
      </c>
      <c r="AH2" s="3176" t="s">
        <v>3670</v>
      </c>
      <c r="AI2" s="3176" t="s">
        <v>3678</v>
      </c>
      <c r="AJ2" s="3176" t="s">
        <v>3679</v>
      </c>
      <c r="AK2" s="3176" t="s">
        <v>3669</v>
      </c>
      <c r="AL2" s="3176" t="s">
        <v>3680</v>
      </c>
      <c r="AM2" s="3176" t="s">
        <v>3681</v>
      </c>
      <c r="AN2" s="3176" t="s">
        <v>3682</v>
      </c>
      <c r="AO2" s="3176" t="s">
        <v>3683</v>
      </c>
      <c r="AP2" s="3176" t="s">
        <v>3684</v>
      </c>
      <c r="AQ2" s="3176" t="s">
        <v>3685</v>
      </c>
      <c r="AR2" s="3176">
        <v>164400</v>
      </c>
      <c r="AS2" s="3176">
        <v>32900</v>
      </c>
      <c r="AT2" s="3176" t="s">
        <v>3686</v>
      </c>
      <c r="AU2" s="3176">
        <v>34005.08</v>
      </c>
      <c r="AV2" s="3176">
        <v>2267.0100000000002</v>
      </c>
      <c r="AW2" s="3176">
        <v>18151</v>
      </c>
      <c r="AX2" s="3176" t="s">
        <v>3670</v>
      </c>
      <c r="AY2" s="3176" t="s">
        <v>3670</v>
      </c>
      <c r="AZ2" s="3176">
        <v>0</v>
      </c>
      <c r="BA2" s="3176" t="s">
        <v>3670</v>
      </c>
      <c r="BB2" s="3176" t="s">
        <v>3670</v>
      </c>
      <c r="BC2" s="3176">
        <v>45000</v>
      </c>
      <c r="BD2" s="3176">
        <v>45000</v>
      </c>
      <c r="BE2" s="3176" t="s">
        <v>3670</v>
      </c>
      <c r="BF2" s="3176" t="s">
        <v>3670</v>
      </c>
      <c r="BG2" s="3176" t="s">
        <v>3670</v>
      </c>
      <c r="BH2" s="3176" t="s">
        <v>3687</v>
      </c>
      <c r="BI2" s="3176" t="s">
        <v>3688</v>
      </c>
      <c r="BJ2" s="3176" t="s">
        <v>3473</v>
      </c>
      <c r="BK2" s="3176" t="s">
        <v>3689</v>
      </c>
      <c r="BL2" s="3177">
        <v>45536.000497685185</v>
      </c>
      <c r="BM2" s="3176">
        <v>164400</v>
      </c>
    </row>
    <row r="3" spans="1:65" s="3176" customFormat="1">
      <c r="A3" s="3176" t="s">
        <v>3690</v>
      </c>
      <c r="B3" s="3176" t="s">
        <v>3664</v>
      </c>
      <c r="C3" s="3176" t="s">
        <v>3469</v>
      </c>
      <c r="D3" s="3176" t="s">
        <v>3665</v>
      </c>
      <c r="E3" s="3176" t="s">
        <v>3691</v>
      </c>
      <c r="F3" s="3176" t="s">
        <v>3692</v>
      </c>
      <c r="G3" s="3176" t="s">
        <v>3692</v>
      </c>
      <c r="H3" s="3176" t="s">
        <v>3693</v>
      </c>
      <c r="I3" s="3176">
        <v>34067.89</v>
      </c>
      <c r="J3" s="3176">
        <v>64113.760000000002</v>
      </c>
      <c r="K3" s="3176">
        <v>2.1</v>
      </c>
      <c r="L3" s="3176" t="s">
        <v>3694</v>
      </c>
      <c r="M3" s="3176">
        <v>120000</v>
      </c>
      <c r="N3" s="3176">
        <v>35223.78</v>
      </c>
      <c r="O3" s="3176">
        <v>2348.25</v>
      </c>
      <c r="P3" s="3176">
        <v>18717</v>
      </c>
      <c r="Q3" s="3176" t="s">
        <v>3695</v>
      </c>
      <c r="R3" s="3176" t="s">
        <v>3670</v>
      </c>
      <c r="S3" s="3176" t="s">
        <v>3670</v>
      </c>
      <c r="T3" s="3176" t="s">
        <v>3670</v>
      </c>
      <c r="U3" s="3176" t="s">
        <v>3670</v>
      </c>
      <c r="V3" s="3176" t="s">
        <v>3670</v>
      </c>
      <c r="W3" s="3176">
        <v>0</v>
      </c>
      <c r="X3" s="3176">
        <v>0</v>
      </c>
      <c r="Y3" s="3176" t="s">
        <v>3671</v>
      </c>
      <c r="Z3" s="3176" t="s">
        <v>3696</v>
      </c>
      <c r="AA3" s="3176" t="s">
        <v>3696</v>
      </c>
      <c r="AB3" s="3176" t="s">
        <v>3697</v>
      </c>
      <c r="AC3" s="3176" t="s">
        <v>3698</v>
      </c>
      <c r="AD3" s="3176" t="s">
        <v>3670</v>
      </c>
      <c r="AE3" s="3176">
        <v>35</v>
      </c>
      <c r="AF3" s="3176">
        <v>36</v>
      </c>
      <c r="AG3" s="3176" t="s">
        <v>3677</v>
      </c>
      <c r="AH3" s="3176" t="s">
        <v>3670</v>
      </c>
      <c r="AI3" s="3176" t="s">
        <v>3699</v>
      </c>
      <c r="AJ3" s="3176" t="s">
        <v>3700</v>
      </c>
      <c r="AK3" s="3176" t="s">
        <v>3694</v>
      </c>
      <c r="AL3" s="3176" t="s">
        <v>3680</v>
      </c>
      <c r="AM3" s="3176" t="s">
        <v>3701</v>
      </c>
      <c r="AN3" s="3176" t="s">
        <v>3702</v>
      </c>
      <c r="AO3" s="3176" t="s">
        <v>3703</v>
      </c>
      <c r="AP3" s="3176" t="s">
        <v>3684</v>
      </c>
      <c r="AQ3" s="3176" t="s">
        <v>3685</v>
      </c>
      <c r="AR3" s="3176">
        <v>120000</v>
      </c>
      <c r="AS3" s="3176">
        <v>24000</v>
      </c>
      <c r="AT3" s="3176" t="s">
        <v>3704</v>
      </c>
      <c r="AU3" s="3176">
        <v>35223.78</v>
      </c>
      <c r="AV3" s="3176">
        <v>2348.25</v>
      </c>
      <c r="AW3" s="3176">
        <v>18717</v>
      </c>
      <c r="AX3" s="3176" t="s">
        <v>3670</v>
      </c>
      <c r="AY3" s="3176" t="s">
        <v>3670</v>
      </c>
      <c r="AZ3" s="3176">
        <v>0</v>
      </c>
      <c r="BA3" s="3176">
        <v>138000</v>
      </c>
      <c r="BB3" s="3176" t="s">
        <v>3705</v>
      </c>
      <c r="BC3" s="3176">
        <v>45000</v>
      </c>
      <c r="BD3" s="3176">
        <v>45000</v>
      </c>
      <c r="BE3" s="3176">
        <v>21524</v>
      </c>
      <c r="BF3" s="3176">
        <v>15</v>
      </c>
      <c r="BG3" s="3176">
        <v>26283</v>
      </c>
      <c r="BH3" s="3176" t="s">
        <v>3706</v>
      </c>
      <c r="BI3" s="3176" t="s">
        <v>3707</v>
      </c>
      <c r="BJ3" s="3176" t="s">
        <v>3473</v>
      </c>
      <c r="BK3" s="3176" t="s">
        <v>3708</v>
      </c>
      <c r="BL3" s="3177">
        <v>45312.000497685185</v>
      </c>
      <c r="BM3" s="3176">
        <v>120000</v>
      </c>
    </row>
    <row r="4" spans="1:65">
      <c r="A4" s="1155" t="s">
        <v>3709</v>
      </c>
      <c r="B4" s="1155" t="s">
        <v>3664</v>
      </c>
      <c r="C4" s="1155" t="s">
        <v>3469</v>
      </c>
      <c r="D4" s="1155" t="s">
        <v>3665</v>
      </c>
      <c r="E4" s="1155" t="s">
        <v>3710</v>
      </c>
      <c r="F4" s="1155" t="s">
        <v>3711</v>
      </c>
      <c r="G4" s="1155" t="s">
        <v>3711</v>
      </c>
      <c r="H4" s="1155" t="s">
        <v>3712</v>
      </c>
      <c r="I4" s="1155">
        <v>69837.09</v>
      </c>
      <c r="J4" s="1155">
        <v>104756</v>
      </c>
      <c r="K4" s="1155">
        <v>1.5</v>
      </c>
      <c r="L4" s="1155" t="s">
        <v>3713</v>
      </c>
      <c r="M4" s="1155">
        <v>120000</v>
      </c>
      <c r="N4" s="1155">
        <v>17182.84</v>
      </c>
      <c r="O4" s="1155">
        <v>1145.52</v>
      </c>
      <c r="P4" s="1155">
        <v>11455</v>
      </c>
      <c r="Q4" s="1155" t="s">
        <v>3695</v>
      </c>
      <c r="R4" s="1155" t="s">
        <v>3670</v>
      </c>
      <c r="S4" s="1155" t="s">
        <v>3670</v>
      </c>
      <c r="T4" s="1155" t="s">
        <v>3670</v>
      </c>
      <c r="U4" s="1155" t="s">
        <v>3670</v>
      </c>
      <c r="V4" s="1155" t="s">
        <v>3670</v>
      </c>
      <c r="W4" s="1155">
        <v>0</v>
      </c>
      <c r="X4" s="1155">
        <v>0</v>
      </c>
      <c r="Y4" s="1155" t="s">
        <v>3671</v>
      </c>
      <c r="Z4" s="1155" t="s">
        <v>3714</v>
      </c>
      <c r="AA4" s="1155" t="s">
        <v>3673</v>
      </c>
      <c r="AB4" s="1155" t="s">
        <v>3715</v>
      </c>
      <c r="AC4" s="1155" t="s">
        <v>3716</v>
      </c>
      <c r="AD4" s="1155" t="s">
        <v>3670</v>
      </c>
      <c r="AE4" s="1155">
        <v>0.3</v>
      </c>
      <c r="AF4" s="1155">
        <v>24</v>
      </c>
      <c r="AG4" s="1155" t="s">
        <v>3677</v>
      </c>
      <c r="AH4" s="1155" t="s">
        <v>3670</v>
      </c>
      <c r="AI4" s="1155" t="s">
        <v>3717</v>
      </c>
      <c r="AJ4" s="1155" t="s">
        <v>3718</v>
      </c>
      <c r="AK4" s="1155" t="s">
        <v>3713</v>
      </c>
      <c r="AL4" s="1155" t="s">
        <v>3680</v>
      </c>
      <c r="AM4" s="1155" t="s">
        <v>3701</v>
      </c>
      <c r="AN4" s="1155" t="s">
        <v>3719</v>
      </c>
      <c r="AO4" s="1155" t="s">
        <v>3719</v>
      </c>
      <c r="AP4" s="1155" t="s">
        <v>3720</v>
      </c>
      <c r="AQ4" s="1155" t="s">
        <v>3670</v>
      </c>
      <c r="AR4" s="1155">
        <v>120000</v>
      </c>
      <c r="AS4" s="1155">
        <v>24000</v>
      </c>
      <c r="AT4" s="1155" t="s">
        <v>3670</v>
      </c>
      <c r="AU4" s="1155">
        <v>17182.84</v>
      </c>
      <c r="AV4" s="1155">
        <v>1145.52</v>
      </c>
      <c r="AW4" s="1155">
        <v>11455</v>
      </c>
      <c r="AX4" s="1155" t="s">
        <v>3670</v>
      </c>
      <c r="AY4" s="1155" t="s">
        <v>3670</v>
      </c>
      <c r="AZ4" s="1155">
        <v>0</v>
      </c>
      <c r="BA4" s="1155">
        <v>138000</v>
      </c>
      <c r="BB4" s="1155" t="s">
        <v>3705</v>
      </c>
      <c r="BC4" s="1155">
        <v>37000</v>
      </c>
      <c r="BD4" s="1155">
        <v>37000</v>
      </c>
      <c r="BE4" s="1155">
        <v>13173</v>
      </c>
      <c r="BF4" s="1155">
        <v>15</v>
      </c>
      <c r="BG4" s="1155">
        <v>25544</v>
      </c>
      <c r="BH4" s="1155" t="s">
        <v>3721</v>
      </c>
      <c r="BI4" s="1155" t="s">
        <v>3722</v>
      </c>
      <c r="BJ4" s="1155" t="s">
        <v>3473</v>
      </c>
      <c r="BK4" s="1155" t="s">
        <v>3712</v>
      </c>
      <c r="BL4" s="3178">
        <v>45225.000497685185</v>
      </c>
      <c r="BM4" s="1155">
        <v>120000</v>
      </c>
    </row>
    <row r="5" spans="1:65">
      <c r="A5" s="1155" t="s">
        <v>3723</v>
      </c>
      <c r="B5" s="1155" t="s">
        <v>3664</v>
      </c>
      <c r="C5" s="1155" t="s">
        <v>3469</v>
      </c>
      <c r="D5" s="1155" t="s">
        <v>3665</v>
      </c>
      <c r="E5" s="1155" t="s">
        <v>3724</v>
      </c>
      <c r="F5" s="1155" t="s">
        <v>3725</v>
      </c>
      <c r="G5" s="1155" t="s">
        <v>3725</v>
      </c>
      <c r="H5" s="1155" t="s">
        <v>3726</v>
      </c>
      <c r="I5" s="1155">
        <v>31558.240000000002</v>
      </c>
      <c r="J5" s="1155">
        <v>88363.07</v>
      </c>
      <c r="K5" s="1155">
        <v>2.8</v>
      </c>
      <c r="L5" s="1155" t="s">
        <v>3727</v>
      </c>
      <c r="M5" s="1155">
        <v>88100</v>
      </c>
      <c r="N5" s="1155">
        <v>27916.63</v>
      </c>
      <c r="O5" s="1155">
        <v>1861.11</v>
      </c>
      <c r="P5" s="1155">
        <v>9970</v>
      </c>
      <c r="Q5" s="1155" t="s">
        <v>3695</v>
      </c>
      <c r="R5" s="1155" t="s">
        <v>3728</v>
      </c>
      <c r="S5" s="1155" t="s">
        <v>3670</v>
      </c>
      <c r="T5" s="1155" t="s">
        <v>3670</v>
      </c>
      <c r="U5" s="1155" t="s">
        <v>3670</v>
      </c>
      <c r="V5" s="1155" t="s">
        <v>3670</v>
      </c>
      <c r="W5" s="1155">
        <v>0</v>
      </c>
      <c r="X5" s="1155">
        <v>0</v>
      </c>
      <c r="Y5" s="1155" t="s">
        <v>3671</v>
      </c>
      <c r="Z5" s="1155" t="s">
        <v>3714</v>
      </c>
      <c r="AA5" s="1155" t="s">
        <v>3673</v>
      </c>
      <c r="AB5" s="1155" t="s">
        <v>3715</v>
      </c>
      <c r="AC5" s="1155" t="s">
        <v>3729</v>
      </c>
      <c r="AD5" s="1155" t="s">
        <v>3670</v>
      </c>
      <c r="AE5" s="1155" t="s">
        <v>3670</v>
      </c>
      <c r="AF5" s="1155">
        <v>60</v>
      </c>
      <c r="AG5" s="1155" t="s">
        <v>3677</v>
      </c>
      <c r="AH5" s="1155" t="s">
        <v>3670</v>
      </c>
      <c r="AI5" s="1155" t="s">
        <v>3730</v>
      </c>
      <c r="AJ5" s="1155" t="s">
        <v>3731</v>
      </c>
      <c r="AK5" s="1155" t="s">
        <v>3727</v>
      </c>
      <c r="AL5" s="1155" t="s">
        <v>3680</v>
      </c>
      <c r="AM5" s="1155" t="s">
        <v>3701</v>
      </c>
      <c r="AN5" s="1155" t="s">
        <v>3732</v>
      </c>
      <c r="AO5" s="1155" t="s">
        <v>3683</v>
      </c>
      <c r="AP5" s="1155" t="s">
        <v>3684</v>
      </c>
      <c r="AQ5" s="1155" t="s">
        <v>3685</v>
      </c>
      <c r="AR5" s="1155">
        <v>88100</v>
      </c>
      <c r="AS5" s="1155">
        <v>18000</v>
      </c>
      <c r="AT5" s="1155" t="s">
        <v>3733</v>
      </c>
      <c r="AU5" s="1155">
        <v>27916.63</v>
      </c>
      <c r="AV5" s="1155">
        <v>1861.11</v>
      </c>
      <c r="AW5" s="1155">
        <v>9970</v>
      </c>
      <c r="AX5" s="1155" t="s">
        <v>3670</v>
      </c>
      <c r="AY5" s="1155" t="s">
        <v>3670</v>
      </c>
      <c r="AZ5" s="1155">
        <v>0</v>
      </c>
      <c r="BA5" s="1155">
        <v>101315</v>
      </c>
      <c r="BB5" s="1155" t="s">
        <v>3705</v>
      </c>
      <c r="BC5" s="1155">
        <v>27000</v>
      </c>
      <c r="BD5" s="1155">
        <v>27000</v>
      </c>
      <c r="BE5" s="1155">
        <v>11466</v>
      </c>
      <c r="BF5" s="1155">
        <v>15</v>
      </c>
      <c r="BG5" s="1155">
        <v>17029</v>
      </c>
      <c r="BH5" s="1155" t="s">
        <v>3734</v>
      </c>
      <c r="BI5" s="1155" t="s">
        <v>3735</v>
      </c>
      <c r="BJ5" s="1155" t="s">
        <v>3473</v>
      </c>
      <c r="BK5" s="1155" t="s">
        <v>3726</v>
      </c>
      <c r="BL5" s="3178">
        <v>45136.000497685185</v>
      </c>
      <c r="BM5" s="1155">
        <v>88100</v>
      </c>
    </row>
    <row r="6" spans="1:65" s="3176" customFormat="1">
      <c r="A6" s="3176" t="s">
        <v>3736</v>
      </c>
      <c r="B6" s="3176" t="s">
        <v>3664</v>
      </c>
      <c r="C6" s="3176" t="s">
        <v>3469</v>
      </c>
      <c r="D6" s="3176" t="s">
        <v>3665</v>
      </c>
      <c r="E6" s="3176" t="s">
        <v>3666</v>
      </c>
      <c r="F6" s="3176" t="s">
        <v>3737</v>
      </c>
      <c r="G6" s="3176" t="s">
        <v>3737</v>
      </c>
      <c r="H6" s="3176" t="s">
        <v>3738</v>
      </c>
      <c r="I6" s="3176">
        <v>31231.38</v>
      </c>
      <c r="J6" s="3176">
        <v>78078.45</v>
      </c>
      <c r="K6" s="3176">
        <v>2.5</v>
      </c>
      <c r="L6" s="3176" t="s">
        <v>3739</v>
      </c>
      <c r="M6" s="3176">
        <v>172000</v>
      </c>
      <c r="N6" s="3176">
        <v>55072.81</v>
      </c>
      <c r="O6" s="3176">
        <v>3671.52</v>
      </c>
      <c r="P6" s="3176">
        <v>22029</v>
      </c>
      <c r="Q6" s="3176" t="s">
        <v>3740</v>
      </c>
      <c r="R6" s="3176" t="s">
        <v>3741</v>
      </c>
      <c r="S6" s="3176" t="s">
        <v>3670</v>
      </c>
      <c r="T6" s="3176" t="s">
        <v>3670</v>
      </c>
      <c r="U6" s="3176" t="s">
        <v>3670</v>
      </c>
      <c r="V6" s="3176" t="s">
        <v>3670</v>
      </c>
      <c r="W6" s="3176">
        <v>0</v>
      </c>
      <c r="X6" s="3176">
        <v>0</v>
      </c>
      <c r="Y6" s="3176" t="s">
        <v>3671</v>
      </c>
      <c r="Z6" s="3176" t="s">
        <v>3696</v>
      </c>
      <c r="AA6" s="3176" t="s">
        <v>3696</v>
      </c>
      <c r="AB6" s="3176" t="s">
        <v>3697</v>
      </c>
      <c r="AC6" s="3176" t="s">
        <v>3742</v>
      </c>
      <c r="AD6" s="3176" t="s">
        <v>3670</v>
      </c>
      <c r="AE6" s="3176">
        <v>0.3</v>
      </c>
      <c r="AF6" s="3176" t="s">
        <v>3743</v>
      </c>
      <c r="AG6" s="3176" t="s">
        <v>3677</v>
      </c>
      <c r="AH6" s="3176" t="s">
        <v>3744</v>
      </c>
      <c r="AI6" s="3176" t="s">
        <v>3745</v>
      </c>
      <c r="AJ6" s="3176" t="s">
        <v>3746</v>
      </c>
      <c r="AK6" s="3176" t="s">
        <v>3739</v>
      </c>
      <c r="AL6" s="3176" t="s">
        <v>3680</v>
      </c>
      <c r="AM6" s="3176" t="s">
        <v>3701</v>
      </c>
      <c r="AN6" s="3176" t="s">
        <v>3747</v>
      </c>
      <c r="AO6" s="3176" t="s">
        <v>3748</v>
      </c>
      <c r="AP6" s="3176" t="s">
        <v>3749</v>
      </c>
      <c r="AQ6" s="3176" t="s">
        <v>3670</v>
      </c>
      <c r="AR6" s="3176">
        <v>172000</v>
      </c>
      <c r="AS6" s="3176">
        <v>35000</v>
      </c>
      <c r="AT6" s="3176" t="s">
        <v>3750</v>
      </c>
      <c r="AU6" s="3176">
        <v>55072.81</v>
      </c>
      <c r="AV6" s="3176">
        <v>3671.52</v>
      </c>
      <c r="AW6" s="3176">
        <v>22029</v>
      </c>
      <c r="AX6" s="3176" t="s">
        <v>3670</v>
      </c>
      <c r="AY6" s="3176" t="s">
        <v>3670</v>
      </c>
      <c r="AZ6" s="3176">
        <v>0</v>
      </c>
      <c r="BA6" s="3176">
        <v>197800</v>
      </c>
      <c r="BB6" s="3176" t="s">
        <v>3705</v>
      </c>
      <c r="BC6" s="3176">
        <v>45000</v>
      </c>
      <c r="BD6" s="3176">
        <v>45000</v>
      </c>
      <c r="BE6" s="3176">
        <v>25333</v>
      </c>
      <c r="BF6" s="3176">
        <v>15</v>
      </c>
      <c r="BG6" s="3176">
        <v>22970</v>
      </c>
      <c r="BH6" s="3176" t="s">
        <v>3706</v>
      </c>
      <c r="BI6" s="3176" t="s">
        <v>3751</v>
      </c>
      <c r="BJ6" s="3176" t="s">
        <v>3485</v>
      </c>
      <c r="BK6" s="3176" t="s">
        <v>3670</v>
      </c>
      <c r="BL6" s="3177">
        <v>44994.000497685185</v>
      </c>
      <c r="BM6" s="3176">
        <v>172000</v>
      </c>
    </row>
    <row r="7" spans="1:65">
      <c r="A7" s="1155" t="s">
        <v>3752</v>
      </c>
      <c r="B7" s="1155" t="s">
        <v>3664</v>
      </c>
      <c r="C7" s="1155" t="s">
        <v>3469</v>
      </c>
      <c r="D7" s="1155" t="s">
        <v>3665</v>
      </c>
      <c r="E7" s="1155" t="s">
        <v>3753</v>
      </c>
      <c r="F7" s="1155" t="s">
        <v>3754</v>
      </c>
      <c r="G7" s="1155" t="s">
        <v>3754</v>
      </c>
      <c r="H7" s="1155" t="s">
        <v>3755</v>
      </c>
      <c r="I7" s="1155">
        <v>32057.19</v>
      </c>
      <c r="J7" s="1155">
        <v>51292</v>
      </c>
      <c r="K7" s="1155">
        <v>1.6</v>
      </c>
      <c r="L7" s="1155" t="s">
        <v>3756</v>
      </c>
      <c r="M7" s="1155">
        <v>81000</v>
      </c>
      <c r="N7" s="1155">
        <v>25267.34</v>
      </c>
      <c r="O7" s="1155">
        <v>1684.49</v>
      </c>
      <c r="P7" s="1155">
        <v>15792</v>
      </c>
      <c r="Q7" s="1155" t="s">
        <v>3757</v>
      </c>
      <c r="R7" s="1155" t="s">
        <v>3758</v>
      </c>
      <c r="S7" s="1155" t="s">
        <v>3670</v>
      </c>
      <c r="T7" s="1155" t="s">
        <v>3670</v>
      </c>
      <c r="U7" s="1155" t="s">
        <v>3670</v>
      </c>
      <c r="V7" s="1155" t="s">
        <v>3670</v>
      </c>
      <c r="W7" s="1155">
        <v>0</v>
      </c>
      <c r="X7" s="1155">
        <v>0</v>
      </c>
      <c r="Y7" s="1155" t="s">
        <v>3671</v>
      </c>
      <c r="Z7" s="1155" t="s">
        <v>3696</v>
      </c>
      <c r="AA7" s="1155" t="s">
        <v>3696</v>
      </c>
      <c r="AB7" s="1155" t="s">
        <v>3715</v>
      </c>
      <c r="AC7" s="1155" t="s">
        <v>3759</v>
      </c>
      <c r="AD7" s="1155" t="s">
        <v>3670</v>
      </c>
      <c r="AE7" s="1155">
        <v>0.3</v>
      </c>
      <c r="AF7" s="1155">
        <v>18</v>
      </c>
      <c r="AG7" s="1155" t="s">
        <v>3677</v>
      </c>
      <c r="AH7" s="1155" t="s">
        <v>3760</v>
      </c>
      <c r="AI7" s="1155" t="s">
        <v>3761</v>
      </c>
      <c r="AJ7" s="1155" t="s">
        <v>3762</v>
      </c>
      <c r="AK7" s="1155" t="s">
        <v>3756</v>
      </c>
      <c r="AL7" s="1155" t="s">
        <v>3680</v>
      </c>
      <c r="AM7" s="1155" t="s">
        <v>3701</v>
      </c>
      <c r="AN7" s="1155" t="s">
        <v>3747</v>
      </c>
      <c r="AO7" s="1155" t="s">
        <v>3748</v>
      </c>
      <c r="AP7" s="1155" t="s">
        <v>3749</v>
      </c>
      <c r="AQ7" s="1155" t="s">
        <v>3670</v>
      </c>
      <c r="AR7" s="1155">
        <v>81000</v>
      </c>
      <c r="AS7" s="1155">
        <v>17000</v>
      </c>
      <c r="AT7" s="1155" t="s">
        <v>3763</v>
      </c>
      <c r="AU7" s="1155">
        <v>25267.34</v>
      </c>
      <c r="AV7" s="1155">
        <v>1684.49</v>
      </c>
      <c r="AW7" s="1155">
        <v>15792</v>
      </c>
      <c r="AX7" s="1155" t="s">
        <v>3670</v>
      </c>
      <c r="AY7" s="1155" t="s">
        <v>3670</v>
      </c>
      <c r="AZ7" s="1155">
        <v>0</v>
      </c>
      <c r="BA7" s="1155">
        <v>93150</v>
      </c>
      <c r="BB7" s="1155" t="s">
        <v>3705</v>
      </c>
      <c r="BC7" s="1155">
        <v>45000</v>
      </c>
      <c r="BD7" s="1155">
        <v>45000</v>
      </c>
      <c r="BE7" s="1155">
        <v>18161</v>
      </c>
      <c r="BF7" s="1155">
        <v>15</v>
      </c>
      <c r="BG7" s="1155">
        <v>29208</v>
      </c>
      <c r="BH7" s="1155" t="s">
        <v>3706</v>
      </c>
      <c r="BI7" s="1155" t="s">
        <v>3764</v>
      </c>
      <c r="BJ7" s="1155" t="s">
        <v>3485</v>
      </c>
      <c r="BK7" s="1155" t="s">
        <v>3670</v>
      </c>
      <c r="BL7" s="3178">
        <v>44640.000497685185</v>
      </c>
      <c r="BM7" s="1155">
        <v>81000</v>
      </c>
    </row>
    <row r="8" spans="1:65">
      <c r="A8" s="1155" t="s">
        <v>3765</v>
      </c>
      <c r="B8" s="1155" t="s">
        <v>3664</v>
      </c>
      <c r="C8" s="1155" t="s">
        <v>3469</v>
      </c>
      <c r="D8" s="1155" t="s">
        <v>3665</v>
      </c>
      <c r="E8" s="1155" t="s">
        <v>3753</v>
      </c>
      <c r="F8" s="1155" t="s">
        <v>3766</v>
      </c>
      <c r="G8" s="1155" t="s">
        <v>3766</v>
      </c>
      <c r="H8" s="1155" t="s">
        <v>3767</v>
      </c>
      <c r="I8" s="1155">
        <v>45509.77</v>
      </c>
      <c r="J8" s="1155">
        <v>113774</v>
      </c>
      <c r="K8" s="1155">
        <v>2.5</v>
      </c>
      <c r="L8" s="1155" t="s">
        <v>3768</v>
      </c>
      <c r="M8" s="1155">
        <v>186300</v>
      </c>
      <c r="N8" s="1155">
        <v>40936.26</v>
      </c>
      <c r="O8" s="1155">
        <v>2729.08</v>
      </c>
      <c r="P8" s="1155">
        <v>16375</v>
      </c>
      <c r="Q8" s="1155" t="s">
        <v>3757</v>
      </c>
      <c r="R8" s="1155" t="s">
        <v>3769</v>
      </c>
      <c r="S8" s="1155" t="s">
        <v>3770</v>
      </c>
      <c r="T8" s="1155" t="s">
        <v>3771</v>
      </c>
      <c r="U8" s="1155" t="s">
        <v>3670</v>
      </c>
      <c r="V8" s="1155">
        <v>11400</v>
      </c>
      <c r="W8" s="1155">
        <v>0</v>
      </c>
      <c r="X8" s="1155">
        <v>0</v>
      </c>
      <c r="Y8" s="1155" t="s">
        <v>3671</v>
      </c>
      <c r="Z8" s="1155" t="s">
        <v>3696</v>
      </c>
      <c r="AA8" s="1155" t="s">
        <v>3696</v>
      </c>
      <c r="AB8" s="1155" t="s">
        <v>3772</v>
      </c>
      <c r="AC8" s="1155" t="s">
        <v>3742</v>
      </c>
      <c r="AD8" s="1155" t="s">
        <v>3670</v>
      </c>
      <c r="AE8" s="1155">
        <v>0.25</v>
      </c>
      <c r="AF8" s="1155">
        <v>45</v>
      </c>
      <c r="AG8" s="1155" t="s">
        <v>3677</v>
      </c>
      <c r="AH8" s="1155" t="s">
        <v>3773</v>
      </c>
      <c r="AI8" s="1155" t="s">
        <v>3774</v>
      </c>
      <c r="AJ8" s="1155" t="s">
        <v>3775</v>
      </c>
      <c r="AK8" s="1155" t="s">
        <v>3776</v>
      </c>
      <c r="AL8" s="1155" t="s">
        <v>3680</v>
      </c>
      <c r="AM8" s="1155" t="s">
        <v>3701</v>
      </c>
      <c r="AN8" s="1155" t="s">
        <v>3747</v>
      </c>
      <c r="AO8" s="1155" t="s">
        <v>3748</v>
      </c>
      <c r="AP8" s="1155" t="s">
        <v>3749</v>
      </c>
      <c r="AQ8" s="1155" t="s">
        <v>3670</v>
      </c>
      <c r="AR8" s="1155">
        <v>162000</v>
      </c>
      <c r="AS8" s="1155">
        <v>33000</v>
      </c>
      <c r="AT8" s="1155" t="s">
        <v>3777</v>
      </c>
      <c r="AU8" s="1155">
        <v>35596.75</v>
      </c>
      <c r="AV8" s="1155">
        <v>2373.12</v>
      </c>
      <c r="AW8" s="1155">
        <v>14239</v>
      </c>
      <c r="AX8" s="1155" t="s">
        <v>3670</v>
      </c>
      <c r="AY8" s="1155">
        <v>18198</v>
      </c>
      <c r="AZ8" s="1155">
        <v>15</v>
      </c>
      <c r="BA8" s="1155">
        <v>186300</v>
      </c>
      <c r="BB8" s="1155" t="s">
        <v>3778</v>
      </c>
      <c r="BC8" s="1155">
        <v>45000</v>
      </c>
      <c r="BD8" s="1155">
        <v>45000</v>
      </c>
      <c r="BE8" s="1155">
        <v>16375</v>
      </c>
      <c r="BF8" s="1155">
        <v>15</v>
      </c>
      <c r="BG8" s="1155">
        <v>26802</v>
      </c>
      <c r="BH8" s="1155" t="s">
        <v>3706</v>
      </c>
      <c r="BI8" s="1155" t="s">
        <v>3779</v>
      </c>
      <c r="BJ8" s="1155" t="s">
        <v>3485</v>
      </c>
      <c r="BK8" s="1155" t="s">
        <v>3670</v>
      </c>
      <c r="BL8" s="3178">
        <v>44558.000497685185</v>
      </c>
      <c r="BM8" s="1155">
        <v>186300</v>
      </c>
    </row>
    <row r="9" spans="1:65">
      <c r="A9" s="1155" t="s">
        <v>3780</v>
      </c>
      <c r="B9" s="1155" t="s">
        <v>3664</v>
      </c>
      <c r="C9" s="1155" t="s">
        <v>3469</v>
      </c>
      <c r="D9" s="1155" t="s">
        <v>3665</v>
      </c>
      <c r="E9" s="1155" t="s">
        <v>3781</v>
      </c>
      <c r="F9" s="1155" t="s">
        <v>3782</v>
      </c>
      <c r="G9" s="1155" t="s">
        <v>3782</v>
      </c>
      <c r="H9" s="1155" t="s">
        <v>3783</v>
      </c>
      <c r="I9" s="1155">
        <v>72250</v>
      </c>
      <c r="J9" s="1155">
        <v>79475</v>
      </c>
      <c r="K9" s="1155">
        <v>1.1000000000000001</v>
      </c>
      <c r="L9" s="1155" t="s">
        <v>3784</v>
      </c>
      <c r="M9" s="1155">
        <v>98300</v>
      </c>
      <c r="N9" s="1155">
        <v>13605.53</v>
      </c>
      <c r="O9" s="1155">
        <v>907.04</v>
      </c>
      <c r="P9" s="1155">
        <v>12369</v>
      </c>
      <c r="Q9" s="1155" t="s">
        <v>3769</v>
      </c>
      <c r="R9" s="1155" t="s">
        <v>3758</v>
      </c>
      <c r="S9" s="1155" t="s">
        <v>3670</v>
      </c>
      <c r="T9" s="1155" t="s">
        <v>3670</v>
      </c>
      <c r="U9" s="1155" t="s">
        <v>3670</v>
      </c>
      <c r="V9" s="1155" t="s">
        <v>3670</v>
      </c>
      <c r="W9" s="1155">
        <v>0</v>
      </c>
      <c r="X9" s="1155">
        <v>0</v>
      </c>
      <c r="Y9" s="1155" t="s">
        <v>3671</v>
      </c>
      <c r="Z9" s="1155" t="s">
        <v>3696</v>
      </c>
      <c r="AA9" s="1155" t="s">
        <v>3696</v>
      </c>
      <c r="AB9" s="1155" t="s">
        <v>3715</v>
      </c>
      <c r="AC9" s="1155" t="s">
        <v>3785</v>
      </c>
      <c r="AD9" s="1155" t="s">
        <v>3670</v>
      </c>
      <c r="AE9" s="1155" t="s">
        <v>3670</v>
      </c>
      <c r="AF9" s="1155" t="s">
        <v>3670</v>
      </c>
      <c r="AG9" s="1155" t="s">
        <v>3677</v>
      </c>
      <c r="AH9" s="1155" t="s">
        <v>3786</v>
      </c>
      <c r="AI9" s="1155" t="s">
        <v>3787</v>
      </c>
      <c r="AJ9" s="1155" t="s">
        <v>3788</v>
      </c>
      <c r="AK9" s="1155" t="s">
        <v>3784</v>
      </c>
      <c r="AL9" s="1155" t="s">
        <v>3680</v>
      </c>
      <c r="AM9" s="1155" t="s">
        <v>3681</v>
      </c>
      <c r="AN9" s="1155" t="s">
        <v>3702</v>
      </c>
      <c r="AO9" s="1155" t="s">
        <v>3703</v>
      </c>
      <c r="AP9" s="1155" t="s">
        <v>3684</v>
      </c>
      <c r="AQ9" s="1155" t="s">
        <v>3685</v>
      </c>
      <c r="AR9" s="1155">
        <v>98300</v>
      </c>
      <c r="AS9" s="1155">
        <v>20000</v>
      </c>
      <c r="AT9" s="1155" t="s">
        <v>3789</v>
      </c>
      <c r="AU9" s="1155">
        <v>13605.53</v>
      </c>
      <c r="AV9" s="1155">
        <v>907.04</v>
      </c>
      <c r="AW9" s="1155">
        <v>12369</v>
      </c>
      <c r="AX9" s="1155" t="s">
        <v>3670</v>
      </c>
      <c r="AY9" s="1155" t="s">
        <v>3670</v>
      </c>
      <c r="AZ9" s="1155">
        <v>0</v>
      </c>
      <c r="BA9" s="1155">
        <v>103215</v>
      </c>
      <c r="BB9" s="1155" t="s">
        <v>3705</v>
      </c>
      <c r="BC9" s="1155">
        <v>27000</v>
      </c>
      <c r="BD9" s="1155">
        <v>27000</v>
      </c>
      <c r="BE9" s="1155">
        <v>12987</v>
      </c>
      <c r="BF9" s="1155">
        <v>5</v>
      </c>
      <c r="BG9" s="1155">
        <v>14631</v>
      </c>
      <c r="BH9" s="1155" t="s">
        <v>3790</v>
      </c>
      <c r="BI9" s="1155" t="s">
        <v>3670</v>
      </c>
      <c r="BJ9" s="1155" t="s">
        <v>3485</v>
      </c>
      <c r="BK9" s="1155" t="s">
        <v>3670</v>
      </c>
      <c r="BL9" s="3178">
        <v>44483.000497685185</v>
      </c>
      <c r="BM9" s="1155">
        <v>98300</v>
      </c>
    </row>
    <row r="10" spans="1:65">
      <c r="A10" s="1155" t="s">
        <v>3791</v>
      </c>
      <c r="B10" s="1155" t="s">
        <v>3664</v>
      </c>
      <c r="C10" s="1155" t="s">
        <v>3469</v>
      </c>
      <c r="D10" s="1155" t="s">
        <v>3665</v>
      </c>
      <c r="E10" s="1155" t="s">
        <v>3792</v>
      </c>
      <c r="F10" s="1155" t="s">
        <v>3793</v>
      </c>
      <c r="G10" s="1155" t="s">
        <v>3793</v>
      </c>
      <c r="H10" s="1155" t="s">
        <v>3708</v>
      </c>
      <c r="I10" s="1155">
        <v>47054</v>
      </c>
      <c r="J10" s="1155">
        <v>112930</v>
      </c>
      <c r="K10" s="1155">
        <v>2.4</v>
      </c>
      <c r="L10" s="1155" t="s">
        <v>3794</v>
      </c>
      <c r="M10" s="1155">
        <v>400000</v>
      </c>
      <c r="N10" s="1155">
        <v>85008.71</v>
      </c>
      <c r="O10" s="1155">
        <v>5667.25</v>
      </c>
      <c r="P10" s="1155">
        <v>35420</v>
      </c>
      <c r="Q10" s="1155" t="s">
        <v>3795</v>
      </c>
      <c r="R10" s="1155" t="s">
        <v>3728</v>
      </c>
      <c r="S10" s="1155" t="s">
        <v>3670</v>
      </c>
      <c r="T10" s="1155" t="s">
        <v>3670</v>
      </c>
      <c r="U10" s="1155" t="s">
        <v>3670</v>
      </c>
      <c r="V10" s="1155" t="s">
        <v>3670</v>
      </c>
      <c r="W10" s="1155">
        <v>0</v>
      </c>
      <c r="X10" s="1155">
        <v>0</v>
      </c>
      <c r="Y10" s="1155" t="s">
        <v>3671</v>
      </c>
      <c r="Z10" s="1155" t="s">
        <v>3696</v>
      </c>
      <c r="AA10" s="1155" t="s">
        <v>3696</v>
      </c>
      <c r="AB10" s="1155" t="s">
        <v>3796</v>
      </c>
      <c r="AC10" s="1155" t="s">
        <v>3797</v>
      </c>
      <c r="AD10" s="1155" t="s">
        <v>3670</v>
      </c>
      <c r="AE10" s="1155" t="s">
        <v>3798</v>
      </c>
      <c r="AF10" s="1155" t="s">
        <v>3799</v>
      </c>
      <c r="AG10" s="1155" t="s">
        <v>3677</v>
      </c>
      <c r="AH10" s="1155" t="s">
        <v>3670</v>
      </c>
      <c r="AI10" s="1155" t="s">
        <v>3800</v>
      </c>
      <c r="AJ10" s="1155" t="s">
        <v>3801</v>
      </c>
      <c r="AK10" s="1155" t="s">
        <v>3794</v>
      </c>
      <c r="AL10" s="1155" t="s">
        <v>3680</v>
      </c>
      <c r="AM10" s="1155" t="s">
        <v>3701</v>
      </c>
      <c r="AN10" s="1155" t="s">
        <v>3802</v>
      </c>
      <c r="AO10" s="1155" t="s">
        <v>3803</v>
      </c>
      <c r="AP10" s="1155" t="s">
        <v>3749</v>
      </c>
      <c r="AQ10" s="1155" t="s">
        <v>3670</v>
      </c>
      <c r="AR10" s="1155">
        <v>283000</v>
      </c>
      <c r="AS10" s="1155">
        <v>56600</v>
      </c>
      <c r="AT10" s="1155" t="s">
        <v>3804</v>
      </c>
      <c r="AU10" s="1155">
        <v>60143.66</v>
      </c>
      <c r="AV10" s="1155">
        <v>4009.58</v>
      </c>
      <c r="AW10" s="1155">
        <v>25060</v>
      </c>
      <c r="AX10" s="1155" t="s">
        <v>3670</v>
      </c>
      <c r="AY10" s="1155" t="s">
        <v>3670</v>
      </c>
      <c r="AZ10" s="1155">
        <v>41.34</v>
      </c>
      <c r="BA10" s="1155" t="s">
        <v>3670</v>
      </c>
      <c r="BB10" s="1155" t="s">
        <v>3670</v>
      </c>
      <c r="BC10" s="1155" t="s">
        <v>3670</v>
      </c>
      <c r="BD10" s="1155" t="s">
        <v>3670</v>
      </c>
      <c r="BE10" s="1155" t="s">
        <v>3670</v>
      </c>
      <c r="BF10" s="1155" t="s">
        <v>3670</v>
      </c>
      <c r="BG10" s="1155" t="s">
        <v>3670</v>
      </c>
      <c r="BH10" s="1155" t="s">
        <v>3706</v>
      </c>
      <c r="BI10" s="1155" t="s">
        <v>3805</v>
      </c>
      <c r="BJ10" s="1155" t="s">
        <v>3485</v>
      </c>
      <c r="BK10" s="1155" t="s">
        <v>3670</v>
      </c>
      <c r="BL10" s="1155" t="s">
        <v>3670</v>
      </c>
      <c r="BM10" s="1155" t="s">
        <v>3670</v>
      </c>
    </row>
    <row r="11" spans="1:65">
      <c r="A11" s="1155" t="s">
        <v>3806</v>
      </c>
      <c r="B11" s="1155" t="s">
        <v>3664</v>
      </c>
      <c r="C11" s="1155" t="s">
        <v>3469</v>
      </c>
      <c r="D11" s="1155" t="s">
        <v>3665</v>
      </c>
      <c r="E11" s="1155" t="s">
        <v>3753</v>
      </c>
      <c r="F11" s="1155" t="s">
        <v>3807</v>
      </c>
      <c r="G11" s="1155" t="s">
        <v>3807</v>
      </c>
      <c r="H11" s="1155" t="s">
        <v>3755</v>
      </c>
      <c r="I11" s="1155">
        <v>87651.29</v>
      </c>
      <c r="J11" s="1155">
        <v>140242</v>
      </c>
      <c r="K11" s="1155">
        <v>1.6</v>
      </c>
      <c r="L11" s="1155" t="s">
        <v>3808</v>
      </c>
      <c r="M11" s="1155">
        <v>265000</v>
      </c>
      <c r="N11" s="1155">
        <v>30233.439999999999</v>
      </c>
      <c r="O11" s="1155">
        <v>2015.56</v>
      </c>
      <c r="P11" s="1155">
        <v>18896</v>
      </c>
      <c r="Q11" s="1155" t="s">
        <v>3809</v>
      </c>
      <c r="R11" s="1155" t="s">
        <v>3741</v>
      </c>
      <c r="S11" s="1155" t="s">
        <v>3810</v>
      </c>
      <c r="T11" s="1155" t="s">
        <v>3670</v>
      </c>
      <c r="U11" s="1155" t="s">
        <v>3670</v>
      </c>
      <c r="V11" s="1155" t="s">
        <v>3670</v>
      </c>
      <c r="W11" s="1155">
        <v>31882</v>
      </c>
      <c r="X11" s="1155">
        <v>31882</v>
      </c>
      <c r="Y11" s="1155" t="s">
        <v>3671</v>
      </c>
      <c r="Z11" s="1155" t="s">
        <v>3696</v>
      </c>
      <c r="AA11" s="1155" t="s">
        <v>3696</v>
      </c>
      <c r="AB11" s="1155" t="s">
        <v>3796</v>
      </c>
      <c r="AC11" s="1155" t="s">
        <v>3811</v>
      </c>
      <c r="AD11" s="1155" t="s">
        <v>3670</v>
      </c>
      <c r="AE11" s="1155" t="s">
        <v>3798</v>
      </c>
      <c r="AF11" s="1155" t="s">
        <v>3812</v>
      </c>
      <c r="AG11" s="1155" t="s">
        <v>3677</v>
      </c>
      <c r="AH11" s="1155" t="s">
        <v>3670</v>
      </c>
      <c r="AI11" s="1155" t="s">
        <v>3813</v>
      </c>
      <c r="AJ11" s="1155" t="s">
        <v>3814</v>
      </c>
      <c r="AK11" s="1155" t="s">
        <v>3808</v>
      </c>
      <c r="AL11" s="1155" t="s">
        <v>3680</v>
      </c>
      <c r="AM11" s="1155" t="s">
        <v>3701</v>
      </c>
      <c r="AN11" s="1155" t="s">
        <v>3815</v>
      </c>
      <c r="AO11" s="1155" t="s">
        <v>3748</v>
      </c>
      <c r="AP11" s="1155" t="s">
        <v>3749</v>
      </c>
      <c r="AQ11" s="1155" t="s">
        <v>3670</v>
      </c>
      <c r="AR11" s="1155">
        <v>201600</v>
      </c>
      <c r="AS11" s="1155">
        <v>41000</v>
      </c>
      <c r="AT11" s="1155" t="s">
        <v>3816</v>
      </c>
      <c r="AU11" s="1155">
        <v>23000.23</v>
      </c>
      <c r="AV11" s="1155">
        <v>1533.35</v>
      </c>
      <c r="AW11" s="1155">
        <v>14375</v>
      </c>
      <c r="AX11" s="1155" t="s">
        <v>3670</v>
      </c>
      <c r="AY11" s="1155" t="s">
        <v>3670</v>
      </c>
      <c r="AZ11" s="1155">
        <v>31.45</v>
      </c>
      <c r="BA11" s="1155" t="s">
        <v>3670</v>
      </c>
      <c r="BB11" s="1155" t="s">
        <v>3670</v>
      </c>
      <c r="BC11" s="1155" t="s">
        <v>3670</v>
      </c>
      <c r="BD11" s="1155">
        <v>28000</v>
      </c>
      <c r="BE11" s="1155" t="s">
        <v>3670</v>
      </c>
      <c r="BF11" s="1155" t="s">
        <v>3670</v>
      </c>
      <c r="BG11" s="1155">
        <v>9105</v>
      </c>
      <c r="BH11" s="1155" t="s">
        <v>3706</v>
      </c>
      <c r="BI11" s="1155" t="s">
        <v>3817</v>
      </c>
      <c r="BJ11" s="1155" t="s">
        <v>3485</v>
      </c>
      <c r="BK11" s="1155" t="s">
        <v>3670</v>
      </c>
      <c r="BL11" s="1155" t="s">
        <v>3670</v>
      </c>
      <c r="BM11" s="1155" t="s">
        <v>3670</v>
      </c>
    </row>
    <row r="12" spans="1:65">
      <c r="A12" s="1155" t="s">
        <v>3818</v>
      </c>
      <c r="B12" s="1155" t="s">
        <v>3664</v>
      </c>
      <c r="C12" s="1155" t="s">
        <v>3469</v>
      </c>
      <c r="D12" s="1155" t="s">
        <v>3665</v>
      </c>
      <c r="E12" s="1155" t="s">
        <v>3819</v>
      </c>
      <c r="F12" s="1155" t="s">
        <v>3820</v>
      </c>
      <c r="G12" s="1155" t="s">
        <v>3820</v>
      </c>
      <c r="H12" s="1155" t="s">
        <v>3821</v>
      </c>
      <c r="I12" s="1155">
        <v>47849.94</v>
      </c>
      <c r="J12" s="1155">
        <v>76560</v>
      </c>
      <c r="K12" s="1155">
        <v>1.6</v>
      </c>
      <c r="L12" s="1155" t="s">
        <v>3822</v>
      </c>
      <c r="M12" s="1155">
        <v>175000</v>
      </c>
      <c r="N12" s="1155">
        <v>36572.660000000003</v>
      </c>
      <c r="O12" s="1155">
        <v>2438.1799999999998</v>
      </c>
      <c r="P12" s="1155">
        <v>22858</v>
      </c>
      <c r="Q12" s="1155" t="s">
        <v>3823</v>
      </c>
      <c r="R12" s="1155" t="s">
        <v>3824</v>
      </c>
      <c r="S12" s="1155" t="s">
        <v>3670</v>
      </c>
      <c r="T12" s="1155" t="s">
        <v>3670</v>
      </c>
      <c r="U12" s="1155">
        <v>0</v>
      </c>
      <c r="V12" s="1155">
        <v>0</v>
      </c>
      <c r="W12" s="1155">
        <v>0</v>
      </c>
      <c r="X12" s="1155">
        <v>0</v>
      </c>
      <c r="Y12" s="1155" t="s">
        <v>3671</v>
      </c>
      <c r="Z12" s="1155" t="s">
        <v>3696</v>
      </c>
      <c r="AA12" s="1155" t="s">
        <v>3696</v>
      </c>
      <c r="AB12" s="1155" t="s">
        <v>3825</v>
      </c>
      <c r="AC12" s="1155" t="s">
        <v>3759</v>
      </c>
      <c r="AD12" s="1155" t="s">
        <v>3670</v>
      </c>
      <c r="AE12" s="1155" t="s">
        <v>3826</v>
      </c>
      <c r="AF12" s="1155" t="s">
        <v>3827</v>
      </c>
      <c r="AG12" s="1155" t="s">
        <v>3677</v>
      </c>
      <c r="AH12" s="1155" t="s">
        <v>3670</v>
      </c>
      <c r="AI12" s="1155" t="s">
        <v>3828</v>
      </c>
      <c r="AJ12" s="1155" t="s">
        <v>3829</v>
      </c>
      <c r="AK12" s="1155" t="s">
        <v>3822</v>
      </c>
      <c r="AL12" s="1155" t="s">
        <v>3680</v>
      </c>
      <c r="AM12" s="1155" t="s">
        <v>3830</v>
      </c>
      <c r="AN12" s="1155" t="s">
        <v>3831</v>
      </c>
      <c r="AO12" s="1155" t="s">
        <v>3832</v>
      </c>
      <c r="AP12" s="1155" t="s">
        <v>3833</v>
      </c>
      <c r="AQ12" s="1155" t="s">
        <v>3670</v>
      </c>
      <c r="AR12" s="1155">
        <v>124000</v>
      </c>
      <c r="AS12" s="1155">
        <v>37000</v>
      </c>
      <c r="AT12" s="1155" t="s">
        <v>3834</v>
      </c>
      <c r="AU12" s="1155">
        <v>25914.34</v>
      </c>
      <c r="AV12" s="1155">
        <v>1727.62</v>
      </c>
      <c r="AW12" s="1155">
        <v>16196</v>
      </c>
      <c r="AX12" s="1155" t="s">
        <v>3670</v>
      </c>
      <c r="AY12" s="1155" t="s">
        <v>3670</v>
      </c>
      <c r="AZ12" s="1155">
        <v>41.13</v>
      </c>
      <c r="BA12" s="1155" t="s">
        <v>3670</v>
      </c>
      <c r="BB12" s="1155" t="s">
        <v>3670</v>
      </c>
      <c r="BC12" s="1155" t="s">
        <v>3670</v>
      </c>
      <c r="BD12" s="1155">
        <v>37245</v>
      </c>
      <c r="BE12" s="1155" t="s">
        <v>3670</v>
      </c>
      <c r="BF12" s="1155" t="s">
        <v>3670</v>
      </c>
      <c r="BG12" s="1155">
        <v>14388</v>
      </c>
      <c r="BH12" s="1155" t="s">
        <v>3721</v>
      </c>
      <c r="BI12" s="1155" t="s">
        <v>3835</v>
      </c>
      <c r="BJ12" s="1155" t="s">
        <v>3485</v>
      </c>
      <c r="BK12" s="1155" t="s">
        <v>3670</v>
      </c>
      <c r="BL12" s="1155" t="s">
        <v>3670</v>
      </c>
      <c r="BM12" s="1155" t="s">
        <v>3670</v>
      </c>
    </row>
    <row r="13" spans="1:65">
      <c r="A13" s="1155" t="s">
        <v>3836</v>
      </c>
      <c r="B13" s="1155" t="s">
        <v>3664</v>
      </c>
      <c r="C13" s="1155" t="s">
        <v>3469</v>
      </c>
      <c r="D13" s="1155" t="s">
        <v>3665</v>
      </c>
      <c r="E13" s="1155" t="s">
        <v>3724</v>
      </c>
      <c r="F13" s="1155" t="s">
        <v>3837</v>
      </c>
      <c r="G13" s="1155" t="s">
        <v>3837</v>
      </c>
      <c r="H13" s="1155" t="s">
        <v>3838</v>
      </c>
      <c r="I13" s="1155">
        <v>89116.67</v>
      </c>
      <c r="J13" s="1155">
        <v>133675</v>
      </c>
      <c r="K13" s="1155">
        <v>1.5</v>
      </c>
      <c r="L13" s="1155" t="s">
        <v>3839</v>
      </c>
      <c r="M13" s="1155">
        <v>172000</v>
      </c>
      <c r="N13" s="1155">
        <v>19300.54</v>
      </c>
      <c r="O13" s="1155">
        <v>1286.7</v>
      </c>
      <c r="P13" s="1155">
        <v>12867</v>
      </c>
      <c r="Q13" s="1155" t="s">
        <v>3823</v>
      </c>
      <c r="R13" s="1155" t="s">
        <v>3840</v>
      </c>
      <c r="S13" s="1155" t="s">
        <v>3841</v>
      </c>
      <c r="T13" s="1155" t="s">
        <v>3670</v>
      </c>
      <c r="U13" s="1155">
        <v>0</v>
      </c>
      <c r="V13" s="1155">
        <v>0</v>
      </c>
      <c r="W13" s="1155">
        <v>0</v>
      </c>
      <c r="X13" s="1155">
        <v>0</v>
      </c>
      <c r="Y13" s="1155" t="s">
        <v>3671</v>
      </c>
      <c r="Z13" s="1155" t="s">
        <v>3696</v>
      </c>
      <c r="AA13" s="1155" t="s">
        <v>3696</v>
      </c>
      <c r="AB13" s="1155" t="s">
        <v>3825</v>
      </c>
      <c r="AC13" s="1155" t="s">
        <v>3716</v>
      </c>
      <c r="AD13" s="1155" t="s">
        <v>3670</v>
      </c>
      <c r="AE13" s="1155">
        <v>0.3</v>
      </c>
      <c r="AF13" s="1155">
        <v>18</v>
      </c>
      <c r="AG13" s="1155" t="s">
        <v>3677</v>
      </c>
      <c r="AH13" s="1155" t="s">
        <v>3670</v>
      </c>
      <c r="AI13" s="1155" t="s">
        <v>3842</v>
      </c>
      <c r="AJ13" s="1155" t="s">
        <v>3843</v>
      </c>
      <c r="AK13" s="1155" t="s">
        <v>3839</v>
      </c>
      <c r="AL13" s="1155" t="s">
        <v>3680</v>
      </c>
      <c r="AM13" s="1155" t="s">
        <v>3830</v>
      </c>
      <c r="AN13" s="1155" t="s">
        <v>3844</v>
      </c>
      <c r="AO13" s="1155" t="s">
        <v>3845</v>
      </c>
      <c r="AP13" s="1155" t="s">
        <v>3833</v>
      </c>
      <c r="AQ13" s="1155" t="s">
        <v>3670</v>
      </c>
      <c r="AR13" s="1155">
        <v>115000</v>
      </c>
      <c r="AS13" s="1155">
        <v>35000</v>
      </c>
      <c r="AT13" s="1155" t="s">
        <v>3846</v>
      </c>
      <c r="AU13" s="1155">
        <v>12904.43</v>
      </c>
      <c r="AV13" s="1155">
        <v>860.3</v>
      </c>
      <c r="AW13" s="1155">
        <v>8603</v>
      </c>
      <c r="AX13" s="1155" t="s">
        <v>3670</v>
      </c>
      <c r="AY13" s="1155" t="s">
        <v>3670</v>
      </c>
      <c r="AZ13" s="1155">
        <v>49.57</v>
      </c>
      <c r="BA13" s="1155">
        <v>172000</v>
      </c>
      <c r="BB13" s="1155" t="s">
        <v>3778</v>
      </c>
      <c r="BC13" s="1155" t="s">
        <v>3670</v>
      </c>
      <c r="BD13" s="1155">
        <v>22434</v>
      </c>
      <c r="BE13" s="1155">
        <v>12867</v>
      </c>
      <c r="BF13" s="1155">
        <v>49.57</v>
      </c>
      <c r="BG13" s="1155">
        <v>989</v>
      </c>
      <c r="BH13" s="1155" t="s">
        <v>3734</v>
      </c>
      <c r="BI13" s="1155" t="s">
        <v>3847</v>
      </c>
      <c r="BJ13" s="1155" t="s">
        <v>3485</v>
      </c>
      <c r="BK13" s="1155" t="s">
        <v>3670</v>
      </c>
      <c r="BL13" s="1155" t="s">
        <v>3670</v>
      </c>
      <c r="BM13" s="1155" t="s">
        <v>3670</v>
      </c>
    </row>
    <row r="14" spans="1:65">
      <c r="A14" s="1155" t="s">
        <v>3848</v>
      </c>
      <c r="B14" s="1155" t="s">
        <v>3664</v>
      </c>
      <c r="C14" s="1155" t="s">
        <v>3469</v>
      </c>
      <c r="D14" s="1155" t="s">
        <v>3665</v>
      </c>
      <c r="E14" s="1155" t="s">
        <v>3849</v>
      </c>
      <c r="F14" s="1155" t="s">
        <v>3850</v>
      </c>
      <c r="G14" s="1155" t="s">
        <v>3850</v>
      </c>
      <c r="H14" s="1155" t="s">
        <v>3851</v>
      </c>
      <c r="I14" s="1155">
        <v>70466</v>
      </c>
      <c r="J14" s="1155">
        <v>98652</v>
      </c>
      <c r="K14" s="1155">
        <v>1.4</v>
      </c>
      <c r="L14" s="1155" t="s">
        <v>3852</v>
      </c>
      <c r="M14" s="1155">
        <v>81500</v>
      </c>
      <c r="N14" s="1155">
        <v>11565.86</v>
      </c>
      <c r="O14" s="1155">
        <v>771.06</v>
      </c>
      <c r="P14" s="1155">
        <v>8261</v>
      </c>
      <c r="Q14" s="1155" t="s">
        <v>3853</v>
      </c>
      <c r="R14" s="1155" t="s">
        <v>3853</v>
      </c>
      <c r="S14" s="1155" t="s">
        <v>3810</v>
      </c>
      <c r="T14" s="1155" t="s">
        <v>3854</v>
      </c>
      <c r="U14" s="1155">
        <v>0</v>
      </c>
      <c r="V14" s="1155">
        <v>0</v>
      </c>
      <c r="W14" s="1155">
        <v>98652</v>
      </c>
      <c r="X14" s="1155">
        <v>98652</v>
      </c>
      <c r="Y14" s="1155" t="s">
        <v>3671</v>
      </c>
      <c r="Z14" s="1155" t="s">
        <v>3696</v>
      </c>
      <c r="AA14" s="1155" t="s">
        <v>3696</v>
      </c>
      <c r="AB14" s="1155" t="s">
        <v>3825</v>
      </c>
      <c r="AC14" s="1155" t="s">
        <v>3855</v>
      </c>
      <c r="AD14" s="1155" t="s">
        <v>3670</v>
      </c>
      <c r="AE14" s="1155" t="s">
        <v>3670</v>
      </c>
      <c r="AF14" s="1155" t="s">
        <v>3670</v>
      </c>
      <c r="AG14" s="1155" t="s">
        <v>3677</v>
      </c>
      <c r="AH14" s="1155" t="s">
        <v>3670</v>
      </c>
      <c r="AI14" s="1155" t="s">
        <v>3856</v>
      </c>
      <c r="AJ14" s="1155" t="s">
        <v>3857</v>
      </c>
      <c r="AK14" s="1155" t="s">
        <v>3852</v>
      </c>
      <c r="AL14" s="1155" t="s">
        <v>3680</v>
      </c>
      <c r="AM14" s="1155" t="s">
        <v>3830</v>
      </c>
      <c r="AN14" s="1155" t="s">
        <v>3858</v>
      </c>
      <c r="AO14" s="1155" t="s">
        <v>3670</v>
      </c>
      <c r="AP14" s="1155" t="s">
        <v>3670</v>
      </c>
      <c r="AQ14" s="1155" t="s">
        <v>3670</v>
      </c>
      <c r="AR14" s="1155">
        <v>60000</v>
      </c>
      <c r="AS14" s="1155">
        <v>18000</v>
      </c>
      <c r="AT14" s="1155" t="s">
        <v>3859</v>
      </c>
      <c r="AU14" s="1155">
        <v>8514.74</v>
      </c>
      <c r="AV14" s="1155">
        <v>567.65</v>
      </c>
      <c r="AW14" s="1155">
        <v>6082</v>
      </c>
      <c r="AX14" s="1155" t="s">
        <v>3670</v>
      </c>
      <c r="AY14" s="1155" t="s">
        <v>3670</v>
      </c>
      <c r="AZ14" s="1155">
        <v>35.83</v>
      </c>
      <c r="BA14" s="1155" t="s">
        <v>3670</v>
      </c>
      <c r="BB14" s="1155" t="s">
        <v>3670</v>
      </c>
      <c r="BC14" s="1155" t="s">
        <v>3670</v>
      </c>
      <c r="BD14" s="1155">
        <v>13500</v>
      </c>
      <c r="BE14" s="1155" t="s">
        <v>3670</v>
      </c>
      <c r="BF14" s="1155" t="s">
        <v>3670</v>
      </c>
      <c r="BG14" s="1155">
        <v>5239</v>
      </c>
      <c r="BH14" s="1155" t="s">
        <v>3734</v>
      </c>
      <c r="BI14" s="1155" t="s">
        <v>3860</v>
      </c>
      <c r="BJ14" s="1155" t="s">
        <v>3485</v>
      </c>
      <c r="BK14" s="1155" t="s">
        <v>3670</v>
      </c>
      <c r="BL14" s="1155" t="s">
        <v>3670</v>
      </c>
      <c r="BM14" s="1155" t="s">
        <v>3670</v>
      </c>
    </row>
    <row r="15" spans="1:65">
      <c r="A15" s="1155" t="s">
        <v>3861</v>
      </c>
      <c r="B15" s="1155" t="s">
        <v>3664</v>
      </c>
      <c r="C15" s="1155" t="s">
        <v>3469</v>
      </c>
      <c r="D15" s="1155" t="s">
        <v>3665</v>
      </c>
      <c r="E15" s="1155" t="s">
        <v>3710</v>
      </c>
      <c r="F15" s="1155" t="s">
        <v>3862</v>
      </c>
      <c r="G15" s="1155" t="s">
        <v>3862</v>
      </c>
      <c r="H15" s="1155" t="s">
        <v>3712</v>
      </c>
      <c r="I15" s="1155">
        <v>74250</v>
      </c>
      <c r="J15" s="1155">
        <v>111375</v>
      </c>
      <c r="K15" s="1155">
        <v>1.5</v>
      </c>
      <c r="L15" s="1155" t="s">
        <v>3863</v>
      </c>
      <c r="M15" s="1155">
        <v>63000</v>
      </c>
      <c r="N15" s="1155">
        <v>8484.84</v>
      </c>
      <c r="O15" s="1155">
        <v>565.66</v>
      </c>
      <c r="P15" s="1155">
        <v>5657</v>
      </c>
      <c r="Q15" s="1155" t="s">
        <v>3670</v>
      </c>
      <c r="R15" s="1155" t="s">
        <v>3670</v>
      </c>
      <c r="S15" s="1155" t="s">
        <v>3670</v>
      </c>
      <c r="T15" s="1155" t="s">
        <v>3864</v>
      </c>
      <c r="U15" s="1155" t="s">
        <v>3670</v>
      </c>
      <c r="V15" s="1155" t="s">
        <v>3670</v>
      </c>
      <c r="W15" s="1155">
        <v>0</v>
      </c>
      <c r="X15" s="1155">
        <v>0</v>
      </c>
      <c r="Y15" s="1155" t="s">
        <v>3671</v>
      </c>
      <c r="Z15" s="1155" t="s">
        <v>3696</v>
      </c>
      <c r="AA15" s="1155" t="s">
        <v>3696</v>
      </c>
      <c r="AB15" s="1155" t="s">
        <v>3865</v>
      </c>
      <c r="AC15" s="1155" t="s">
        <v>3716</v>
      </c>
      <c r="AD15" s="1155" t="s">
        <v>3670</v>
      </c>
      <c r="AE15" s="1155" t="s">
        <v>3670</v>
      </c>
      <c r="AF15" s="1155" t="s">
        <v>3670</v>
      </c>
      <c r="AG15" s="1155" t="s">
        <v>3677</v>
      </c>
      <c r="AH15" s="1155" t="s">
        <v>3670</v>
      </c>
      <c r="AI15" s="1155" t="s">
        <v>3866</v>
      </c>
      <c r="AJ15" s="1155" t="s">
        <v>3867</v>
      </c>
      <c r="AK15" s="1155" t="s">
        <v>3863</v>
      </c>
      <c r="AL15" s="1155" t="s">
        <v>3680</v>
      </c>
      <c r="AM15" s="1155" t="s">
        <v>3830</v>
      </c>
      <c r="AN15" s="1155" t="s">
        <v>3868</v>
      </c>
      <c r="AO15" s="1155" t="s">
        <v>3670</v>
      </c>
      <c r="AP15" s="1155" t="s">
        <v>3670</v>
      </c>
      <c r="AQ15" s="1155" t="s">
        <v>3670</v>
      </c>
      <c r="AR15" s="1155">
        <v>42000</v>
      </c>
      <c r="AS15" s="1155">
        <v>13000</v>
      </c>
      <c r="AT15" s="1155" t="s">
        <v>3670</v>
      </c>
      <c r="AU15" s="1155">
        <v>5656.56</v>
      </c>
      <c r="AV15" s="1155">
        <v>377.1</v>
      </c>
      <c r="AW15" s="1155">
        <v>3771</v>
      </c>
      <c r="AX15" s="1155" t="s">
        <v>3670</v>
      </c>
      <c r="AY15" s="1155" t="s">
        <v>3670</v>
      </c>
      <c r="AZ15" s="1155">
        <v>50</v>
      </c>
      <c r="BA15" s="1155" t="s">
        <v>3670</v>
      </c>
      <c r="BB15" s="1155" t="s">
        <v>3670</v>
      </c>
      <c r="BC15" s="1155" t="s">
        <v>3670</v>
      </c>
      <c r="BD15" s="1155" t="s">
        <v>3670</v>
      </c>
      <c r="BE15" s="1155" t="s">
        <v>3670</v>
      </c>
      <c r="BF15" s="1155" t="s">
        <v>3670</v>
      </c>
      <c r="BG15" s="1155" t="s">
        <v>3670</v>
      </c>
      <c r="BH15" s="1155" t="s">
        <v>3721</v>
      </c>
      <c r="BI15" s="1155" t="s">
        <v>3670</v>
      </c>
      <c r="BJ15" s="1155" t="s">
        <v>3485</v>
      </c>
      <c r="BK15" s="1155" t="s">
        <v>3670</v>
      </c>
      <c r="BL15" s="1155" t="s">
        <v>3670</v>
      </c>
      <c r="BM15" s="1155" t="s">
        <v>3670</v>
      </c>
    </row>
    <row r="16" spans="1:65">
      <c r="A16" s="1155" t="s">
        <v>3869</v>
      </c>
      <c r="B16" s="1155" t="s">
        <v>3664</v>
      </c>
      <c r="C16" s="1155" t="s">
        <v>3469</v>
      </c>
      <c r="D16" s="1155" t="s">
        <v>3665</v>
      </c>
      <c r="E16" s="1155" t="s">
        <v>3710</v>
      </c>
      <c r="F16" s="1155" t="s">
        <v>3870</v>
      </c>
      <c r="G16" s="1155" t="s">
        <v>3870</v>
      </c>
      <c r="H16" s="1155" t="s">
        <v>3712</v>
      </c>
      <c r="I16" s="1155">
        <v>36056</v>
      </c>
      <c r="J16" s="1155">
        <v>54084</v>
      </c>
      <c r="K16" s="1155">
        <v>1.5</v>
      </c>
      <c r="L16" s="1155" t="s">
        <v>3863</v>
      </c>
      <c r="M16" s="1155">
        <v>14000</v>
      </c>
      <c r="N16" s="1155">
        <v>3882.84</v>
      </c>
      <c r="O16" s="1155">
        <v>258.86</v>
      </c>
      <c r="P16" s="1155">
        <v>2589</v>
      </c>
      <c r="Q16" s="1155" t="s">
        <v>3670</v>
      </c>
      <c r="R16" s="1155" t="s">
        <v>3670</v>
      </c>
      <c r="S16" s="1155" t="s">
        <v>3670</v>
      </c>
      <c r="T16" s="1155" t="s">
        <v>3670</v>
      </c>
      <c r="U16" s="1155" t="s">
        <v>3670</v>
      </c>
      <c r="V16" s="1155" t="s">
        <v>3670</v>
      </c>
      <c r="W16" s="1155">
        <v>0</v>
      </c>
      <c r="X16" s="1155">
        <v>0</v>
      </c>
      <c r="Y16" s="1155" t="s">
        <v>3671</v>
      </c>
      <c r="Z16" s="1155" t="s">
        <v>3696</v>
      </c>
      <c r="AA16" s="1155" t="s">
        <v>3696</v>
      </c>
      <c r="AB16" s="1155" t="s">
        <v>3865</v>
      </c>
      <c r="AC16" s="1155" t="s">
        <v>3716</v>
      </c>
      <c r="AD16" s="1155" t="s">
        <v>3670</v>
      </c>
      <c r="AE16" s="1155" t="s">
        <v>3670</v>
      </c>
      <c r="AF16" s="1155" t="s">
        <v>3670</v>
      </c>
      <c r="AG16" s="1155" t="s">
        <v>3677</v>
      </c>
      <c r="AH16" s="1155" t="s">
        <v>3670</v>
      </c>
      <c r="AI16" s="1155" t="s">
        <v>3866</v>
      </c>
      <c r="AJ16" s="1155" t="s">
        <v>3867</v>
      </c>
      <c r="AK16" s="1155" t="s">
        <v>3863</v>
      </c>
      <c r="AL16" s="1155" t="s">
        <v>3680</v>
      </c>
      <c r="AM16" s="1155" t="s">
        <v>3830</v>
      </c>
      <c r="AN16" s="1155" t="s">
        <v>3871</v>
      </c>
      <c r="AO16" s="1155" t="s">
        <v>3670</v>
      </c>
      <c r="AP16" s="1155" t="s">
        <v>3670</v>
      </c>
      <c r="AQ16" s="1155" t="s">
        <v>3670</v>
      </c>
      <c r="AR16" s="1155">
        <v>14000</v>
      </c>
      <c r="AS16" s="1155">
        <v>4000</v>
      </c>
      <c r="AT16" s="1155" t="s">
        <v>3670</v>
      </c>
      <c r="AU16" s="1155">
        <v>3882.84</v>
      </c>
      <c r="AV16" s="1155">
        <v>258.86</v>
      </c>
      <c r="AW16" s="1155">
        <v>2589</v>
      </c>
      <c r="AX16" s="1155" t="s">
        <v>3670</v>
      </c>
      <c r="AY16" s="1155" t="s">
        <v>3670</v>
      </c>
      <c r="AZ16" s="1155">
        <v>0</v>
      </c>
      <c r="BA16" s="1155" t="s">
        <v>3670</v>
      </c>
      <c r="BB16" s="1155" t="s">
        <v>3670</v>
      </c>
      <c r="BC16" s="1155" t="s">
        <v>3670</v>
      </c>
      <c r="BD16" s="1155" t="s">
        <v>3670</v>
      </c>
      <c r="BE16" s="1155" t="s">
        <v>3670</v>
      </c>
      <c r="BF16" s="1155" t="s">
        <v>3670</v>
      </c>
      <c r="BG16" s="1155" t="s">
        <v>3670</v>
      </c>
      <c r="BH16" s="1155" t="s">
        <v>3721</v>
      </c>
      <c r="BI16" s="1155" t="s">
        <v>3872</v>
      </c>
      <c r="BJ16" s="1155" t="s">
        <v>3485</v>
      </c>
      <c r="BK16" s="1155" t="s">
        <v>3670</v>
      </c>
      <c r="BL16" s="1155" t="s">
        <v>3670</v>
      </c>
      <c r="BM16" s="1155" t="s">
        <v>3670</v>
      </c>
    </row>
    <row r="17" spans="1:65">
      <c r="A17" s="1155" t="s">
        <v>3873</v>
      </c>
      <c r="B17" s="1155" t="s">
        <v>3664</v>
      </c>
      <c r="C17" s="1155" t="s">
        <v>3469</v>
      </c>
      <c r="D17" s="1155" t="s">
        <v>3665</v>
      </c>
      <c r="E17" s="1155" t="s">
        <v>3874</v>
      </c>
      <c r="F17" s="1155" t="s">
        <v>3875</v>
      </c>
      <c r="G17" s="1155" t="s">
        <v>3875</v>
      </c>
      <c r="H17" s="1155" t="s">
        <v>3876</v>
      </c>
      <c r="I17" s="1155">
        <v>60927</v>
      </c>
      <c r="J17" s="1155">
        <v>91391</v>
      </c>
      <c r="K17" s="1155">
        <v>1.5</v>
      </c>
      <c r="L17" s="1155" t="s">
        <v>3877</v>
      </c>
      <c r="M17" s="1155">
        <v>46000</v>
      </c>
      <c r="N17" s="1155">
        <v>7550.01</v>
      </c>
      <c r="O17" s="1155">
        <v>503.33</v>
      </c>
      <c r="P17" s="1155">
        <v>5033</v>
      </c>
      <c r="Q17" s="1155" t="s">
        <v>3670</v>
      </c>
      <c r="R17" s="1155" t="s">
        <v>3670</v>
      </c>
      <c r="S17" s="1155" t="s">
        <v>3670</v>
      </c>
      <c r="T17" s="1155" t="s">
        <v>3864</v>
      </c>
      <c r="U17" s="1155" t="s">
        <v>3670</v>
      </c>
      <c r="V17" s="1155" t="s">
        <v>3670</v>
      </c>
      <c r="W17" s="1155">
        <v>0</v>
      </c>
      <c r="X17" s="1155">
        <v>0</v>
      </c>
      <c r="Y17" s="1155" t="s">
        <v>3671</v>
      </c>
      <c r="Z17" s="1155" t="s">
        <v>3696</v>
      </c>
      <c r="AA17" s="1155" t="s">
        <v>3696</v>
      </c>
      <c r="AB17" s="1155" t="s">
        <v>3865</v>
      </c>
      <c r="AC17" s="1155" t="s">
        <v>3716</v>
      </c>
      <c r="AD17" s="1155" t="s">
        <v>3670</v>
      </c>
      <c r="AE17" s="1155" t="s">
        <v>3670</v>
      </c>
      <c r="AF17" s="1155" t="s">
        <v>3670</v>
      </c>
      <c r="AG17" s="1155" t="s">
        <v>3677</v>
      </c>
      <c r="AH17" s="1155" t="s">
        <v>3670</v>
      </c>
      <c r="AI17" s="1155" t="s">
        <v>3878</v>
      </c>
      <c r="AJ17" s="1155" t="s">
        <v>3879</v>
      </c>
      <c r="AK17" s="1155" t="s">
        <v>3877</v>
      </c>
      <c r="AL17" s="1155" t="s">
        <v>3680</v>
      </c>
      <c r="AM17" s="1155" t="s">
        <v>3830</v>
      </c>
      <c r="AN17" s="1155" t="s">
        <v>3880</v>
      </c>
      <c r="AO17" s="1155" t="s">
        <v>3703</v>
      </c>
      <c r="AP17" s="1155" t="s">
        <v>3684</v>
      </c>
      <c r="AQ17" s="1155" t="s">
        <v>3685</v>
      </c>
      <c r="AR17" s="1155">
        <v>31054</v>
      </c>
      <c r="AS17" s="1155">
        <v>9400</v>
      </c>
      <c r="AT17" s="1155" t="s">
        <v>3670</v>
      </c>
      <c r="AU17" s="1155">
        <v>5096.91</v>
      </c>
      <c r="AV17" s="1155">
        <v>339.79</v>
      </c>
      <c r="AW17" s="1155">
        <v>3398</v>
      </c>
      <c r="AX17" s="1155" t="s">
        <v>3670</v>
      </c>
      <c r="AY17" s="1155" t="s">
        <v>3670</v>
      </c>
      <c r="AZ17" s="1155">
        <v>48.13</v>
      </c>
      <c r="BA17" s="1155" t="s">
        <v>3670</v>
      </c>
      <c r="BB17" s="1155" t="s">
        <v>3670</v>
      </c>
      <c r="BC17" s="1155" t="s">
        <v>3670</v>
      </c>
      <c r="BD17" s="1155" t="s">
        <v>3670</v>
      </c>
      <c r="BE17" s="1155" t="s">
        <v>3670</v>
      </c>
      <c r="BF17" s="1155" t="s">
        <v>3670</v>
      </c>
      <c r="BG17" s="1155" t="s">
        <v>3670</v>
      </c>
      <c r="BH17" s="1155" t="s">
        <v>3721</v>
      </c>
      <c r="BI17" s="1155" t="s">
        <v>3881</v>
      </c>
      <c r="BJ17" s="1155" t="s">
        <v>3485</v>
      </c>
      <c r="BK17" s="1155" t="s">
        <v>3670</v>
      </c>
      <c r="BL17" s="1155" t="s">
        <v>3670</v>
      </c>
      <c r="BM17" s="1155" t="s">
        <v>3670</v>
      </c>
    </row>
    <row r="18" spans="1:65">
      <c r="A18" s="1155" t="s">
        <v>3882</v>
      </c>
      <c r="B18" s="1155" t="s">
        <v>3664</v>
      </c>
      <c r="C18" s="1155" t="s">
        <v>3469</v>
      </c>
      <c r="D18" s="1155" t="s">
        <v>3665</v>
      </c>
      <c r="E18" s="1155" t="s">
        <v>3781</v>
      </c>
      <c r="F18" s="1155" t="s">
        <v>3670</v>
      </c>
      <c r="G18" s="1155" t="s">
        <v>3883</v>
      </c>
      <c r="H18" s="1155" t="s">
        <v>3783</v>
      </c>
      <c r="I18" s="1155">
        <v>72561</v>
      </c>
      <c r="J18" s="1155">
        <v>72561</v>
      </c>
      <c r="K18" s="1155">
        <v>1</v>
      </c>
      <c r="L18" s="1155" t="s">
        <v>3884</v>
      </c>
      <c r="M18" s="1155">
        <v>25400</v>
      </c>
      <c r="N18" s="1155">
        <v>3500.5</v>
      </c>
      <c r="O18" s="1155">
        <v>233.37</v>
      </c>
      <c r="P18" s="1155">
        <v>3501</v>
      </c>
      <c r="Q18" s="1155" t="s">
        <v>3670</v>
      </c>
      <c r="R18" s="1155" t="s">
        <v>3670</v>
      </c>
      <c r="S18" s="1155" t="s">
        <v>3670</v>
      </c>
      <c r="T18" s="1155" t="s">
        <v>3670</v>
      </c>
      <c r="U18" s="1155" t="s">
        <v>3670</v>
      </c>
      <c r="V18" s="1155" t="s">
        <v>3670</v>
      </c>
      <c r="W18" s="1155">
        <v>0</v>
      </c>
      <c r="X18" s="1155">
        <v>0</v>
      </c>
      <c r="Y18" s="1155" t="s">
        <v>3671</v>
      </c>
      <c r="Z18" s="1155" t="s">
        <v>3885</v>
      </c>
      <c r="AA18" s="1155" t="s">
        <v>3886</v>
      </c>
      <c r="AB18" s="1155" t="s">
        <v>3865</v>
      </c>
      <c r="AC18" s="1155" t="s">
        <v>3887</v>
      </c>
      <c r="AD18" s="1155" t="s">
        <v>3670</v>
      </c>
      <c r="AE18" s="1155" t="s">
        <v>3670</v>
      </c>
      <c r="AF18" s="1155" t="s">
        <v>3670</v>
      </c>
      <c r="AG18" s="1155" t="s">
        <v>3677</v>
      </c>
      <c r="AH18" s="1155" t="s">
        <v>3670</v>
      </c>
      <c r="AI18" s="1155" t="s">
        <v>3670</v>
      </c>
      <c r="AJ18" s="1155" t="s">
        <v>3888</v>
      </c>
      <c r="AK18" s="1155" t="s">
        <v>3884</v>
      </c>
      <c r="AL18" s="1155" t="s">
        <v>3680</v>
      </c>
      <c r="AM18" s="1155" t="s">
        <v>3830</v>
      </c>
      <c r="AN18" s="1155" t="s">
        <v>3889</v>
      </c>
      <c r="AO18" s="1155" t="s">
        <v>3670</v>
      </c>
      <c r="AP18" s="1155" t="s">
        <v>3670</v>
      </c>
      <c r="AQ18" s="1155" t="s">
        <v>3670</v>
      </c>
      <c r="AR18" s="1155">
        <v>25400</v>
      </c>
      <c r="AS18" s="1155">
        <v>7650</v>
      </c>
      <c r="AT18" s="1155" t="s">
        <v>3670</v>
      </c>
      <c r="AU18" s="1155">
        <v>3500.5</v>
      </c>
      <c r="AV18" s="1155">
        <v>233.37</v>
      </c>
      <c r="AW18" s="1155">
        <v>3501</v>
      </c>
      <c r="AX18" s="1155" t="s">
        <v>3670</v>
      </c>
      <c r="AY18" s="1155" t="s">
        <v>3670</v>
      </c>
      <c r="AZ18" s="1155">
        <v>0</v>
      </c>
      <c r="BA18" s="1155" t="s">
        <v>3670</v>
      </c>
      <c r="BB18" s="1155" t="s">
        <v>3670</v>
      </c>
      <c r="BC18" s="1155" t="s">
        <v>3670</v>
      </c>
      <c r="BD18" s="1155" t="s">
        <v>3670</v>
      </c>
      <c r="BE18" s="1155" t="s">
        <v>3670</v>
      </c>
      <c r="BF18" s="1155" t="s">
        <v>3670</v>
      </c>
      <c r="BG18" s="1155" t="s">
        <v>3670</v>
      </c>
      <c r="BH18" s="1155" t="s">
        <v>3790</v>
      </c>
      <c r="BI18" s="1155" t="s">
        <v>3670</v>
      </c>
      <c r="BJ18" s="1155" t="s">
        <v>3485</v>
      </c>
      <c r="BK18" s="1155" t="s">
        <v>3670</v>
      </c>
      <c r="BL18" s="1155" t="s">
        <v>3670</v>
      </c>
      <c r="BM18" s="1155" t="s">
        <v>3670</v>
      </c>
    </row>
    <row r="19" spans="1:65">
      <c r="A19" s="1155" t="s">
        <v>3890</v>
      </c>
      <c r="B19" s="1155" t="s">
        <v>3664</v>
      </c>
      <c r="C19" s="1155" t="s">
        <v>3469</v>
      </c>
      <c r="D19" s="1155" t="s">
        <v>3665</v>
      </c>
      <c r="E19" s="1155" t="s">
        <v>3691</v>
      </c>
      <c r="F19" s="1155" t="s">
        <v>3670</v>
      </c>
      <c r="G19" s="1155" t="s">
        <v>3891</v>
      </c>
      <c r="H19" s="1155" t="s">
        <v>3708</v>
      </c>
      <c r="I19" s="1155">
        <v>75685</v>
      </c>
      <c r="J19" s="1155">
        <v>189213</v>
      </c>
      <c r="K19" s="1155">
        <v>2.5</v>
      </c>
      <c r="L19" s="1155" t="s">
        <v>3892</v>
      </c>
      <c r="M19" s="1155">
        <v>60900</v>
      </c>
      <c r="N19" s="1155">
        <v>8046.5</v>
      </c>
      <c r="O19" s="1155">
        <v>536.42999999999995</v>
      </c>
      <c r="P19" s="1155">
        <v>3219</v>
      </c>
      <c r="Q19" s="1155" t="s">
        <v>3670</v>
      </c>
      <c r="R19" s="1155" t="s">
        <v>3670</v>
      </c>
      <c r="S19" s="1155" t="s">
        <v>3670</v>
      </c>
      <c r="T19" s="1155" t="s">
        <v>3670</v>
      </c>
      <c r="U19" s="1155" t="s">
        <v>3670</v>
      </c>
      <c r="V19" s="1155" t="s">
        <v>3670</v>
      </c>
      <c r="W19" s="1155">
        <v>0</v>
      </c>
      <c r="X19" s="1155">
        <v>0</v>
      </c>
      <c r="Y19" s="1155" t="s">
        <v>3671</v>
      </c>
      <c r="Z19" s="1155" t="s">
        <v>3696</v>
      </c>
      <c r="AA19" s="1155" t="s">
        <v>3696</v>
      </c>
      <c r="AB19" s="1155" t="s">
        <v>3865</v>
      </c>
      <c r="AC19" s="1155" t="s">
        <v>3742</v>
      </c>
      <c r="AD19" s="1155" t="s">
        <v>3670</v>
      </c>
      <c r="AE19" s="1155" t="s">
        <v>3670</v>
      </c>
      <c r="AF19" s="1155" t="s">
        <v>3670</v>
      </c>
      <c r="AG19" s="1155" t="s">
        <v>3677</v>
      </c>
      <c r="AH19" s="1155" t="s">
        <v>3670</v>
      </c>
      <c r="AI19" s="1155" t="s">
        <v>3670</v>
      </c>
      <c r="AJ19" s="1155" t="s">
        <v>3893</v>
      </c>
      <c r="AK19" s="1155" t="s">
        <v>3892</v>
      </c>
      <c r="AL19" s="1155" t="s">
        <v>3680</v>
      </c>
      <c r="AM19" s="1155" t="s">
        <v>3830</v>
      </c>
      <c r="AN19" s="1155" t="s">
        <v>3894</v>
      </c>
      <c r="AO19" s="1155" t="s">
        <v>3670</v>
      </c>
      <c r="AP19" s="1155" t="s">
        <v>3670</v>
      </c>
      <c r="AQ19" s="1155" t="s">
        <v>3670</v>
      </c>
      <c r="AR19" s="1155">
        <v>60000</v>
      </c>
      <c r="AS19" s="1155">
        <v>18000</v>
      </c>
      <c r="AT19" s="1155" t="s">
        <v>3670</v>
      </c>
      <c r="AU19" s="1155">
        <v>7927.59</v>
      </c>
      <c r="AV19" s="1155">
        <v>528.51</v>
      </c>
      <c r="AW19" s="1155">
        <v>3171</v>
      </c>
      <c r="AX19" s="1155" t="s">
        <v>3670</v>
      </c>
      <c r="AY19" s="1155" t="s">
        <v>3670</v>
      </c>
      <c r="AZ19" s="1155">
        <v>1.5</v>
      </c>
      <c r="BA19" s="1155" t="s">
        <v>3670</v>
      </c>
      <c r="BB19" s="1155" t="s">
        <v>3670</v>
      </c>
      <c r="BC19" s="1155" t="s">
        <v>3670</v>
      </c>
      <c r="BD19" s="1155" t="s">
        <v>3670</v>
      </c>
      <c r="BE19" s="1155" t="s">
        <v>3670</v>
      </c>
      <c r="BF19" s="1155" t="s">
        <v>3670</v>
      </c>
      <c r="BG19" s="1155" t="s">
        <v>3670</v>
      </c>
      <c r="BH19" s="1155" t="s">
        <v>3706</v>
      </c>
      <c r="BI19" s="1155" t="s">
        <v>3895</v>
      </c>
      <c r="BJ19" s="1155" t="s">
        <v>3485</v>
      </c>
      <c r="BK19" s="1155" t="s">
        <v>3670</v>
      </c>
      <c r="BL19" s="1155" t="s">
        <v>3670</v>
      </c>
      <c r="BM19" s="1155" t="s">
        <v>3670</v>
      </c>
    </row>
    <row r="20" spans="1:65">
      <c r="A20" s="1155" t="s">
        <v>3896</v>
      </c>
      <c r="B20" s="1155" t="s">
        <v>3664</v>
      </c>
      <c r="C20" s="1155" t="s">
        <v>3469</v>
      </c>
      <c r="D20" s="1155" t="s">
        <v>3665</v>
      </c>
      <c r="E20" s="1155" t="s">
        <v>3753</v>
      </c>
      <c r="F20" s="1155" t="s">
        <v>3670</v>
      </c>
      <c r="G20" s="1155" t="s">
        <v>3897</v>
      </c>
      <c r="H20" s="1155" t="s">
        <v>3898</v>
      </c>
      <c r="I20" s="1155">
        <v>79435.3</v>
      </c>
      <c r="J20" s="1155">
        <v>94500</v>
      </c>
      <c r="K20" s="1155">
        <v>1.19</v>
      </c>
      <c r="L20" s="1155" t="s">
        <v>3899</v>
      </c>
      <c r="M20" s="1155">
        <v>13120</v>
      </c>
      <c r="N20" s="1155">
        <v>1651.65</v>
      </c>
      <c r="O20" s="1155">
        <v>110.11</v>
      </c>
      <c r="P20" s="1155">
        <v>1388</v>
      </c>
      <c r="Q20" s="1155" t="s">
        <v>3670</v>
      </c>
      <c r="R20" s="1155" t="s">
        <v>3670</v>
      </c>
      <c r="S20" s="1155" t="s">
        <v>3670</v>
      </c>
      <c r="T20" s="1155" t="s">
        <v>3670</v>
      </c>
      <c r="U20" s="1155" t="s">
        <v>3670</v>
      </c>
      <c r="V20" s="1155" t="s">
        <v>3670</v>
      </c>
      <c r="W20" s="1155">
        <v>0</v>
      </c>
      <c r="X20" s="1155">
        <v>0</v>
      </c>
      <c r="Y20" s="1155" t="s">
        <v>3671</v>
      </c>
      <c r="Z20" s="1155" t="s">
        <v>3402</v>
      </c>
      <c r="AA20" s="1155" t="s">
        <v>3673</v>
      </c>
      <c r="AB20" s="1155" t="s">
        <v>3697</v>
      </c>
      <c r="AC20" s="1155" t="s">
        <v>3900</v>
      </c>
      <c r="AD20" s="1155" t="s">
        <v>3670</v>
      </c>
      <c r="AE20" s="1155" t="s">
        <v>3670</v>
      </c>
      <c r="AF20" s="1155" t="s">
        <v>3670</v>
      </c>
      <c r="AG20" s="1155" t="s">
        <v>3901</v>
      </c>
      <c r="AH20" s="1155" t="s">
        <v>3670</v>
      </c>
      <c r="AI20" s="1155" t="s">
        <v>3670</v>
      </c>
      <c r="AJ20" s="1155" t="s">
        <v>3899</v>
      </c>
      <c r="AK20" s="1155" t="s">
        <v>3899</v>
      </c>
      <c r="AL20" s="1155" t="s">
        <v>3680</v>
      </c>
      <c r="AM20" s="1155" t="s">
        <v>3830</v>
      </c>
      <c r="AN20" s="1155" t="s">
        <v>3902</v>
      </c>
      <c r="AO20" s="1155" t="s">
        <v>3670</v>
      </c>
      <c r="AP20" s="1155" t="s">
        <v>3670</v>
      </c>
      <c r="AQ20" s="1155" t="s">
        <v>3670</v>
      </c>
      <c r="AR20" s="1155">
        <v>12986.49</v>
      </c>
      <c r="AS20" s="1155">
        <v>1400</v>
      </c>
      <c r="AT20" s="1155" t="s">
        <v>3670</v>
      </c>
      <c r="AU20" s="1155">
        <v>1634.85</v>
      </c>
      <c r="AV20" s="1155">
        <v>108.99</v>
      </c>
      <c r="AW20" s="1155">
        <v>1374</v>
      </c>
      <c r="AX20" s="1155" t="s">
        <v>3670</v>
      </c>
      <c r="AY20" s="1155" t="s">
        <v>3670</v>
      </c>
      <c r="AZ20" s="1155">
        <v>1.03</v>
      </c>
      <c r="BA20" s="1155" t="s">
        <v>3670</v>
      </c>
      <c r="BB20" s="1155" t="s">
        <v>3670</v>
      </c>
      <c r="BC20" s="1155" t="s">
        <v>3670</v>
      </c>
      <c r="BD20" s="1155" t="s">
        <v>3670</v>
      </c>
      <c r="BE20" s="1155" t="s">
        <v>3670</v>
      </c>
      <c r="BF20" s="1155" t="s">
        <v>3670</v>
      </c>
      <c r="BG20" s="1155" t="s">
        <v>3670</v>
      </c>
      <c r="BH20" s="1155" t="s">
        <v>3706</v>
      </c>
      <c r="BI20" s="1155" t="s">
        <v>3903</v>
      </c>
      <c r="BJ20" s="1155" t="s">
        <v>3485</v>
      </c>
      <c r="BK20" s="1155" t="s">
        <v>3670</v>
      </c>
      <c r="BL20" s="1155" t="s">
        <v>3670</v>
      </c>
      <c r="BM20" s="1155" t="s">
        <v>3670</v>
      </c>
    </row>
    <row r="21" spans="1:65">
      <c r="A21" s="1155" t="s">
        <v>3904</v>
      </c>
      <c r="B21" s="1155" t="s">
        <v>3664</v>
      </c>
      <c r="C21" s="1155" t="s">
        <v>3469</v>
      </c>
      <c r="D21" s="1155" t="s">
        <v>3665</v>
      </c>
      <c r="E21" s="1155" t="s">
        <v>3905</v>
      </c>
      <c r="F21" s="1155" t="s">
        <v>3670</v>
      </c>
      <c r="G21" s="1155" t="s">
        <v>3906</v>
      </c>
      <c r="H21" s="1155" t="s">
        <v>3783</v>
      </c>
      <c r="I21" s="1155">
        <v>126701</v>
      </c>
      <c r="J21" s="1155">
        <v>162422</v>
      </c>
      <c r="K21" s="1155">
        <v>0.59</v>
      </c>
      <c r="L21" s="1155" t="s">
        <v>3907</v>
      </c>
      <c r="M21" s="1155">
        <v>56000</v>
      </c>
      <c r="N21" s="1155">
        <v>4419.8500000000004</v>
      </c>
      <c r="O21" s="1155">
        <v>294.66000000000003</v>
      </c>
      <c r="P21" s="1155">
        <v>3448</v>
      </c>
      <c r="Q21" s="1155" t="s">
        <v>3670</v>
      </c>
      <c r="R21" s="1155" t="s">
        <v>3670</v>
      </c>
      <c r="S21" s="1155" t="s">
        <v>3670</v>
      </c>
      <c r="T21" s="1155" t="s">
        <v>3670</v>
      </c>
      <c r="U21" s="1155" t="s">
        <v>3670</v>
      </c>
      <c r="V21" s="1155" t="s">
        <v>3670</v>
      </c>
      <c r="W21" s="1155">
        <v>0</v>
      </c>
      <c r="X21" s="1155">
        <v>0</v>
      </c>
      <c r="Y21" s="1155" t="s">
        <v>3671</v>
      </c>
      <c r="Z21" s="1155" t="s">
        <v>3908</v>
      </c>
      <c r="AA21" s="1155" t="s">
        <v>3673</v>
      </c>
      <c r="AB21" s="1155" t="s">
        <v>3909</v>
      </c>
      <c r="AC21" s="1155" t="s">
        <v>3910</v>
      </c>
      <c r="AD21" s="1155" t="s">
        <v>3670</v>
      </c>
      <c r="AE21" s="1155" t="s">
        <v>3670</v>
      </c>
      <c r="AF21" s="1155" t="s">
        <v>3670</v>
      </c>
      <c r="AG21" s="1155" t="s">
        <v>3677</v>
      </c>
      <c r="AH21" s="1155" t="s">
        <v>3670</v>
      </c>
      <c r="AI21" s="1155" t="s">
        <v>3670</v>
      </c>
      <c r="AJ21" s="1155" t="s">
        <v>3911</v>
      </c>
      <c r="AK21" s="1155" t="s">
        <v>3907</v>
      </c>
      <c r="AL21" s="1155" t="s">
        <v>3680</v>
      </c>
      <c r="AM21" s="1155" t="s">
        <v>3830</v>
      </c>
      <c r="AN21" s="1155" t="s">
        <v>3902</v>
      </c>
      <c r="AO21" s="1155" t="s">
        <v>3670</v>
      </c>
      <c r="AP21" s="1155" t="s">
        <v>3670</v>
      </c>
      <c r="AQ21" s="1155" t="s">
        <v>3670</v>
      </c>
      <c r="AR21" s="1155">
        <v>55400</v>
      </c>
      <c r="AS21" s="1155">
        <v>17000</v>
      </c>
      <c r="AT21" s="1155" t="s">
        <v>3670</v>
      </c>
      <c r="AU21" s="1155">
        <v>4372.49</v>
      </c>
      <c r="AV21" s="1155">
        <v>291.5</v>
      </c>
      <c r="AW21" s="1155">
        <v>3411</v>
      </c>
      <c r="AX21" s="1155" t="s">
        <v>3670</v>
      </c>
      <c r="AY21" s="1155" t="s">
        <v>3670</v>
      </c>
      <c r="AZ21" s="1155">
        <v>1.08</v>
      </c>
      <c r="BA21" s="1155" t="s">
        <v>3670</v>
      </c>
      <c r="BB21" s="1155" t="s">
        <v>3670</v>
      </c>
      <c r="BC21" s="1155" t="s">
        <v>3670</v>
      </c>
      <c r="BD21" s="1155" t="s">
        <v>3670</v>
      </c>
      <c r="BE21" s="1155" t="s">
        <v>3670</v>
      </c>
      <c r="BF21" s="1155" t="s">
        <v>3670</v>
      </c>
      <c r="BG21" s="1155" t="s">
        <v>3670</v>
      </c>
      <c r="BH21" s="1155" t="s">
        <v>3790</v>
      </c>
      <c r="BI21" s="1155" t="s">
        <v>3912</v>
      </c>
      <c r="BJ21" s="1155" t="s">
        <v>3485</v>
      </c>
      <c r="BK21" s="1155" t="s">
        <v>3670</v>
      </c>
      <c r="BL21" s="1155" t="s">
        <v>3670</v>
      </c>
      <c r="BM21" s="1155" t="s">
        <v>3670</v>
      </c>
    </row>
    <row r="22" spans="1:65">
      <c r="A22" s="1155" t="s">
        <v>3913</v>
      </c>
      <c r="B22" s="1155" t="s">
        <v>3664</v>
      </c>
      <c r="C22" s="1155" t="s">
        <v>3469</v>
      </c>
      <c r="D22" s="1155" t="s">
        <v>3665</v>
      </c>
      <c r="E22" s="1155" t="s">
        <v>3874</v>
      </c>
      <c r="F22" s="1155" t="s">
        <v>3670</v>
      </c>
      <c r="G22" s="1155" t="s">
        <v>3914</v>
      </c>
      <c r="H22" s="1155" t="s">
        <v>3913</v>
      </c>
      <c r="I22" s="1155">
        <v>7179.03</v>
      </c>
      <c r="J22" s="1155">
        <v>11486.45</v>
      </c>
      <c r="K22" s="1155">
        <v>1.6</v>
      </c>
      <c r="L22" s="1155" t="s">
        <v>3915</v>
      </c>
      <c r="M22" s="1155">
        <v>985</v>
      </c>
      <c r="N22" s="1155">
        <v>1372.05</v>
      </c>
      <c r="O22" s="1155">
        <v>91.47</v>
      </c>
      <c r="P22" s="1155">
        <v>858</v>
      </c>
      <c r="Q22" s="1155" t="s">
        <v>3670</v>
      </c>
      <c r="R22" s="1155" t="s">
        <v>3670</v>
      </c>
      <c r="S22" s="1155" t="s">
        <v>3670</v>
      </c>
      <c r="T22" s="1155" t="s">
        <v>3670</v>
      </c>
      <c r="U22" s="1155" t="s">
        <v>3670</v>
      </c>
      <c r="V22" s="1155" t="s">
        <v>3670</v>
      </c>
      <c r="W22" s="1155">
        <v>0</v>
      </c>
      <c r="X22" s="1155">
        <v>0</v>
      </c>
      <c r="Y22" s="1155" t="s">
        <v>3671</v>
      </c>
      <c r="Z22" s="1155" t="s">
        <v>3916</v>
      </c>
      <c r="AA22" s="1155" t="s">
        <v>3917</v>
      </c>
      <c r="AB22" s="1155" t="s">
        <v>3865</v>
      </c>
      <c r="AC22" s="1155" t="s">
        <v>3811</v>
      </c>
      <c r="AD22" s="1155" t="s">
        <v>3670</v>
      </c>
      <c r="AE22" s="1155" t="s">
        <v>3670</v>
      </c>
      <c r="AF22" s="1155" t="s">
        <v>3670</v>
      </c>
      <c r="AG22" s="1155" t="s">
        <v>3677</v>
      </c>
      <c r="AH22" s="1155" t="s">
        <v>3670</v>
      </c>
      <c r="AI22" s="1155" t="s">
        <v>3670</v>
      </c>
      <c r="AJ22" s="1155" t="s">
        <v>3918</v>
      </c>
      <c r="AK22" s="1155" t="s">
        <v>3915</v>
      </c>
      <c r="AL22" s="1155" t="s">
        <v>3680</v>
      </c>
      <c r="AM22" s="1155" t="s">
        <v>3830</v>
      </c>
      <c r="AN22" s="1155" t="s">
        <v>3919</v>
      </c>
      <c r="AO22" s="1155" t="s">
        <v>3670</v>
      </c>
      <c r="AP22" s="1155" t="s">
        <v>3670</v>
      </c>
      <c r="AQ22" s="1155" t="s">
        <v>3670</v>
      </c>
      <c r="AR22" s="1155">
        <v>974.22</v>
      </c>
      <c r="AS22" s="1155">
        <v>100</v>
      </c>
      <c r="AT22" s="1155" t="s">
        <v>3670</v>
      </c>
      <c r="AU22" s="1155">
        <v>1357.03</v>
      </c>
      <c r="AV22" s="1155">
        <v>90.47</v>
      </c>
      <c r="AW22" s="1155">
        <v>848</v>
      </c>
      <c r="AX22" s="1155" t="s">
        <v>3670</v>
      </c>
      <c r="AY22" s="1155" t="s">
        <v>3670</v>
      </c>
      <c r="AZ22" s="1155">
        <v>1.1100000000000001</v>
      </c>
      <c r="BA22" s="1155" t="s">
        <v>3670</v>
      </c>
      <c r="BB22" s="1155" t="s">
        <v>3670</v>
      </c>
      <c r="BC22" s="1155" t="s">
        <v>3670</v>
      </c>
      <c r="BD22" s="1155" t="s">
        <v>3670</v>
      </c>
      <c r="BE22" s="1155" t="s">
        <v>3670</v>
      </c>
      <c r="BF22" s="1155" t="s">
        <v>3670</v>
      </c>
      <c r="BG22" s="1155" t="s">
        <v>3670</v>
      </c>
      <c r="BH22" s="1155" t="s">
        <v>3721</v>
      </c>
      <c r="BI22" s="1155" t="s">
        <v>3920</v>
      </c>
      <c r="BJ22" s="1155" t="s">
        <v>3485</v>
      </c>
      <c r="BK22" s="1155" t="s">
        <v>3670</v>
      </c>
      <c r="BL22" s="1155" t="s">
        <v>3670</v>
      </c>
      <c r="BM22" s="1155" t="s">
        <v>3670</v>
      </c>
    </row>
    <row r="23" spans="1:65">
      <c r="A23" s="1155" t="s">
        <v>3921</v>
      </c>
      <c r="B23" s="1155" t="s">
        <v>3664</v>
      </c>
      <c r="C23" s="1155" t="s">
        <v>3469</v>
      </c>
      <c r="D23" s="1155" t="s">
        <v>3665</v>
      </c>
      <c r="E23" s="1155" t="s">
        <v>3753</v>
      </c>
      <c r="F23" s="1155" t="s">
        <v>3670</v>
      </c>
      <c r="G23" s="1155" t="s">
        <v>3922</v>
      </c>
      <c r="H23" s="1155" t="s">
        <v>3923</v>
      </c>
      <c r="I23" s="1155">
        <v>21305</v>
      </c>
      <c r="J23" s="1155">
        <v>34088</v>
      </c>
      <c r="K23" s="1155">
        <v>1.6</v>
      </c>
      <c r="L23" s="1155" t="s">
        <v>3924</v>
      </c>
      <c r="M23" s="1155">
        <v>28400</v>
      </c>
      <c r="N23" s="1155">
        <v>13330.2</v>
      </c>
      <c r="O23" s="1155">
        <v>888.68</v>
      </c>
      <c r="P23" s="1155">
        <v>8331</v>
      </c>
      <c r="Q23" s="1155" t="s">
        <v>3670</v>
      </c>
      <c r="R23" s="1155" t="s">
        <v>3670</v>
      </c>
      <c r="S23" s="1155" t="s">
        <v>3670</v>
      </c>
      <c r="T23" s="1155" t="s">
        <v>3670</v>
      </c>
      <c r="U23" s="1155" t="s">
        <v>3670</v>
      </c>
      <c r="V23" s="1155" t="s">
        <v>3670</v>
      </c>
      <c r="W23" s="1155">
        <v>0</v>
      </c>
      <c r="X23" s="1155">
        <v>0</v>
      </c>
      <c r="Y23" s="1155" t="s">
        <v>3671</v>
      </c>
      <c r="Z23" s="1155" t="s">
        <v>3908</v>
      </c>
      <c r="AA23" s="1155" t="s">
        <v>3673</v>
      </c>
      <c r="AB23" s="1155" t="s">
        <v>3865</v>
      </c>
      <c r="AC23" s="1155" t="s">
        <v>3759</v>
      </c>
      <c r="AD23" s="1155" t="s">
        <v>3670</v>
      </c>
      <c r="AE23" s="1155" t="s">
        <v>3670</v>
      </c>
      <c r="AF23" s="1155" t="s">
        <v>3670</v>
      </c>
      <c r="AG23" s="1155" t="s">
        <v>3677</v>
      </c>
      <c r="AH23" s="1155" t="s">
        <v>3670</v>
      </c>
      <c r="AI23" s="1155" t="s">
        <v>3670</v>
      </c>
      <c r="AJ23" s="1155" t="s">
        <v>3925</v>
      </c>
      <c r="AK23" s="1155" t="s">
        <v>3924</v>
      </c>
      <c r="AL23" s="1155" t="s">
        <v>3680</v>
      </c>
      <c r="AM23" s="1155" t="s">
        <v>3830</v>
      </c>
      <c r="AN23" s="1155" t="s">
        <v>3926</v>
      </c>
      <c r="AO23" s="1155" t="s">
        <v>3670</v>
      </c>
      <c r="AP23" s="1155" t="s">
        <v>3670</v>
      </c>
      <c r="AQ23" s="1155" t="s">
        <v>3670</v>
      </c>
      <c r="AR23" s="1155">
        <v>19008</v>
      </c>
      <c r="AS23" s="1155">
        <v>5700</v>
      </c>
      <c r="AT23" s="1155" t="s">
        <v>3670</v>
      </c>
      <c r="AU23" s="1155">
        <v>8921.85</v>
      </c>
      <c r="AV23" s="1155">
        <v>594.79</v>
      </c>
      <c r="AW23" s="1155">
        <v>5576</v>
      </c>
      <c r="AX23" s="1155" t="s">
        <v>3670</v>
      </c>
      <c r="AY23" s="1155" t="s">
        <v>3670</v>
      </c>
      <c r="AZ23" s="1155">
        <v>49.41</v>
      </c>
      <c r="BA23" s="1155" t="s">
        <v>3670</v>
      </c>
      <c r="BB23" s="1155" t="s">
        <v>3670</v>
      </c>
      <c r="BC23" s="1155" t="s">
        <v>3670</v>
      </c>
      <c r="BD23" s="1155" t="s">
        <v>3670</v>
      </c>
      <c r="BE23" s="1155" t="s">
        <v>3670</v>
      </c>
      <c r="BF23" s="1155" t="s">
        <v>3670</v>
      </c>
      <c r="BG23" s="1155" t="s">
        <v>3670</v>
      </c>
      <c r="BH23" s="1155" t="s">
        <v>3706</v>
      </c>
      <c r="BI23" s="1155" t="s">
        <v>3927</v>
      </c>
      <c r="BJ23" s="1155" t="s">
        <v>3485</v>
      </c>
      <c r="BK23" s="1155" t="s">
        <v>3670</v>
      </c>
      <c r="BL23" s="1155" t="s">
        <v>3670</v>
      </c>
      <c r="BM23" s="1155" t="s">
        <v>3670</v>
      </c>
    </row>
    <row r="24" spans="1:65">
      <c r="A24" s="1155" t="s">
        <v>3928</v>
      </c>
      <c r="B24" s="1155" t="s">
        <v>3664</v>
      </c>
      <c r="C24" s="1155" t="s">
        <v>3469</v>
      </c>
      <c r="D24" s="1155" t="s">
        <v>3665</v>
      </c>
      <c r="E24" s="1155" t="s">
        <v>3753</v>
      </c>
      <c r="F24" s="1155" t="s">
        <v>3670</v>
      </c>
      <c r="G24" s="1155" t="s">
        <v>3929</v>
      </c>
      <c r="H24" s="1155" t="s">
        <v>3755</v>
      </c>
      <c r="I24" s="1155">
        <v>32329</v>
      </c>
      <c r="J24" s="1155">
        <v>74900</v>
      </c>
      <c r="K24" s="1155">
        <v>2.3199999999999998</v>
      </c>
      <c r="L24" s="1155" t="s">
        <v>3930</v>
      </c>
      <c r="M24" s="1155">
        <v>55000</v>
      </c>
      <c r="N24" s="1155">
        <v>17012.59</v>
      </c>
      <c r="O24" s="1155">
        <v>1134.17</v>
      </c>
      <c r="P24" s="1155">
        <v>7343</v>
      </c>
      <c r="Q24" s="1155" t="s">
        <v>3670</v>
      </c>
      <c r="R24" s="1155" t="s">
        <v>3670</v>
      </c>
      <c r="S24" s="1155" t="s">
        <v>3670</v>
      </c>
      <c r="T24" s="1155" t="s">
        <v>3670</v>
      </c>
      <c r="U24" s="1155" t="s">
        <v>3670</v>
      </c>
      <c r="V24" s="1155" t="s">
        <v>3670</v>
      </c>
      <c r="W24" s="1155">
        <v>0</v>
      </c>
      <c r="X24" s="1155">
        <v>0</v>
      </c>
      <c r="Y24" s="1155" t="s">
        <v>3671</v>
      </c>
      <c r="Z24" s="1155" t="s">
        <v>3931</v>
      </c>
      <c r="AA24" s="1155" t="s">
        <v>3696</v>
      </c>
      <c r="AB24" s="1155" t="s">
        <v>3865</v>
      </c>
      <c r="AC24" s="1155" t="s">
        <v>3932</v>
      </c>
      <c r="AD24" s="1155" t="s">
        <v>3670</v>
      </c>
      <c r="AE24" s="1155" t="s">
        <v>3670</v>
      </c>
      <c r="AF24" s="1155" t="s">
        <v>3670</v>
      </c>
      <c r="AG24" s="1155" t="s">
        <v>3677</v>
      </c>
      <c r="AH24" s="1155" t="s">
        <v>3670</v>
      </c>
      <c r="AI24" s="1155" t="s">
        <v>3670</v>
      </c>
      <c r="AJ24" s="1155" t="s">
        <v>3892</v>
      </c>
      <c r="AK24" s="1155" t="s">
        <v>3930</v>
      </c>
      <c r="AL24" s="1155" t="s">
        <v>3680</v>
      </c>
      <c r="AM24" s="1155" t="s">
        <v>3830</v>
      </c>
      <c r="AN24" s="1155" t="s">
        <v>3933</v>
      </c>
      <c r="AO24" s="1155" t="s">
        <v>3670</v>
      </c>
      <c r="AP24" s="1155" t="s">
        <v>3670</v>
      </c>
      <c r="AQ24" s="1155" t="s">
        <v>3670</v>
      </c>
      <c r="AR24" s="1155">
        <v>36900</v>
      </c>
      <c r="AS24" s="1155">
        <v>12000</v>
      </c>
      <c r="AT24" s="1155" t="s">
        <v>3670</v>
      </c>
      <c r="AU24" s="1155">
        <v>11413.9</v>
      </c>
      <c r="AV24" s="1155">
        <v>760.93</v>
      </c>
      <c r="AW24" s="1155">
        <v>4927</v>
      </c>
      <c r="AX24" s="1155" t="s">
        <v>3670</v>
      </c>
      <c r="AY24" s="1155" t="s">
        <v>3670</v>
      </c>
      <c r="AZ24" s="1155">
        <v>49.05</v>
      </c>
      <c r="BA24" s="1155" t="s">
        <v>3670</v>
      </c>
      <c r="BB24" s="1155" t="s">
        <v>3670</v>
      </c>
      <c r="BC24" s="1155" t="s">
        <v>3670</v>
      </c>
      <c r="BD24" s="1155" t="s">
        <v>3670</v>
      </c>
      <c r="BE24" s="1155" t="s">
        <v>3670</v>
      </c>
      <c r="BF24" s="1155" t="s">
        <v>3670</v>
      </c>
      <c r="BG24" s="1155" t="s">
        <v>3670</v>
      </c>
      <c r="BH24" s="1155" t="s">
        <v>3706</v>
      </c>
      <c r="BI24" s="1155" t="s">
        <v>3934</v>
      </c>
      <c r="BJ24" s="1155" t="s">
        <v>3485</v>
      </c>
      <c r="BK24" s="1155" t="s">
        <v>3670</v>
      </c>
      <c r="BL24" s="1155" t="s">
        <v>3670</v>
      </c>
      <c r="BM24" s="1155" t="s">
        <v>3670</v>
      </c>
    </row>
    <row r="25" spans="1:65">
      <c r="A25" s="1155" t="s">
        <v>3935</v>
      </c>
      <c r="B25" s="1155" t="s">
        <v>3664</v>
      </c>
      <c r="C25" s="1155" t="s">
        <v>3469</v>
      </c>
      <c r="D25" s="1155" t="s">
        <v>3665</v>
      </c>
      <c r="E25" s="1155" t="s">
        <v>3691</v>
      </c>
      <c r="F25" s="1155" t="s">
        <v>3670</v>
      </c>
      <c r="G25" s="1155" t="s">
        <v>3936</v>
      </c>
      <c r="H25" s="1155" t="s">
        <v>3937</v>
      </c>
      <c r="I25" s="1155">
        <v>107222.1</v>
      </c>
      <c r="J25" s="1155">
        <v>171555</v>
      </c>
      <c r="K25" s="1155">
        <v>1.6</v>
      </c>
      <c r="L25" s="1155" t="s">
        <v>3938</v>
      </c>
      <c r="M25" s="1155">
        <v>72300</v>
      </c>
      <c r="N25" s="1155">
        <v>6743.01</v>
      </c>
      <c r="O25" s="1155">
        <v>449.53</v>
      </c>
      <c r="P25" s="1155">
        <v>4214</v>
      </c>
      <c r="Q25" s="1155" t="s">
        <v>3670</v>
      </c>
      <c r="R25" s="1155" t="s">
        <v>3670</v>
      </c>
      <c r="S25" s="1155" t="s">
        <v>3670</v>
      </c>
      <c r="T25" s="1155" t="s">
        <v>3670</v>
      </c>
      <c r="U25" s="1155" t="s">
        <v>3670</v>
      </c>
      <c r="V25" s="1155" t="s">
        <v>3670</v>
      </c>
      <c r="W25" s="1155">
        <v>0</v>
      </c>
      <c r="X25" s="1155">
        <v>0</v>
      </c>
      <c r="Y25" s="1155" t="s">
        <v>3671</v>
      </c>
      <c r="Z25" s="1155" t="s">
        <v>3939</v>
      </c>
      <c r="AA25" s="1155" t="s">
        <v>3673</v>
      </c>
      <c r="AB25" s="1155" t="s">
        <v>3940</v>
      </c>
      <c r="AC25" s="1155" t="s">
        <v>3759</v>
      </c>
      <c r="AD25" s="1155" t="s">
        <v>3670</v>
      </c>
      <c r="AE25" s="1155" t="s">
        <v>3670</v>
      </c>
      <c r="AF25" s="1155" t="s">
        <v>3670</v>
      </c>
      <c r="AG25" s="1155" t="s">
        <v>3677</v>
      </c>
      <c r="AH25" s="1155" t="s">
        <v>3670</v>
      </c>
      <c r="AI25" s="1155" t="s">
        <v>3670</v>
      </c>
      <c r="AJ25" s="1155" t="s">
        <v>3941</v>
      </c>
      <c r="AK25" s="1155" t="s">
        <v>3938</v>
      </c>
      <c r="AL25" s="1155" t="s">
        <v>3680</v>
      </c>
      <c r="AM25" s="1155" t="s">
        <v>3830</v>
      </c>
      <c r="AN25" s="1155" t="s">
        <v>3942</v>
      </c>
      <c r="AO25" s="1155" t="s">
        <v>3943</v>
      </c>
      <c r="AP25" s="1155" t="s">
        <v>3749</v>
      </c>
      <c r="AQ25" s="1155" t="s">
        <v>3670</v>
      </c>
      <c r="AR25" s="1155">
        <v>23309.17</v>
      </c>
      <c r="AS25" s="1155">
        <v>2300</v>
      </c>
      <c r="AT25" s="1155" t="s">
        <v>3670</v>
      </c>
      <c r="AU25" s="1155">
        <v>2173.91</v>
      </c>
      <c r="AV25" s="1155">
        <v>144.93</v>
      </c>
      <c r="AW25" s="1155">
        <v>1359</v>
      </c>
      <c r="AX25" s="1155" t="s">
        <v>3670</v>
      </c>
      <c r="AY25" s="1155" t="s">
        <v>3670</v>
      </c>
      <c r="AZ25" s="1155">
        <v>210.18</v>
      </c>
      <c r="BA25" s="1155" t="s">
        <v>3670</v>
      </c>
      <c r="BB25" s="1155" t="s">
        <v>3670</v>
      </c>
      <c r="BC25" s="1155" t="s">
        <v>3670</v>
      </c>
      <c r="BD25" s="1155" t="s">
        <v>3670</v>
      </c>
      <c r="BE25" s="1155" t="s">
        <v>3670</v>
      </c>
      <c r="BF25" s="1155" t="s">
        <v>3670</v>
      </c>
      <c r="BG25" s="1155" t="s">
        <v>3670</v>
      </c>
      <c r="BH25" s="1155" t="s">
        <v>3706</v>
      </c>
      <c r="BI25" s="1155" t="s">
        <v>3944</v>
      </c>
      <c r="BJ25" s="1155" t="s">
        <v>3485</v>
      </c>
      <c r="BK25" s="1155" t="s">
        <v>3670</v>
      </c>
      <c r="BL25" s="1155" t="s">
        <v>3670</v>
      </c>
      <c r="BM25" s="1155" t="s">
        <v>3670</v>
      </c>
    </row>
    <row r="26" spans="1:65">
      <c r="A26" s="1155" t="s">
        <v>3945</v>
      </c>
      <c r="B26" s="1155" t="s">
        <v>3664</v>
      </c>
      <c r="C26" s="1155" t="s">
        <v>3469</v>
      </c>
      <c r="D26" s="1155" t="s">
        <v>3665</v>
      </c>
      <c r="E26" s="1155" t="s">
        <v>3691</v>
      </c>
      <c r="F26" s="1155" t="s">
        <v>3670</v>
      </c>
      <c r="G26" s="1155" t="s">
        <v>3946</v>
      </c>
      <c r="H26" s="1155" t="s">
        <v>3708</v>
      </c>
      <c r="I26" s="1155">
        <v>23311</v>
      </c>
      <c r="J26" s="1155">
        <v>34967</v>
      </c>
      <c r="K26" s="1155">
        <v>1.5</v>
      </c>
      <c r="L26" s="1155" t="s">
        <v>3947</v>
      </c>
      <c r="M26" s="1155">
        <v>15158</v>
      </c>
      <c r="N26" s="1155">
        <v>6502.51</v>
      </c>
      <c r="O26" s="1155">
        <v>433.5</v>
      </c>
      <c r="P26" s="1155">
        <v>4335</v>
      </c>
      <c r="Q26" s="1155" t="s">
        <v>3670</v>
      </c>
      <c r="R26" s="1155" t="s">
        <v>3670</v>
      </c>
      <c r="S26" s="1155" t="s">
        <v>3670</v>
      </c>
      <c r="T26" s="1155" t="s">
        <v>3670</v>
      </c>
      <c r="U26" s="1155" t="s">
        <v>3670</v>
      </c>
      <c r="V26" s="1155" t="s">
        <v>3670</v>
      </c>
      <c r="W26" s="1155">
        <v>0</v>
      </c>
      <c r="X26" s="1155">
        <v>0</v>
      </c>
      <c r="Y26" s="1155" t="s">
        <v>3671</v>
      </c>
      <c r="Z26" s="1155" t="s">
        <v>3696</v>
      </c>
      <c r="AA26" s="1155" t="s">
        <v>3696</v>
      </c>
      <c r="AB26" s="1155" t="s">
        <v>3697</v>
      </c>
      <c r="AC26" s="1155" t="s">
        <v>3716</v>
      </c>
      <c r="AD26" s="1155" t="s">
        <v>3670</v>
      </c>
      <c r="AE26" s="1155" t="s">
        <v>3670</v>
      </c>
      <c r="AF26" s="1155" t="s">
        <v>3670</v>
      </c>
      <c r="AG26" s="1155" t="s">
        <v>3677</v>
      </c>
      <c r="AH26" s="1155" t="s">
        <v>3670</v>
      </c>
      <c r="AI26" s="1155" t="s">
        <v>3670</v>
      </c>
      <c r="AJ26" s="1155" t="s">
        <v>3948</v>
      </c>
      <c r="AK26" s="1155" t="s">
        <v>3947</v>
      </c>
      <c r="AL26" s="1155" t="s">
        <v>3680</v>
      </c>
      <c r="AM26" s="1155" t="s">
        <v>3830</v>
      </c>
      <c r="AN26" s="1155" t="s">
        <v>3949</v>
      </c>
      <c r="AO26" s="1155" t="s">
        <v>3670</v>
      </c>
      <c r="AP26" s="1155" t="s">
        <v>3670</v>
      </c>
      <c r="AQ26" s="1155" t="s">
        <v>3670</v>
      </c>
      <c r="AR26" s="1155">
        <v>15008</v>
      </c>
      <c r="AS26" s="1155" t="s">
        <v>3670</v>
      </c>
      <c r="AT26" s="1155" t="s">
        <v>3670</v>
      </c>
      <c r="AU26" s="1155">
        <v>6438.16</v>
      </c>
      <c r="AV26" s="1155">
        <v>429.21</v>
      </c>
      <c r="AW26" s="1155">
        <v>4292</v>
      </c>
      <c r="AX26" s="1155" t="s">
        <v>3670</v>
      </c>
      <c r="AY26" s="1155" t="s">
        <v>3670</v>
      </c>
      <c r="AZ26" s="1155">
        <v>1</v>
      </c>
      <c r="BA26" s="1155" t="s">
        <v>3670</v>
      </c>
      <c r="BB26" s="1155" t="s">
        <v>3670</v>
      </c>
      <c r="BC26" s="1155" t="s">
        <v>3670</v>
      </c>
      <c r="BD26" s="1155" t="s">
        <v>3670</v>
      </c>
      <c r="BE26" s="1155" t="s">
        <v>3670</v>
      </c>
      <c r="BF26" s="1155" t="s">
        <v>3670</v>
      </c>
      <c r="BG26" s="1155" t="s">
        <v>3670</v>
      </c>
      <c r="BH26" s="1155" t="s">
        <v>3706</v>
      </c>
      <c r="BI26" s="1155" t="s">
        <v>3670</v>
      </c>
      <c r="BJ26" s="1155" t="s">
        <v>3485</v>
      </c>
      <c r="BK26" s="1155" t="s">
        <v>3670</v>
      </c>
      <c r="BL26" s="1155" t="s">
        <v>3670</v>
      </c>
      <c r="BM26" s="1155" t="s">
        <v>3670</v>
      </c>
    </row>
    <row r="27" spans="1:65">
      <c r="A27" s="1155" t="s">
        <v>3950</v>
      </c>
      <c r="B27" s="1155" t="s">
        <v>3664</v>
      </c>
      <c r="C27" s="1155" t="s">
        <v>3469</v>
      </c>
      <c r="D27" s="1155" t="s">
        <v>3665</v>
      </c>
      <c r="E27" s="1155" t="s">
        <v>3753</v>
      </c>
      <c r="F27" s="1155" t="s">
        <v>3670</v>
      </c>
      <c r="G27" s="1155" t="s">
        <v>3951</v>
      </c>
      <c r="H27" s="1155" t="s">
        <v>3952</v>
      </c>
      <c r="I27" s="1155">
        <v>79043</v>
      </c>
      <c r="J27" s="1155">
        <v>221321</v>
      </c>
      <c r="K27" s="1155">
        <v>2.8</v>
      </c>
      <c r="L27" s="1155" t="s">
        <v>3953</v>
      </c>
      <c r="M27" s="1155">
        <v>147000</v>
      </c>
      <c r="N27" s="1155">
        <v>18597.47</v>
      </c>
      <c r="O27" s="1155">
        <v>1239.83</v>
      </c>
      <c r="P27" s="1155">
        <v>6642</v>
      </c>
      <c r="Q27" s="1155" t="s">
        <v>3670</v>
      </c>
      <c r="R27" s="1155" t="s">
        <v>3670</v>
      </c>
      <c r="S27" s="1155" t="s">
        <v>3670</v>
      </c>
      <c r="T27" s="1155" t="s">
        <v>3670</v>
      </c>
      <c r="U27" s="1155" t="s">
        <v>3670</v>
      </c>
      <c r="V27" s="1155" t="s">
        <v>3670</v>
      </c>
      <c r="W27" s="1155">
        <v>0</v>
      </c>
      <c r="X27" s="1155">
        <v>0</v>
      </c>
      <c r="Y27" s="1155" t="s">
        <v>3671</v>
      </c>
      <c r="Z27" s="1155" t="s">
        <v>3954</v>
      </c>
      <c r="AA27" s="1155" t="s">
        <v>3673</v>
      </c>
      <c r="AB27" s="1155" t="s">
        <v>3865</v>
      </c>
      <c r="AC27" s="1155" t="s">
        <v>3955</v>
      </c>
      <c r="AD27" s="1155" t="s">
        <v>3670</v>
      </c>
      <c r="AE27" s="1155" t="s">
        <v>3670</v>
      </c>
      <c r="AF27" s="1155" t="s">
        <v>3670</v>
      </c>
      <c r="AG27" s="1155" t="s">
        <v>3677</v>
      </c>
      <c r="AH27" s="1155" t="s">
        <v>3670</v>
      </c>
      <c r="AI27" s="1155" t="s">
        <v>3670</v>
      </c>
      <c r="AJ27" s="1155" t="s">
        <v>3956</v>
      </c>
      <c r="AK27" s="1155" t="s">
        <v>3957</v>
      </c>
      <c r="AL27" s="1155" t="s">
        <v>3680</v>
      </c>
      <c r="AM27" s="1155" t="s">
        <v>3830</v>
      </c>
      <c r="AN27" s="1155" t="s">
        <v>3958</v>
      </c>
      <c r="AO27" s="1155" t="s">
        <v>3959</v>
      </c>
      <c r="AP27" s="1155" t="s">
        <v>3684</v>
      </c>
      <c r="AQ27" s="1155" t="s">
        <v>3670</v>
      </c>
      <c r="AR27" s="1155">
        <v>121726</v>
      </c>
      <c r="AS27" s="1155">
        <v>6100</v>
      </c>
      <c r="AT27" s="1155" t="s">
        <v>3670</v>
      </c>
      <c r="AU27" s="1155">
        <v>15399.97</v>
      </c>
      <c r="AV27" s="1155">
        <v>1026.6600000000001</v>
      </c>
      <c r="AW27" s="1155">
        <v>5500</v>
      </c>
      <c r="AX27" s="1155" t="s">
        <v>3670</v>
      </c>
      <c r="AY27" s="1155" t="s">
        <v>3670</v>
      </c>
      <c r="AZ27" s="1155">
        <v>20.76</v>
      </c>
      <c r="BA27" s="1155" t="s">
        <v>3670</v>
      </c>
      <c r="BB27" s="1155" t="s">
        <v>3670</v>
      </c>
      <c r="BC27" s="1155" t="s">
        <v>3670</v>
      </c>
      <c r="BD27" s="1155" t="s">
        <v>3670</v>
      </c>
      <c r="BE27" s="1155" t="s">
        <v>3670</v>
      </c>
      <c r="BF27" s="1155" t="s">
        <v>3670</v>
      </c>
      <c r="BG27" s="1155" t="s">
        <v>3670</v>
      </c>
      <c r="BH27" s="1155" t="s">
        <v>3706</v>
      </c>
      <c r="BI27" s="1155" t="s">
        <v>3960</v>
      </c>
      <c r="BJ27" s="1155" t="s">
        <v>3485</v>
      </c>
      <c r="BK27" s="1155" t="s">
        <v>3670</v>
      </c>
      <c r="BL27" s="1155" t="s">
        <v>3670</v>
      </c>
      <c r="BM27" s="1155" t="s">
        <v>3670</v>
      </c>
    </row>
    <row r="28" spans="1:65">
      <c r="A28" s="1155" t="s">
        <v>3961</v>
      </c>
      <c r="B28" s="1155" t="s">
        <v>3664</v>
      </c>
      <c r="C28" s="1155" t="s">
        <v>3469</v>
      </c>
      <c r="D28" s="1155" t="s">
        <v>3665</v>
      </c>
      <c r="E28" s="1155" t="s">
        <v>3753</v>
      </c>
      <c r="F28" s="1155" t="s">
        <v>3670</v>
      </c>
      <c r="G28" s="1155" t="s">
        <v>3962</v>
      </c>
      <c r="H28" s="1155" t="s">
        <v>3963</v>
      </c>
      <c r="I28" s="1155">
        <v>27687</v>
      </c>
      <c r="J28" s="1155">
        <v>77524</v>
      </c>
      <c r="K28" s="1155">
        <v>2.8</v>
      </c>
      <c r="L28" s="1155" t="s">
        <v>3964</v>
      </c>
      <c r="M28" s="1155">
        <v>34750</v>
      </c>
      <c r="N28" s="1155">
        <v>12551.01</v>
      </c>
      <c r="O28" s="1155">
        <v>836.73</v>
      </c>
      <c r="P28" s="1155">
        <v>4482</v>
      </c>
      <c r="Q28" s="1155" t="s">
        <v>3670</v>
      </c>
      <c r="R28" s="1155" t="s">
        <v>3670</v>
      </c>
      <c r="S28" s="1155" t="s">
        <v>3670</v>
      </c>
      <c r="T28" s="1155" t="s">
        <v>3670</v>
      </c>
      <c r="U28" s="1155" t="s">
        <v>3670</v>
      </c>
      <c r="V28" s="1155" t="s">
        <v>3670</v>
      </c>
      <c r="W28" s="1155">
        <v>0</v>
      </c>
      <c r="X28" s="1155">
        <v>0</v>
      </c>
      <c r="Y28" s="1155" t="s">
        <v>3671</v>
      </c>
      <c r="Z28" s="1155" t="s">
        <v>3965</v>
      </c>
      <c r="AA28" s="1155" t="s">
        <v>3673</v>
      </c>
      <c r="AB28" s="1155" t="s">
        <v>3966</v>
      </c>
      <c r="AC28" s="1155" t="s">
        <v>3955</v>
      </c>
      <c r="AD28" s="1155" t="s">
        <v>3670</v>
      </c>
      <c r="AE28" s="1155" t="s">
        <v>3670</v>
      </c>
      <c r="AF28" s="1155" t="s">
        <v>3670</v>
      </c>
      <c r="AG28" s="1155" t="s">
        <v>3677</v>
      </c>
      <c r="AH28" s="1155" t="s">
        <v>3670</v>
      </c>
      <c r="AI28" s="1155" t="s">
        <v>3670</v>
      </c>
      <c r="AJ28" s="1155" t="s">
        <v>3967</v>
      </c>
      <c r="AK28" s="1155" t="s">
        <v>3964</v>
      </c>
      <c r="AL28" s="1155" t="s">
        <v>3680</v>
      </c>
      <c r="AM28" s="1155" t="s">
        <v>3830</v>
      </c>
      <c r="AN28" s="1155" t="s">
        <v>3968</v>
      </c>
      <c r="AO28" s="1155" t="s">
        <v>3670</v>
      </c>
      <c r="AP28" s="1155" t="s">
        <v>3670</v>
      </c>
      <c r="AQ28" s="1155" t="s">
        <v>3670</v>
      </c>
      <c r="AR28" s="1155">
        <v>34750</v>
      </c>
      <c r="AS28" s="1155">
        <v>10000</v>
      </c>
      <c r="AT28" s="1155" t="s">
        <v>3670</v>
      </c>
      <c r="AU28" s="1155">
        <v>12551.01</v>
      </c>
      <c r="AV28" s="1155">
        <v>836.73</v>
      </c>
      <c r="AW28" s="1155">
        <v>4482</v>
      </c>
      <c r="AX28" s="1155" t="s">
        <v>3670</v>
      </c>
      <c r="AY28" s="1155" t="s">
        <v>3670</v>
      </c>
      <c r="AZ28" s="1155">
        <v>0</v>
      </c>
      <c r="BA28" s="1155" t="s">
        <v>3670</v>
      </c>
      <c r="BB28" s="1155" t="s">
        <v>3670</v>
      </c>
      <c r="BC28" s="1155" t="s">
        <v>3670</v>
      </c>
      <c r="BD28" s="1155" t="s">
        <v>3670</v>
      </c>
      <c r="BE28" s="1155" t="s">
        <v>3670</v>
      </c>
      <c r="BF28" s="1155" t="s">
        <v>3670</v>
      </c>
      <c r="BG28" s="1155" t="s">
        <v>3670</v>
      </c>
      <c r="BH28" s="1155" t="s">
        <v>3706</v>
      </c>
      <c r="BI28" s="1155" t="s">
        <v>3969</v>
      </c>
      <c r="BJ28" s="1155" t="s">
        <v>3485</v>
      </c>
      <c r="BK28" s="1155" t="s">
        <v>3670</v>
      </c>
      <c r="BL28" s="1155" t="s">
        <v>3670</v>
      </c>
      <c r="BM28" s="1155" t="s">
        <v>3670</v>
      </c>
    </row>
  </sheetData>
  <phoneticPr fontId="13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2907B-4323-4654-88A2-A3051BE6B3EA}">
  <sheetPr>
    <tabColor rgb="FF7030A0"/>
  </sheetPr>
  <dimension ref="A1"/>
  <sheetViews>
    <sheetView topLeftCell="A118" workbookViewId="0">
      <selection activeCell="A119" sqref="A119"/>
    </sheetView>
  </sheetViews>
  <sheetFormatPr defaultRowHeight="14.4"/>
  <sheetData/>
  <phoneticPr fontId="137"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CA52F-EAAB-4ED8-85C3-DFF439A90200}">
  <sheetPr>
    <tabColor rgb="FF7030A0"/>
  </sheetPr>
  <dimension ref="A1"/>
  <sheetViews>
    <sheetView topLeftCell="A160" workbookViewId="0">
      <selection activeCell="A162" sqref="A162"/>
    </sheetView>
  </sheetViews>
  <sheetFormatPr defaultRowHeight="14.4"/>
  <sheetData/>
  <phoneticPr fontId="137"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13B09-D280-47CA-8925-CDC1A8CD362C}">
  <sheetPr>
    <tabColor rgb="FF7030A0"/>
  </sheetPr>
  <dimension ref="A1"/>
  <sheetViews>
    <sheetView topLeftCell="A166" workbookViewId="0">
      <selection activeCell="A171" sqref="A171"/>
    </sheetView>
  </sheetViews>
  <sheetFormatPr defaultRowHeight="14.4"/>
  <sheetData/>
  <phoneticPr fontId="137"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2432</v>
      </c>
      <c r="B1" s="2579"/>
      <c r="C1" s="2591"/>
      <c r="D1" s="2591"/>
      <c r="E1" s="2580"/>
      <c r="F1" s="2581"/>
      <c r="G1" s="2582"/>
      <c r="J1" s="2585" t="s">
        <v>2311</v>
      </c>
      <c r="K1" s="2586"/>
      <c r="L1" s="2586"/>
      <c r="M1" s="2586"/>
      <c r="N1" s="2586"/>
      <c r="O1" s="2586"/>
      <c r="P1" s="2586"/>
      <c r="Q1" s="2586"/>
      <c r="R1" s="2587"/>
      <c r="S1" s="2588"/>
      <c r="T1" s="2588"/>
      <c r="U1" s="2588"/>
    </row>
    <row r="2" spans="1:22" s="2600" customFormat="1" ht="13.2" customHeight="1">
      <c r="A2" s="1292" t="s">
        <v>2312</v>
      </c>
      <c r="B2" s="2590" t="e">
        <f>IF(D2="——",C40,C40+E2)</f>
        <v>#DIV/0!</v>
      </c>
      <c r="C2" s="2591" t="s">
        <v>2313</v>
      </c>
      <c r="D2" s="3134" t="s">
        <v>3355</v>
      </c>
      <c r="E2" s="3135"/>
      <c r="F2" s="2593"/>
      <c r="G2" s="2594"/>
      <c r="H2" s="2595"/>
      <c r="I2" s="2596"/>
      <c r="J2" s="3499" t="s">
        <v>2314</v>
      </c>
      <c r="K2" s="3500"/>
      <c r="L2" s="2597" t="s">
        <v>2315</v>
      </c>
      <c r="M2" s="2597" t="s">
        <v>2316</v>
      </c>
      <c r="N2" s="2597" t="s">
        <v>2317</v>
      </c>
      <c r="O2" s="2597" t="s">
        <v>2318</v>
      </c>
      <c r="P2" s="2597" t="s">
        <v>2319</v>
      </c>
      <c r="Q2" s="2598" t="s">
        <v>2320</v>
      </c>
      <c r="R2" s="2599" t="s">
        <v>2321</v>
      </c>
      <c r="S2" s="2588"/>
      <c r="T2" s="2588"/>
      <c r="U2" s="2588"/>
      <c r="V2" s="2596"/>
    </row>
    <row r="3" spans="1:22" s="2600" customFormat="1" ht="13.2" customHeight="1">
      <c r="A3" s="2601" t="s">
        <v>2322</v>
      </c>
      <c r="B3" s="2602" t="e">
        <f>ROUND(B2*10000/B4,0)</f>
        <v>#DIV/0!</v>
      </c>
      <c r="C3" s="2591" t="s">
        <v>2323</v>
      </c>
      <c r="D3" s="2591"/>
      <c r="E3" s="2592"/>
      <c r="F3" s="2593"/>
      <c r="G3" s="2594"/>
      <c r="H3" s="2595"/>
      <c r="I3" s="2596"/>
      <c r="J3" s="3501" t="s">
        <v>2324</v>
      </c>
      <c r="K3" s="3502"/>
      <c r="L3" s="2603"/>
      <c r="M3" s="2603"/>
      <c r="N3" s="2603"/>
      <c r="O3" s="2603"/>
      <c r="P3" s="2603"/>
      <c r="Q3" s="2604"/>
      <c r="R3" s="2605">
        <f>SUM(L3:Q3)</f>
        <v>0</v>
      </c>
      <c r="S3" s="2588"/>
      <c r="T3" s="2588"/>
      <c r="U3" s="2588"/>
      <c r="V3" s="2596"/>
    </row>
    <row r="4" spans="1:22" s="2600" customFormat="1" ht="13.2" customHeight="1">
      <c r="A4" s="2606" t="s">
        <v>2325</v>
      </c>
      <c r="B4" s="2607"/>
      <c r="C4" s="2591"/>
      <c r="D4" s="2591"/>
      <c r="E4" s="2592"/>
      <c r="F4" s="2593"/>
      <c r="G4" s="2594"/>
      <c r="H4" s="2595"/>
      <c r="I4" s="2596"/>
      <c r="J4" s="3501" t="s">
        <v>2326</v>
      </c>
      <c r="K4" s="3502"/>
      <c r="L4" s="2608"/>
      <c r="M4" s="2608"/>
      <c r="N4" s="2608"/>
      <c r="O4" s="2608"/>
      <c r="P4" s="2608"/>
      <c r="Q4" s="2609"/>
      <c r="R4" s="2610">
        <f>SUM(L4:Q4)</f>
        <v>0</v>
      </c>
      <c r="S4" s="2588"/>
      <c r="T4" s="2588"/>
      <c r="U4" s="2588"/>
      <c r="V4" s="2596"/>
    </row>
    <row r="5" spans="1:22" s="2600" customFormat="1" ht="13.2" customHeight="1" thickBot="1">
      <c r="A5" s="2611" t="s">
        <v>2327</v>
      </c>
      <c r="B5" s="2612"/>
      <c r="C5" s="2591"/>
      <c r="D5" s="2613"/>
      <c r="E5" s="2593"/>
      <c r="F5" s="2593"/>
      <c r="G5" s="2594"/>
      <c r="H5" s="2595"/>
      <c r="I5" s="2596"/>
      <c r="J5" s="2614" t="s">
        <v>2328</v>
      </c>
      <c r="K5" s="2615"/>
      <c r="L5" s="2615"/>
      <c r="M5" s="2616"/>
      <c r="N5" s="2616"/>
      <c r="O5" s="2616"/>
      <c r="P5" s="2616"/>
      <c r="Q5" s="2616"/>
      <c r="R5" s="2599">
        <f>SUM(R14,R19,R24,R25,R27,R28)</f>
        <v>0</v>
      </c>
      <c r="S5" s="2588"/>
      <c r="T5" s="2588" t="s">
        <v>2329</v>
      </c>
      <c r="U5" s="2588" t="e">
        <f>ROUND(R5*10000/365/R3,1)</f>
        <v>#DIV/0!</v>
      </c>
      <c r="V5" s="2596"/>
    </row>
    <row r="6" spans="1:22" s="2600" customFormat="1" ht="13.2" customHeight="1" thickBot="1">
      <c r="A6" s="3507" t="s">
        <v>2330</v>
      </c>
      <c r="B6" s="3508"/>
      <c r="C6" s="3509"/>
      <c r="D6" s="2617"/>
      <c r="E6" s="2618"/>
      <c r="F6" s="2619"/>
      <c r="G6" s="2620"/>
      <c r="H6" s="2595"/>
      <c r="I6" s="2596"/>
      <c r="J6" s="3493">
        <v>1</v>
      </c>
      <c r="K6" s="3494" t="s">
        <v>2331</v>
      </c>
      <c r="L6" s="2621" t="s">
        <v>2332</v>
      </c>
      <c r="M6" s="2622" t="s">
        <v>2333</v>
      </c>
      <c r="N6" s="2622" t="s">
        <v>2334</v>
      </c>
      <c r="O6" s="2622" t="s">
        <v>2335</v>
      </c>
      <c r="P6" s="2622" t="s">
        <v>2336</v>
      </c>
      <c r="Q6" s="2622" t="s">
        <v>2337</v>
      </c>
      <c r="R6" s="2605" t="s">
        <v>2338</v>
      </c>
      <c r="S6" s="2588"/>
      <c r="T6" s="2588" t="s">
        <v>2339</v>
      </c>
      <c r="U6" s="2588"/>
      <c r="V6" s="2596"/>
    </row>
    <row r="7" spans="1:22" s="2600" customFormat="1" ht="13.2" customHeight="1">
      <c r="A7" s="2623" t="s">
        <v>2340</v>
      </c>
      <c r="B7" s="2624"/>
      <c r="C7" s="2625"/>
      <c r="D7" s="2626">
        <f>SUM(D9,D10,D11,D17,0)</f>
        <v>0</v>
      </c>
      <c r="E7" s="2627" t="e">
        <f>E9+E10+E11+E17</f>
        <v>#DIV/0!</v>
      </c>
      <c r="F7" s="2628"/>
      <c r="G7" s="2629"/>
      <c r="H7" s="2595"/>
      <c r="I7" s="2596"/>
      <c r="J7" s="3493"/>
      <c r="K7" s="3495"/>
      <c r="L7" s="2630" t="s">
        <v>2341</v>
      </c>
      <c r="M7" s="2631"/>
      <c r="N7" s="2607"/>
      <c r="O7" s="2632"/>
      <c r="P7" s="2632"/>
      <c r="Q7" s="2633">
        <v>365</v>
      </c>
      <c r="R7" s="2634">
        <f>ROUND(M7*N7*O7*P7*Q7/10000,0)</f>
        <v>0</v>
      </c>
      <c r="S7" s="2588"/>
      <c r="T7" s="2588" t="s">
        <v>2342</v>
      </c>
      <c r="U7" s="2588"/>
      <c r="V7" s="2596"/>
    </row>
    <row r="8" spans="1:22" s="2600" customFormat="1" ht="13.2" customHeight="1">
      <c r="A8" s="2635" t="s">
        <v>2343</v>
      </c>
      <c r="B8" s="3510" t="s">
        <v>2344</v>
      </c>
      <c r="C8" s="3511"/>
      <c r="D8" s="2636" t="s">
        <v>2345</v>
      </c>
      <c r="E8" s="2637" t="s">
        <v>2346</v>
      </c>
      <c r="F8" s="2638" t="s">
        <v>2347</v>
      </c>
      <c r="G8" s="2639"/>
      <c r="H8" s="2595"/>
      <c r="I8" s="2596"/>
      <c r="J8" s="3493"/>
      <c r="K8" s="3495"/>
      <c r="L8" s="2630" t="s">
        <v>2348</v>
      </c>
      <c r="M8" s="2631"/>
      <c r="N8" s="2607"/>
      <c r="O8" s="2632"/>
      <c r="P8" s="2632"/>
      <c r="Q8" s="2633">
        <v>365</v>
      </c>
      <c r="R8" s="2634">
        <f t="shared" ref="R8:R13" si="0">ROUND(M8*N8*O8*P8*Q8/10000,0)</f>
        <v>0</v>
      </c>
      <c r="S8" s="2588"/>
      <c r="T8" s="2588" t="s">
        <v>2349</v>
      </c>
      <c r="U8" s="2588"/>
      <c r="V8" s="2596"/>
    </row>
    <row r="9" spans="1:22" s="2600" customFormat="1" ht="13.2" customHeight="1">
      <c r="A9" s="2635">
        <v>1</v>
      </c>
      <c r="B9" s="3510" t="s">
        <v>2350</v>
      </c>
      <c r="C9" s="3511"/>
      <c r="D9" s="2636">
        <f>ROUND(D6*E9,0)</f>
        <v>0</v>
      </c>
      <c r="E9" s="2640"/>
      <c r="F9" s="2641" t="s">
        <v>2351</v>
      </c>
      <c r="G9" s="2620"/>
      <c r="H9" s="2595"/>
      <c r="I9" s="2596"/>
      <c r="J9" s="3493"/>
      <c r="K9" s="3495"/>
      <c r="L9" s="2630" t="s">
        <v>2352</v>
      </c>
      <c r="M9" s="2631"/>
      <c r="N9" s="2607"/>
      <c r="O9" s="2632"/>
      <c r="P9" s="2632"/>
      <c r="Q9" s="2633">
        <v>365</v>
      </c>
      <c r="R9" s="2634">
        <f t="shared" si="0"/>
        <v>0</v>
      </c>
      <c r="S9" s="2588"/>
      <c r="T9" s="2588"/>
      <c r="U9" s="2588"/>
      <c r="V9" s="2596"/>
    </row>
    <row r="10" spans="1:22" s="2600" customFormat="1" ht="13.2" customHeight="1">
      <c r="A10" s="2635">
        <v>2</v>
      </c>
      <c r="B10" s="3510" t="s">
        <v>2353</v>
      </c>
      <c r="C10" s="3511"/>
      <c r="D10" s="2636">
        <f>ROUND(D6*E10,0)</f>
        <v>0</v>
      </c>
      <c r="E10" s="2640"/>
      <c r="F10" s="2641" t="s">
        <v>2354</v>
      </c>
      <c r="G10" s="2620"/>
      <c r="H10" s="2595"/>
      <c r="I10" s="2596"/>
      <c r="J10" s="3493"/>
      <c r="K10" s="3495"/>
      <c r="L10" s="2630" t="s">
        <v>2355</v>
      </c>
      <c r="M10" s="2631"/>
      <c r="N10" s="2607"/>
      <c r="O10" s="2632"/>
      <c r="P10" s="2632"/>
      <c r="Q10" s="2633">
        <v>365</v>
      </c>
      <c r="R10" s="2634">
        <f t="shared" si="0"/>
        <v>0</v>
      </c>
      <c r="S10" s="2588"/>
      <c r="T10" s="2588"/>
      <c r="U10" s="2588"/>
      <c r="V10" s="2596"/>
    </row>
    <row r="11" spans="1:22" s="2600" customFormat="1" ht="13.2" customHeight="1">
      <c r="A11" s="2635">
        <v>3</v>
      </c>
      <c r="B11" s="3510" t="s">
        <v>2356</v>
      </c>
      <c r="C11" s="3511"/>
      <c r="D11" s="2636">
        <f>D12+D14+D15+D16</f>
        <v>0</v>
      </c>
      <c r="E11" s="2642" t="e">
        <f>D11/D6</f>
        <v>#DIV/0!</v>
      </c>
      <c r="F11" s="2638"/>
      <c r="G11" s="2639"/>
      <c r="H11" s="2595"/>
      <c r="I11" s="2596"/>
      <c r="J11" s="3493"/>
      <c r="K11" s="3495"/>
      <c r="L11" s="2630" t="s">
        <v>2357</v>
      </c>
      <c r="M11" s="2631"/>
      <c r="N11" s="2607"/>
      <c r="O11" s="2632"/>
      <c r="P11" s="2632"/>
      <c r="Q11" s="2633">
        <v>365</v>
      </c>
      <c r="R11" s="2634">
        <f t="shared" si="0"/>
        <v>0</v>
      </c>
      <c r="S11" s="2588"/>
      <c r="T11" s="2588"/>
      <c r="U11" s="2588"/>
      <c r="V11" s="2596"/>
    </row>
    <row r="12" spans="1:22" s="2600" customFormat="1" ht="13.2" customHeight="1">
      <c r="A12" s="2643" t="s">
        <v>2358</v>
      </c>
      <c r="B12" s="3503" t="s">
        <v>2359</v>
      </c>
      <c r="C12" s="3504"/>
      <c r="D12" s="2644">
        <f>ROUND(D13*1.2%*(1-30%),0)</f>
        <v>0</v>
      </c>
      <c r="E12" s="2645">
        <v>1.2E-2</v>
      </c>
      <c r="F12" s="2638" t="s">
        <v>2360</v>
      </c>
      <c r="G12" s="2639"/>
      <c r="H12" s="2595"/>
      <c r="I12" s="2596"/>
      <c r="J12" s="3493"/>
      <c r="K12" s="3495"/>
      <c r="L12" s="2630" t="s">
        <v>2361</v>
      </c>
      <c r="M12" s="2631"/>
      <c r="N12" s="2607"/>
      <c r="O12" s="2632"/>
      <c r="P12" s="2632"/>
      <c r="Q12" s="2633">
        <v>365</v>
      </c>
      <c r="R12" s="2634">
        <f t="shared" si="0"/>
        <v>0</v>
      </c>
      <c r="S12" s="2588"/>
      <c r="T12" s="2588"/>
      <c r="U12" s="2588"/>
      <c r="V12" s="2596"/>
    </row>
    <row r="13" spans="1:22" s="2600" customFormat="1" ht="13.2" customHeight="1">
      <c r="A13" s="2643"/>
      <c r="B13" s="2646"/>
      <c r="C13" s="2647" t="s">
        <v>2362</v>
      </c>
      <c r="D13" s="2648"/>
      <c r="E13" s="2649"/>
      <c r="F13" s="2638"/>
      <c r="G13" s="2639"/>
      <c r="H13" s="2595"/>
      <c r="I13" s="2596"/>
      <c r="J13" s="3493"/>
      <c r="K13" s="3495"/>
      <c r="L13" s="2630" t="s">
        <v>2363</v>
      </c>
      <c r="M13" s="2631"/>
      <c r="N13" s="2607"/>
      <c r="O13" s="2632"/>
      <c r="P13" s="2632"/>
      <c r="Q13" s="2633">
        <v>365</v>
      </c>
      <c r="R13" s="2634">
        <f t="shared" si="0"/>
        <v>0</v>
      </c>
      <c r="S13" s="2588"/>
      <c r="T13" s="2588"/>
      <c r="U13" s="2588"/>
      <c r="V13" s="2596"/>
    </row>
    <row r="14" spans="1:22" s="2600" customFormat="1" ht="13.2" customHeight="1">
      <c r="A14" s="2643" t="s">
        <v>2364</v>
      </c>
      <c r="B14" s="3503" t="s">
        <v>2365</v>
      </c>
      <c r="C14" s="3504"/>
      <c r="D14" s="2644">
        <f>ROUND(E14*B5/10000,0)</f>
        <v>0</v>
      </c>
      <c r="E14" s="2633"/>
      <c r="F14" s="2638" t="s">
        <v>2366</v>
      </c>
      <c r="G14" s="2639"/>
      <c r="H14" s="2595"/>
      <c r="I14" s="2596"/>
      <c r="J14" s="3493"/>
      <c r="K14" s="3496"/>
      <c r="L14" s="2650" t="s">
        <v>2367</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2368</v>
      </c>
      <c r="B15" s="3503" t="s">
        <v>2369</v>
      </c>
      <c r="C15" s="3504"/>
      <c r="D15" s="2644">
        <f>ROUND(D6*E15,0)</f>
        <v>0</v>
      </c>
      <c r="E15" s="2645">
        <v>5.5E-2</v>
      </c>
      <c r="F15" s="2638" t="s">
        <v>2370</v>
      </c>
      <c r="G15" s="2620"/>
      <c r="H15" s="2595"/>
      <c r="I15" s="2596"/>
      <c r="J15" s="3493">
        <v>2</v>
      </c>
      <c r="K15" s="3494" t="s">
        <v>2371</v>
      </c>
      <c r="L15" s="2630" t="s">
        <v>2372</v>
      </c>
      <c r="M15" s="2631" t="s">
        <v>2373</v>
      </c>
      <c r="N15" s="2631" t="s">
        <v>2374</v>
      </c>
      <c r="O15" s="2632" t="s">
        <v>2375</v>
      </c>
      <c r="P15" s="2632" t="s">
        <v>2337</v>
      </c>
      <c r="Q15" s="2607" t="s">
        <v>2376</v>
      </c>
      <c r="R15" s="2654" t="s">
        <v>2338</v>
      </c>
      <c r="S15" s="2588"/>
      <c r="T15" s="2588"/>
      <c r="U15" s="2588"/>
      <c r="V15" s="2596"/>
    </row>
    <row r="16" spans="1:22" s="2600" customFormat="1" ht="13.2" customHeight="1">
      <c r="A16" s="2643" t="s">
        <v>2377</v>
      </c>
      <c r="B16" s="3503" t="s">
        <v>2378</v>
      </c>
      <c r="C16" s="3504"/>
      <c r="D16" s="2655">
        <f>D6*E16</f>
        <v>0</v>
      </c>
      <c r="E16" s="2656"/>
      <c r="F16" s="2641" t="s">
        <v>2379</v>
      </c>
      <c r="G16" s="2620"/>
      <c r="H16" s="2595"/>
      <c r="I16" s="2596"/>
      <c r="J16" s="3493"/>
      <c r="K16" s="3495"/>
      <c r="L16" s="2630" t="s">
        <v>2380</v>
      </c>
      <c r="M16" s="2631"/>
      <c r="N16" s="2631"/>
      <c r="O16" s="2632"/>
      <c r="P16" s="2633">
        <v>365</v>
      </c>
      <c r="Q16" s="2607"/>
      <c r="R16" s="2654">
        <f>ROUND(M16*N16*O16*P16/10000,0)</f>
        <v>0</v>
      </c>
      <c r="S16" s="2588"/>
      <c r="T16" s="2588"/>
      <c r="U16" s="2588"/>
      <c r="V16" s="2596"/>
    </row>
    <row r="17" spans="1:22" s="2600" customFormat="1" ht="13.2" customHeight="1" thickBot="1">
      <c r="A17" s="2657">
        <v>4</v>
      </c>
      <c r="B17" s="3505" t="s">
        <v>2381</v>
      </c>
      <c r="C17" s="3506"/>
      <c r="D17" s="2658">
        <f>ROUND(D6*E17,0)</f>
        <v>0</v>
      </c>
      <c r="E17" s="2659"/>
      <c r="F17" s="2660" t="s">
        <v>2382</v>
      </c>
      <c r="G17" s="2620"/>
      <c r="H17" s="2595"/>
      <c r="I17" s="2596"/>
      <c r="J17" s="3493"/>
      <c r="K17" s="3495"/>
      <c r="L17" s="2630" t="s">
        <v>2383</v>
      </c>
      <c r="M17" s="2631"/>
      <c r="N17" s="2631"/>
      <c r="O17" s="2632"/>
      <c r="P17" s="2633">
        <v>365</v>
      </c>
      <c r="Q17" s="2607"/>
      <c r="R17" s="2654">
        <f>ROUND(M17*N17*O17*P17/10000,0)</f>
        <v>0</v>
      </c>
      <c r="S17" s="2588"/>
      <c r="T17" s="2588"/>
      <c r="U17" s="2588"/>
      <c r="V17" s="2596"/>
    </row>
    <row r="18" spans="1:22" s="2600" customFormat="1" ht="13.2" customHeight="1" thickBot="1">
      <c r="A18" s="2623" t="s">
        <v>2384</v>
      </c>
      <c r="B18" s="2624"/>
      <c r="C18" s="2624"/>
      <c r="D18" s="2661">
        <f>ROUND(D6*E18,0)</f>
        <v>0</v>
      </c>
      <c r="E18" s="2662"/>
      <c r="F18" s="2663" t="s">
        <v>2385</v>
      </c>
      <c r="G18" s="2620"/>
      <c r="H18" s="2595"/>
      <c r="I18" s="2596"/>
      <c r="J18" s="3493"/>
      <c r="K18" s="3495"/>
      <c r="L18" s="2630" t="s">
        <v>2386</v>
      </c>
      <c r="M18" s="2631"/>
      <c r="N18" s="2631"/>
      <c r="O18" s="2632"/>
      <c r="P18" s="2633">
        <v>365</v>
      </c>
      <c r="Q18" s="2607"/>
      <c r="R18" s="2654">
        <f>ROUND(M18*N18*O18*P18/10000,0)</f>
        <v>0</v>
      </c>
      <c r="S18" s="2588"/>
      <c r="T18" s="2588"/>
      <c r="U18" s="2588"/>
      <c r="V18" s="2596"/>
    </row>
    <row r="19" spans="1:22" s="2600" customFormat="1" ht="13.2" customHeight="1" thickBot="1">
      <c r="A19" s="2664" t="s">
        <v>2387</v>
      </c>
      <c r="B19" s="2618"/>
      <c r="C19" s="2618"/>
      <c r="D19" s="2618"/>
      <c r="E19" s="2618"/>
      <c r="F19" s="2619"/>
      <c r="G19" s="2639"/>
      <c r="H19" s="2595"/>
      <c r="I19" s="2596"/>
      <c r="J19" s="3493"/>
      <c r="K19" s="3496"/>
      <c r="L19" s="2650" t="s">
        <v>2367</v>
      </c>
      <c r="M19" s="2651"/>
      <c r="N19" s="2651">
        <f>SUM(N16:N18)</f>
        <v>0</v>
      </c>
      <c r="O19" s="2652"/>
      <c r="P19" s="2665" t="s">
        <v>2431</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493">
        <v>3</v>
      </c>
      <c r="K20" s="3494" t="s">
        <v>2388</v>
      </c>
      <c r="L20" s="2630" t="s">
        <v>2389</v>
      </c>
      <c r="M20" s="2631" t="s">
        <v>2390</v>
      </c>
      <c r="N20" s="2668" t="s">
        <v>2391</v>
      </c>
      <c r="O20" s="2632" t="s">
        <v>2392</v>
      </c>
      <c r="P20" s="2633" t="s">
        <v>2393</v>
      </c>
      <c r="Q20" s="2607" t="s">
        <v>2394</v>
      </c>
      <c r="R20" s="2654" t="s">
        <v>2395</v>
      </c>
      <c r="S20" s="2588"/>
      <c r="T20" s="2588"/>
      <c r="U20" s="2588"/>
      <c r="V20" s="2596"/>
    </row>
    <row r="21" spans="1:22" s="2600" customFormat="1" ht="13.2" customHeight="1">
      <c r="A21" s="2623"/>
      <c r="B21" s="2624"/>
      <c r="C21" s="2669" t="s">
        <v>2396</v>
      </c>
      <c r="D21" s="2670" t="s">
        <v>2397</v>
      </c>
      <c r="E21" s="2671" t="s">
        <v>2398</v>
      </c>
      <c r="F21" s="2667"/>
      <c r="G21" s="2639"/>
      <c r="H21" s="2595"/>
      <c r="I21" s="2596"/>
      <c r="J21" s="3493"/>
      <c r="K21" s="3495"/>
      <c r="L21" s="2630" t="s">
        <v>2399</v>
      </c>
      <c r="M21" s="2631"/>
      <c r="N21" s="2631"/>
      <c r="O21" s="2632"/>
      <c r="P21" s="2633">
        <v>365</v>
      </c>
      <c r="Q21" s="2607"/>
      <c r="R21" s="2672">
        <f>ROUND(M21*N21*O21*P21/10000,0)</f>
        <v>0</v>
      </c>
      <c r="S21" s="2588"/>
      <c r="T21" s="2588"/>
      <c r="U21" s="2588"/>
      <c r="V21" s="2596"/>
    </row>
    <row r="22" spans="1:22" s="2600" customFormat="1" ht="13.2" customHeight="1">
      <c r="A22" s="2623"/>
      <c r="B22" s="2624"/>
      <c r="C22" s="2673" t="s">
        <v>2400</v>
      </c>
      <c r="D22" s="2674" t="s">
        <v>2401</v>
      </c>
      <c r="E22" s="2675" t="s">
        <v>2402</v>
      </c>
      <c r="F22" s="2667"/>
      <c r="G22" s="2588"/>
      <c r="H22" s="2595"/>
      <c r="I22" s="2596"/>
      <c r="J22" s="3493"/>
      <c r="K22" s="3495"/>
      <c r="L22" s="2630" t="s">
        <v>2403</v>
      </c>
      <c r="M22" s="2631"/>
      <c r="N22" s="2631"/>
      <c r="O22" s="2632"/>
      <c r="P22" s="2633">
        <v>365</v>
      </c>
      <c r="Q22" s="2607"/>
      <c r="R22" s="2672">
        <f>ROUND(M22*N22*O22*P22/10000,0)</f>
        <v>0</v>
      </c>
      <c r="S22" s="2588"/>
      <c r="T22" s="2588"/>
      <c r="U22" s="2588"/>
      <c r="V22" s="2596"/>
    </row>
    <row r="23" spans="1:22" s="2600" customFormat="1" ht="13.2" customHeight="1">
      <c r="A23" s="2676">
        <v>1</v>
      </c>
      <c r="B23" s="2677" t="s">
        <v>2404</v>
      </c>
      <c r="C23" s="2678">
        <f>D6</f>
        <v>0</v>
      </c>
      <c r="D23" s="2679">
        <f>C23*(1+D24)</f>
        <v>0</v>
      </c>
      <c r="E23" s="2680">
        <f>D23*(1+E24)</f>
        <v>0</v>
      </c>
      <c r="F23" s="2681"/>
      <c r="G23" s="2682"/>
      <c r="H23" s="2595"/>
      <c r="I23" s="2596"/>
      <c r="J23" s="3493"/>
      <c r="K23" s="3495"/>
      <c r="L23" s="2630" t="s">
        <v>2405</v>
      </c>
      <c r="M23" s="2631"/>
      <c r="N23" s="2631"/>
      <c r="O23" s="2632"/>
      <c r="P23" s="2633">
        <v>365</v>
      </c>
      <c r="Q23" s="2607"/>
      <c r="R23" s="2672">
        <f>ROUND(M23*N23*O23*P23/10000,0)</f>
        <v>0</v>
      </c>
      <c r="S23" s="2588"/>
      <c r="T23" s="2588"/>
      <c r="U23" s="2588"/>
      <c r="V23" s="2596"/>
    </row>
    <row r="24" spans="1:22" s="2600" customFormat="1" ht="13.2" customHeight="1">
      <c r="A24" s="2683"/>
      <c r="B24" s="2684" t="s">
        <v>2406</v>
      </c>
      <c r="C24" s="2685"/>
      <c r="D24" s="2686"/>
      <c r="E24" s="2687"/>
      <c r="F24" s="2688"/>
      <c r="G24" s="2682"/>
      <c r="H24" s="2595"/>
      <c r="I24" s="2596"/>
      <c r="J24" s="3493"/>
      <c r="K24" s="3496"/>
      <c r="L24" s="2650" t="s">
        <v>2367</v>
      </c>
      <c r="M24" s="2651">
        <f>SUM(M21:M23)</f>
        <v>0</v>
      </c>
      <c r="N24" s="2651"/>
      <c r="O24" s="2652"/>
      <c r="P24" s="2665" t="s">
        <v>2431</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2407</v>
      </c>
      <c r="L25" s="2691"/>
      <c r="M25" s="2691"/>
      <c r="N25" s="2691"/>
      <c r="O25" s="2691"/>
      <c r="P25" s="2692"/>
      <c r="Q25" s="2693">
        <v>0</v>
      </c>
      <c r="R25" s="2666">
        <f>ROUND(R14*Q25,0)</f>
        <v>0</v>
      </c>
      <c r="S25" s="2588"/>
      <c r="T25" s="2588"/>
      <c r="U25" s="2588"/>
      <c r="V25" s="2694"/>
    </row>
    <row r="26" spans="1:22" s="2695" customFormat="1" ht="13.2" customHeight="1">
      <c r="A26" s="2676">
        <v>2</v>
      </c>
      <c r="B26" s="2677" t="s">
        <v>2408</v>
      </c>
      <c r="C26" s="2678">
        <f>D7</f>
        <v>0</v>
      </c>
      <c r="D26" s="2679">
        <f>D23*D27</f>
        <v>0</v>
      </c>
      <c r="E26" s="2680">
        <f>E23*E27</f>
        <v>0</v>
      </c>
      <c r="F26" s="2681"/>
      <c r="G26" s="2682"/>
      <c r="H26" s="2595"/>
      <c r="I26" s="2596"/>
      <c r="J26" s="3497">
        <v>5</v>
      </c>
      <c r="K26" s="2696" t="s">
        <v>2409</v>
      </c>
      <c r="L26" s="2697"/>
      <c r="M26" s="2698"/>
      <c r="N26" s="2699" t="s">
        <v>2410</v>
      </c>
      <c r="O26" s="2699" t="s">
        <v>2411</v>
      </c>
      <c r="P26" s="2700" t="s">
        <v>2412</v>
      </c>
      <c r="Q26" s="2700" t="s">
        <v>2413</v>
      </c>
      <c r="R26" s="2605" t="s">
        <v>2338</v>
      </c>
      <c r="S26" s="2639"/>
      <c r="T26" s="2639"/>
      <c r="U26" s="2639"/>
      <c r="V26" s="2694"/>
    </row>
    <row r="27" spans="1:22" s="2600" customFormat="1" ht="13.2" customHeight="1">
      <c r="A27" s="2683"/>
      <c r="B27" s="2684" t="s">
        <v>2414</v>
      </c>
      <c r="C27" s="2701" t="e">
        <f>E7</f>
        <v>#DIV/0!</v>
      </c>
      <c r="D27" s="2686"/>
      <c r="E27" s="2687"/>
      <c r="F27" s="2688"/>
      <c r="G27" s="2682"/>
      <c r="H27" s="2702"/>
      <c r="I27" s="2694"/>
      <c r="J27" s="3498"/>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2415</v>
      </c>
      <c r="F28" s="2688"/>
      <c r="G28" s="2588"/>
      <c r="H28" s="2702"/>
      <c r="I28" s="2694"/>
      <c r="J28" s="2708">
        <v>6</v>
      </c>
      <c r="K28" s="2709" t="s">
        <v>2416</v>
      </c>
      <c r="L28" s="2710" t="s">
        <v>2417</v>
      </c>
      <c r="M28" s="2711"/>
      <c r="N28" s="2710" t="s">
        <v>2418</v>
      </c>
      <c r="O28" s="2712"/>
      <c r="P28" s="2710" t="s">
        <v>2419</v>
      </c>
      <c r="Q28" s="2713">
        <v>1.4999999999999999E-2</v>
      </c>
      <c r="R28" s="2714"/>
      <c r="S28" s="2588"/>
      <c r="T28" s="2588"/>
      <c r="U28" s="2588"/>
      <c r="V28" s="2694"/>
    </row>
    <row r="29" spans="1:22" s="2695" customFormat="1" ht="13.2" customHeight="1">
      <c r="A29" s="2676">
        <v>3</v>
      </c>
      <c r="B29" s="2677" t="s">
        <v>2420</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2414</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2421</v>
      </c>
      <c r="K31" s="2586"/>
      <c r="L31" s="2586"/>
      <c r="M31" s="2586"/>
      <c r="N31" s="2586"/>
      <c r="O31" s="2586"/>
      <c r="P31" s="2586"/>
      <c r="Q31" s="2586"/>
      <c r="R31" s="2587"/>
      <c r="S31" s="2588"/>
      <c r="T31" s="2588"/>
      <c r="U31" s="2588"/>
      <c r="V31" s="2694"/>
    </row>
    <row r="32" spans="1:22" s="2695" customFormat="1" ht="13.2" customHeight="1">
      <c r="A32" s="2676">
        <v>4</v>
      </c>
      <c r="B32" s="2677" t="s">
        <v>2422</v>
      </c>
      <c r="C32" s="2678">
        <f>C23-C26-C29</f>
        <v>0</v>
      </c>
      <c r="D32" s="2679">
        <f>D23-D26-D29</f>
        <v>0</v>
      </c>
      <c r="E32" s="2680">
        <f>E23-E26-E29</f>
        <v>0</v>
      </c>
      <c r="F32" s="2681"/>
      <c r="G32" s="2588"/>
      <c r="H32" s="2595"/>
      <c r="I32" s="2596"/>
      <c r="J32" s="3499" t="s">
        <v>2314</v>
      </c>
      <c r="K32" s="3500"/>
      <c r="L32" s="2597" t="s">
        <v>2315</v>
      </c>
      <c r="M32" s="2597" t="s">
        <v>2316</v>
      </c>
      <c r="N32" s="2597" t="s">
        <v>2317</v>
      </c>
      <c r="O32" s="2597" t="s">
        <v>2318</v>
      </c>
      <c r="P32" s="2597" t="s">
        <v>2319</v>
      </c>
      <c r="Q32" s="2598" t="s">
        <v>2320</v>
      </c>
      <c r="R32" s="2717" t="s">
        <v>2321</v>
      </c>
      <c r="S32" s="2588"/>
      <c r="T32" s="2588"/>
      <c r="U32" s="2588"/>
      <c r="V32" s="2694"/>
    </row>
    <row r="33" spans="1:23" s="2600" customFormat="1" ht="13.2" customHeight="1">
      <c r="A33" s="2676"/>
      <c r="B33" s="2677"/>
      <c r="C33" s="2678"/>
      <c r="D33" s="2718"/>
      <c r="E33" s="2719"/>
      <c r="F33" s="2681"/>
      <c r="G33" s="2588"/>
      <c r="H33" s="2702"/>
      <c r="I33" s="2694"/>
      <c r="J33" s="3501" t="s">
        <v>2324</v>
      </c>
      <c r="K33" s="3502"/>
      <c r="L33" s="2603"/>
      <c r="M33" s="2603"/>
      <c r="N33" s="2603"/>
      <c r="O33" s="2603"/>
      <c r="P33" s="2603"/>
      <c r="Q33" s="2604"/>
      <c r="R33" s="2720">
        <f>SUM(L33:Q33)</f>
        <v>0</v>
      </c>
      <c r="S33" s="2588"/>
      <c r="T33" s="2588"/>
      <c r="U33" s="2588"/>
      <c r="V33" s="2596"/>
    </row>
    <row r="34" spans="1:23" s="2600" customFormat="1" ht="13.2" customHeight="1">
      <c r="A34" s="2676">
        <v>5</v>
      </c>
      <c r="B34" s="2677" t="s">
        <v>2423</v>
      </c>
      <c r="C34" s="2721"/>
      <c r="D34" s="2722"/>
      <c r="E34" s="2723"/>
      <c r="F34" s="2681"/>
      <c r="G34" s="2588"/>
      <c r="H34" s="2702"/>
      <c r="I34" s="2694"/>
      <c r="J34" s="3501" t="s">
        <v>2326</v>
      </c>
      <c r="K34" s="3502"/>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2424</v>
      </c>
      <c r="C35" s="2725"/>
      <c r="D35" s="2726"/>
      <c r="E35" s="2727"/>
      <c r="F35" s="2681"/>
      <c r="G35" s="2728"/>
      <c r="H35" s="2595"/>
      <c r="I35" s="2694"/>
      <c r="J35" s="2614" t="s">
        <v>2328</v>
      </c>
      <c r="K35" s="2615"/>
      <c r="L35" s="2615"/>
      <c r="M35" s="2616"/>
      <c r="N35" s="2616"/>
      <c r="O35" s="2616"/>
      <c r="P35" s="2616"/>
      <c r="Q35" s="2616"/>
      <c r="R35" s="2729">
        <f>R40+R41+R43</f>
        <v>0</v>
      </c>
      <c r="S35" s="2588"/>
      <c r="T35" s="2588" t="s">
        <v>2329</v>
      </c>
      <c r="U35" s="2588"/>
      <c r="V35" s="2596"/>
    </row>
    <row r="36" spans="1:23" s="2600" customFormat="1" ht="13.2" customHeight="1" thickBot="1">
      <c r="A36" s="2676">
        <v>7</v>
      </c>
      <c r="B36" s="2730" t="s">
        <v>2425</v>
      </c>
      <c r="C36" s="2731"/>
      <c r="D36" s="2732"/>
      <c r="E36" s="2733"/>
      <c r="F36" s="2734">
        <f>C36+D36+E36</f>
        <v>0</v>
      </c>
      <c r="G36" s="2588"/>
      <c r="H36" s="2595"/>
      <c r="I36" s="2596"/>
      <c r="J36" s="3493">
        <v>1</v>
      </c>
      <c r="K36" s="3494" t="s">
        <v>2426</v>
      </c>
      <c r="L36" s="2621"/>
      <c r="M36" s="2622"/>
      <c r="N36" s="2622"/>
      <c r="O36" s="2622"/>
      <c r="P36" s="2622"/>
      <c r="Q36" s="2622"/>
      <c r="R36" s="2605" t="s">
        <v>2338</v>
      </c>
      <c r="S36" s="2588"/>
      <c r="T36" s="2588" t="s">
        <v>2339</v>
      </c>
      <c r="U36" s="2588"/>
      <c r="V36" s="2596"/>
    </row>
    <row r="37" spans="1:23" s="2600" customFormat="1" ht="13.2" customHeight="1">
      <c r="A37" s="2676"/>
      <c r="B37" s="2677"/>
      <c r="C37" s="2677"/>
      <c r="D37" s="2677"/>
      <c r="E37" s="2677"/>
      <c r="F37" s="2681"/>
      <c r="G37" s="2588"/>
      <c r="H37" s="2595"/>
      <c r="I37" s="2596"/>
      <c r="J37" s="3493"/>
      <c r="K37" s="3495"/>
      <c r="L37" s="2630"/>
      <c r="M37" s="2631"/>
      <c r="N37" s="2607"/>
      <c r="O37" s="2632"/>
      <c r="P37" s="2632"/>
      <c r="Q37" s="2633"/>
      <c r="R37" s="2634"/>
      <c r="S37" s="2588"/>
      <c r="T37" s="2588" t="s">
        <v>2342</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493"/>
      <c r="K38" s="3495"/>
      <c r="L38" s="2630"/>
      <c r="M38" s="2631"/>
      <c r="N38" s="2607"/>
      <c r="O38" s="2632"/>
      <c r="P38" s="2632"/>
      <c r="Q38" s="2633"/>
      <c r="R38" s="2634"/>
      <c r="S38" s="2588"/>
      <c r="T38" s="2588" t="s">
        <v>2349</v>
      </c>
      <c r="U38" s="2588"/>
      <c r="V38" s="2596"/>
    </row>
    <row r="39" spans="1:23" s="2600" customFormat="1" ht="13.2" customHeight="1">
      <c r="A39" s="2676">
        <v>9</v>
      </c>
      <c r="B39" s="2677" t="s">
        <v>2427</v>
      </c>
      <c r="C39" s="2644" t="e">
        <f>C38</f>
        <v>#DIV/0!</v>
      </c>
      <c r="D39" s="2677">
        <f>D38/(1+D34)^C36</f>
        <v>0</v>
      </c>
      <c r="E39" s="2677">
        <f>E38/(1+E34)^(C36+D36)</f>
        <v>0</v>
      </c>
      <c r="F39" s="2681"/>
      <c r="G39" s="2596"/>
      <c r="H39" s="2595"/>
      <c r="I39" s="2596"/>
      <c r="J39" s="3493"/>
      <c r="K39" s="3495"/>
      <c r="L39" s="2630"/>
      <c r="M39" s="2631"/>
      <c r="N39" s="2607"/>
      <c r="O39" s="2632"/>
      <c r="P39" s="2632"/>
      <c r="Q39" s="2633"/>
      <c r="R39" s="2634"/>
      <c r="S39" s="2588"/>
      <c r="T39" s="2588"/>
      <c r="U39" s="2588"/>
      <c r="V39" s="2596"/>
    </row>
    <row r="40" spans="1:23" s="2600" customFormat="1" ht="13.2" customHeight="1">
      <c r="A40" s="2735">
        <v>10</v>
      </c>
      <c r="B40" s="2677" t="s">
        <v>2428</v>
      </c>
      <c r="C40" s="2736" t="e">
        <f>C39+D39+E39</f>
        <v>#DIV/0!</v>
      </c>
      <c r="D40" s="2737"/>
      <c r="E40" s="2737"/>
      <c r="F40" s="2738"/>
      <c r="G40" s="2588"/>
      <c r="H40" s="2595"/>
      <c r="I40" s="2596"/>
      <c r="J40" s="3493"/>
      <c r="K40" s="3496"/>
      <c r="L40" s="2650" t="s">
        <v>2367</v>
      </c>
      <c r="M40" s="2651"/>
      <c r="N40" s="2651"/>
      <c r="O40" s="2652"/>
      <c r="P40" s="2652"/>
      <c r="Q40" s="2653"/>
      <c r="R40" s="2599">
        <f>SUM(R37:R39)</f>
        <v>0</v>
      </c>
      <c r="S40" s="2588"/>
      <c r="T40" s="2588"/>
      <c r="U40" s="2588"/>
      <c r="V40" s="2596"/>
    </row>
    <row r="41" spans="1:23" s="2600" customFormat="1" ht="13.2" customHeight="1" thickBot="1">
      <c r="A41" s="2739">
        <v>11</v>
      </c>
      <c r="B41" s="2740" t="s">
        <v>2429</v>
      </c>
      <c r="C41" s="2740" t="e">
        <f>ROUND(C40*10000/B4,0)</f>
        <v>#DIV/0!</v>
      </c>
      <c r="D41" s="2741"/>
      <c r="E41" s="2741"/>
      <c r="F41" s="2742"/>
      <c r="G41" s="2595"/>
      <c r="H41" s="2595"/>
      <c r="I41" s="2596"/>
      <c r="J41" s="2689">
        <v>2</v>
      </c>
      <c r="K41" s="2690" t="s">
        <v>2407</v>
      </c>
      <c r="L41" s="2691"/>
      <c r="M41" s="2691"/>
      <c r="N41" s="2691"/>
      <c r="O41" s="2691"/>
      <c r="P41" s="2692"/>
      <c r="Q41" s="2693"/>
      <c r="R41" s="2666">
        <f>ROUND(R40*Q41,0)</f>
        <v>0</v>
      </c>
      <c r="S41" s="2588"/>
      <c r="T41" s="2588"/>
      <c r="U41" s="2639"/>
      <c r="V41" s="2596"/>
    </row>
    <row r="42" spans="1:23" s="2600" customFormat="1" ht="13.2" customHeight="1">
      <c r="G42" s="2595"/>
      <c r="H42" s="2595"/>
      <c r="I42" s="2596"/>
      <c r="J42" s="3497">
        <v>3</v>
      </c>
      <c r="K42" s="2696" t="s">
        <v>2409</v>
      </c>
      <c r="L42" s="2697"/>
      <c r="M42" s="2698"/>
      <c r="N42" s="2699" t="s">
        <v>2410</v>
      </c>
      <c r="O42" s="2699" t="s">
        <v>2411</v>
      </c>
      <c r="P42" s="2700" t="s">
        <v>2412</v>
      </c>
      <c r="Q42" s="2700" t="s">
        <v>2413</v>
      </c>
      <c r="R42" s="2605" t="s">
        <v>2338</v>
      </c>
      <c r="S42" s="2639"/>
      <c r="T42" s="2639"/>
      <c r="U42" s="2588"/>
      <c r="V42" s="2596"/>
    </row>
    <row r="43" spans="1:23" ht="13.2" customHeight="1">
      <c r="A43" s="2600"/>
      <c r="B43" s="2600"/>
      <c r="C43" s="2600"/>
      <c r="D43" s="2600"/>
      <c r="E43" s="2600"/>
      <c r="F43" s="2600"/>
      <c r="I43" s="2583"/>
      <c r="J43" s="3498"/>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2416</v>
      </c>
      <c r="L44" s="2745" t="s">
        <v>2417</v>
      </c>
      <c r="M44" s="2711"/>
      <c r="N44" s="2745" t="s">
        <v>2418</v>
      </c>
      <c r="O44" s="2711"/>
      <c r="P44" s="2745" t="s">
        <v>2419</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v>
      </c>
    </row>
    <row r="4" spans="1:1" ht="52.2">
      <c r="A4" s="1381" t="str">
        <f>"受贵公司委托，我公司对"&amp;项目基本情况!S1&amp;"进行了预评估。"</f>
        <v>受贵公司委托，我公司对北京市房山区揽秀南街15号院5号楼5-1-4等47套住宅、13号院10幢-1-1006等1147个地下车位房地产抵押价值进行了预评估。</v>
      </c>
    </row>
    <row r="5" spans="1:1" ht="17.399999999999999">
      <c r="A5" s="1382" t="s">
        <v>899</v>
      </c>
    </row>
    <row r="6" spans="1:1" ht="17.399999999999999">
      <c r="A6" s="1383" t="s">
        <v>900</v>
      </c>
    </row>
    <row r="7" spans="1:1" ht="69.59999999999999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揽秀南街15号院5号楼5-1-4等47套住宅、13号院10幢-1-1006等1147个地下车位房地产，为所有。根据《国有土地使用证》[]，估价对象（分摊）出让国有建设用地使用权面积为0平方米，建筑面积为216.68平方米。</v>
      </c>
    </row>
    <row r="8" spans="1:1" ht="54.6">
      <c r="A8" s="1384" t="s">
        <v>901</v>
      </c>
    </row>
    <row r="9" spans="1:1" ht="17.399999999999999">
      <c r="A9" s="1383" t="s">
        <v>902</v>
      </c>
    </row>
    <row r="10" spans="1:1" ht="69.599999999999994">
      <c r="A10" s="1381"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揽秀南街15号院5号楼5-1-4等47套住宅、13号院10幢-1-1006等1147个地下车位房地产,属开发建设的居住项目，该项目尚在开发建设中。根据《国有土地使用证》[]，估价对象（分摊）出让国有建设用地使用权面积为0平方米，规划建筑面积为216.68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房山区揽秀南街15号院5号楼5-1-4等47套住宅、13号院10幢-1-1006等1147个地下车位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2025年6月18日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18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896</v>
      </c>
    </row>
    <row r="24" spans="1:1" ht="17.399999999999999">
      <c r="A24" s="1386" t="str">
        <f>"本次评估采用的主估价方法为"&amp;'结果表-住宅'!K4&amp;"和"&amp;'结果表-住宅'!L4&amp;"。"</f>
        <v>本次评估采用的主估价方法为比较法和成本法。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5"/>
      <c r="G1" s="459"/>
      <c r="H1" s="459"/>
      <c r="I1" s="459"/>
      <c r="J1" s="459"/>
      <c r="K1" s="459"/>
      <c r="L1" s="459"/>
      <c r="M1" s="459"/>
      <c r="N1" s="459"/>
      <c r="O1" s="459"/>
      <c r="P1" s="459"/>
      <c r="Q1" s="459"/>
      <c r="R1" s="459"/>
      <c r="S1" s="459"/>
    </row>
    <row r="2" spans="1:22" ht="15.6">
      <c r="A2" s="1727" t="s">
        <v>1462</v>
      </c>
      <c r="B2" s="811" t="e">
        <f ca="1">SUMIF(B6:B13,"&lt;&gt;#ref!",B6:B13)</f>
        <v>#DIV/0!</v>
      </c>
      <c r="C2" s="1728" t="s">
        <v>1651</v>
      </c>
      <c r="D2" s="1729" t="s">
        <v>1652</v>
      </c>
      <c r="E2" s="2389">
        <f>SUM(E6:E13)</f>
        <v>216.68</v>
      </c>
      <c r="F2" s="2475"/>
      <c r="G2" s="459"/>
      <c r="H2" s="459"/>
      <c r="I2" s="459"/>
      <c r="J2" s="459"/>
      <c r="K2" s="459"/>
      <c r="L2" s="459"/>
      <c r="M2" s="459"/>
      <c r="N2" s="459"/>
      <c r="O2" s="459"/>
      <c r="P2" s="459"/>
      <c r="Q2" s="459"/>
      <c r="R2" s="459"/>
      <c r="S2" s="459"/>
    </row>
    <row r="3" spans="1:22" ht="15.6">
      <c r="A3" s="1727" t="s">
        <v>686</v>
      </c>
      <c r="B3" s="2383" t="e">
        <f ca="1">ROUND(B2*10000/E2,0)</f>
        <v>#DIV/0!</v>
      </c>
      <c r="C3" s="1728" t="s">
        <v>1659</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5" t="s">
        <v>1653</v>
      </c>
      <c r="B5" s="3512" t="s">
        <v>1654</v>
      </c>
      <c r="C5" s="3513"/>
      <c r="D5" s="2476"/>
      <c r="E5" s="1730" t="s">
        <v>1655</v>
      </c>
      <c r="F5" s="129" t="s">
        <v>1656</v>
      </c>
      <c r="G5" s="459"/>
      <c r="H5" s="459"/>
      <c r="I5" s="459"/>
      <c r="J5" s="459"/>
      <c r="K5" s="459"/>
      <c r="L5" s="459"/>
      <c r="M5" s="459"/>
      <c r="N5" s="459"/>
      <c r="O5" s="459"/>
      <c r="P5" s="459"/>
      <c r="Q5" s="459"/>
      <c r="R5" s="459"/>
      <c r="S5" s="459"/>
    </row>
    <row r="6" spans="1:22" ht="14.4">
      <c r="A6" s="2386" t="str">
        <f>'数据-取费表'!AN6</f>
        <v>收益法-住宅</v>
      </c>
      <c r="B6" s="2384" t="e">
        <f ca="1">IF(F6="是",'数据-取费表'!AO6,0)</f>
        <v>#DIV/0!</v>
      </c>
      <c r="C6" s="1728" t="s">
        <v>1651</v>
      </c>
      <c r="D6" s="2475"/>
      <c r="E6" s="2388">
        <f>IF(OR(A6=0,F6="否"),0,'数据-取费表'!K6+'数据-取费表'!S6)</f>
        <v>185.94</v>
      </c>
      <c r="F6" s="1731" t="s">
        <v>1657</v>
      </c>
      <c r="G6" s="459"/>
      <c r="H6" s="459"/>
      <c r="I6" s="459"/>
      <c r="J6" s="459"/>
      <c r="K6" s="459"/>
      <c r="L6" s="459"/>
      <c r="M6" s="459"/>
      <c r="N6" s="459"/>
      <c r="O6" s="459"/>
      <c r="P6" s="459"/>
      <c r="Q6" s="459"/>
      <c r="R6" s="459"/>
      <c r="S6" s="459"/>
    </row>
    <row r="7" spans="1:22" ht="14.4">
      <c r="A7" s="2386" t="str">
        <f>'数据-取费表'!AN7</f>
        <v>收益法 (元)</v>
      </c>
      <c r="B7" s="2384">
        <f ca="1">IF(F7="是",'数据-取费表'!AO7,0)</f>
        <v>3.18</v>
      </c>
      <c r="C7" s="1728" t="s">
        <v>1651</v>
      </c>
      <c r="D7" s="2475"/>
      <c r="E7" s="2388">
        <f>IF(OR(A7=0,F7="否"),0,'数据-取费表'!K7+'数据-取费表'!S7)</f>
        <v>30.74</v>
      </c>
      <c r="F7" s="1731" t="s">
        <v>1657</v>
      </c>
      <c r="G7" s="459"/>
      <c r="H7" s="459"/>
      <c r="I7" s="459"/>
      <c r="J7" s="459"/>
      <c r="K7" s="459"/>
      <c r="L7" s="459"/>
      <c r="M7" s="459"/>
      <c r="N7" s="459"/>
      <c r="O7" s="459"/>
      <c r="P7" s="459"/>
      <c r="Q7" s="459"/>
      <c r="R7" s="459"/>
      <c r="S7" s="459"/>
    </row>
    <row r="8" spans="1:22" ht="14.4">
      <c r="A8" s="2386">
        <f>'数据-取费表'!AN8</f>
        <v>0</v>
      </c>
      <c r="B8" s="2384" t="e">
        <f ca="1">IF(F8="是",'数据-取费表'!AO8,0)</f>
        <v>#REF!</v>
      </c>
      <c r="C8" s="1728" t="s">
        <v>1651</v>
      </c>
      <c r="D8" s="2475"/>
      <c r="E8" s="2388">
        <f>IF(OR(A8=0,F8="否"),0,'数据-取费表'!K8+'数据-取费表'!S8)</f>
        <v>0</v>
      </c>
      <c r="F8" s="1731" t="s">
        <v>1657</v>
      </c>
      <c r="G8" s="459"/>
      <c r="H8" s="459"/>
      <c r="I8" s="459"/>
      <c r="J8" s="459"/>
      <c r="K8" s="459"/>
      <c r="L8" s="459"/>
      <c r="M8" s="459"/>
      <c r="N8" s="459"/>
      <c r="O8" s="459"/>
      <c r="P8" s="459"/>
      <c r="Q8" s="459"/>
      <c r="R8" s="459"/>
      <c r="S8" s="459"/>
    </row>
    <row r="9" spans="1:22" ht="14.4">
      <c r="A9" s="2386">
        <f>'数据-取费表'!AN9</f>
        <v>0</v>
      </c>
      <c r="B9" s="2384" t="e">
        <f ca="1">IF(F9="是",'数据-取费表'!AO9,0)</f>
        <v>#REF!</v>
      </c>
      <c r="C9" s="1728" t="s">
        <v>1651</v>
      </c>
      <c r="D9" s="2475"/>
      <c r="E9" s="2388">
        <f>IF(OR(A9=0,F9="否"),0,'数据-取费表'!K9+'数据-取费表'!S9)</f>
        <v>0</v>
      </c>
      <c r="F9" s="1731" t="s">
        <v>1657</v>
      </c>
      <c r="G9" s="459"/>
      <c r="H9" s="459"/>
      <c r="I9" s="459"/>
      <c r="J9" s="459"/>
      <c r="K9" s="459"/>
      <c r="L9" s="459"/>
      <c r="M9" s="459"/>
      <c r="N9" s="459"/>
      <c r="O9" s="459"/>
      <c r="P9" s="459"/>
      <c r="Q9" s="459"/>
      <c r="R9" s="459"/>
      <c r="S9" s="459"/>
    </row>
    <row r="10" spans="1:22" ht="14.4">
      <c r="A10" s="2386">
        <f>'数据-取费表'!AN10</f>
        <v>0</v>
      </c>
      <c r="B10" s="2384" t="e">
        <f ca="1">IF(F10="是",'数据-取费表'!AO10,0)</f>
        <v>#REF!</v>
      </c>
      <c r="C10" s="1728" t="s">
        <v>1651</v>
      </c>
      <c r="D10" s="2475"/>
      <c r="E10" s="2388">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6">
        <f>'数据-取费表'!AN11</f>
        <v>0</v>
      </c>
      <c r="B11" s="2384" t="e">
        <f ca="1">IF(F11="是",'数据-取费表'!AO11,0)</f>
        <v>#REF!</v>
      </c>
      <c r="C11" s="1728" t="s">
        <v>1651</v>
      </c>
      <c r="D11" s="2475"/>
      <c r="E11" s="2388">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6">
        <f>'数据-取费表'!AN12</f>
        <v>0</v>
      </c>
      <c r="B12" s="2384" t="e">
        <f ca="1">IF(F12="是",'数据-取费表'!AO12,0)</f>
        <v>#REF!</v>
      </c>
      <c r="C12" s="1728" t="s">
        <v>1651</v>
      </c>
      <c r="D12" s="2475"/>
      <c r="E12" s="2388">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2" t="s">
        <v>1651</v>
      </c>
      <c r="D13" s="2477"/>
      <c r="E13" s="2388">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20"/>
      <c r="F1" s="1734"/>
      <c r="G1" s="1151" t="s">
        <v>1767</v>
      </c>
      <c r="H1" s="1150"/>
      <c r="I1" s="1150"/>
      <c r="J1" s="1150"/>
      <c r="K1" s="1152"/>
      <c r="L1" s="1153"/>
      <c r="M1" s="1154"/>
      <c r="N1" s="1154"/>
      <c r="O1" s="1154"/>
      <c r="P1" s="1797"/>
      <c r="Q1" s="1798"/>
      <c r="R1" s="1798"/>
      <c r="S1" s="1798"/>
      <c r="T1" s="1798"/>
      <c r="U1" s="1798"/>
      <c r="V1" s="1798"/>
      <c r="W1" s="1798"/>
      <c r="X1" s="1798"/>
      <c r="Y1" s="1798"/>
      <c r="Z1" s="1798"/>
      <c r="AA1" s="1798"/>
      <c r="AB1" s="1798"/>
      <c r="AC1" s="1799"/>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1800"/>
      <c r="Q2" s="859"/>
      <c r="R2" s="859"/>
      <c r="S2" s="859"/>
      <c r="T2" s="859"/>
      <c r="U2" s="859"/>
      <c r="V2" s="859"/>
      <c r="W2" s="859"/>
      <c r="X2" s="859"/>
      <c r="Y2" s="859"/>
      <c r="Z2" s="859"/>
      <c r="AA2" s="859"/>
      <c r="AB2" s="859"/>
      <c r="AC2" s="1801"/>
    </row>
    <row r="3" spans="1:29" s="342" customFormat="1" ht="28.5" customHeight="1" thickBot="1">
      <c r="A3" s="195" t="s">
        <v>1464</v>
      </c>
      <c r="B3" s="536">
        <f>IF(C2="——",C49,ROUND(B2*10000/D3,0))</f>
        <v>0</v>
      </c>
      <c r="C3" s="344" t="s">
        <v>1768</v>
      </c>
      <c r="D3" s="343">
        <f>IF(D1="",'数据-汇总表'!E3,SUMIF('数据-汇总表'!$C19:$C33,D1,'数据-汇总表'!$E19:$E33))</f>
        <v>216.68</v>
      </c>
      <c r="E3" s="1801"/>
      <c r="F3" s="856"/>
      <c r="G3" s="855"/>
      <c r="H3" s="855"/>
      <c r="I3" s="855"/>
      <c r="J3" s="855"/>
      <c r="K3" s="857"/>
      <c r="L3" s="2499"/>
      <c r="M3" s="2500"/>
      <c r="N3" s="2500"/>
      <c r="O3" s="2500"/>
      <c r="P3" s="1800"/>
      <c r="Q3" s="859"/>
      <c r="R3" s="859"/>
      <c r="S3" s="859"/>
      <c r="T3" s="859"/>
      <c r="U3" s="859"/>
      <c r="V3" s="859"/>
      <c r="W3" s="859"/>
      <c r="X3" s="859"/>
      <c r="Y3" s="859"/>
      <c r="Z3" s="859"/>
      <c r="AA3" s="859"/>
      <c r="AB3" s="859"/>
      <c r="AC3" s="1801"/>
    </row>
    <row r="4" spans="1:29" ht="14.4">
      <c r="A4" s="345" t="s">
        <v>1769</v>
      </c>
      <c r="B4" s="346"/>
      <c r="C4" s="3449" t="s">
        <v>1770</v>
      </c>
      <c r="D4" s="3450"/>
      <c r="E4" s="3451" t="s">
        <v>1771</v>
      </c>
      <c r="F4" s="3452"/>
      <c r="G4" s="3449" t="s">
        <v>1772</v>
      </c>
      <c r="H4" s="3450"/>
      <c r="I4" s="3449" t="s">
        <v>1773</v>
      </c>
      <c r="J4" s="3450"/>
      <c r="K4" s="537" t="s">
        <v>1774</v>
      </c>
      <c r="L4" s="2482"/>
      <c r="M4" s="2483"/>
      <c r="N4" s="2483"/>
      <c r="O4" s="2483"/>
      <c r="P4" s="3453" t="s">
        <v>1775</v>
      </c>
      <c r="Q4" s="3454"/>
      <c r="R4" s="3459" t="s">
        <v>1771</v>
      </c>
      <c r="S4" s="3460"/>
      <c r="T4" s="3459" t="s">
        <v>1772</v>
      </c>
      <c r="U4" s="3460"/>
      <c r="V4" s="3435" t="s">
        <v>1773</v>
      </c>
      <c r="W4" s="3435"/>
      <c r="X4" s="1264"/>
      <c r="Y4" s="3459" t="s">
        <v>1775</v>
      </c>
      <c r="Z4" s="3460"/>
      <c r="AA4" s="3446" t="s">
        <v>1771</v>
      </c>
      <c r="AB4" s="3435" t="s">
        <v>1772</v>
      </c>
      <c r="AC4" s="3446" t="s">
        <v>1773</v>
      </c>
    </row>
    <row r="5" spans="1:29">
      <c r="A5" s="348"/>
      <c r="B5" s="349"/>
      <c r="C5" s="3478" t="s">
        <v>1673</v>
      </c>
      <c r="D5" s="3479"/>
      <c r="E5" s="3480" t="s">
        <v>1674</v>
      </c>
      <c r="F5" s="3481"/>
      <c r="G5" s="3478" t="s">
        <v>1675</v>
      </c>
      <c r="H5" s="3479"/>
      <c r="I5" s="3478" t="s">
        <v>1676</v>
      </c>
      <c r="J5" s="3479"/>
      <c r="K5" s="537"/>
      <c r="L5" s="2482"/>
      <c r="M5" s="2483"/>
      <c r="N5" s="2483"/>
      <c r="O5" s="2483"/>
      <c r="P5" s="3455"/>
      <c r="Q5" s="3456"/>
      <c r="R5" s="3461"/>
      <c r="S5" s="3462"/>
      <c r="T5" s="3461"/>
      <c r="U5" s="3462"/>
      <c r="V5" s="3435"/>
      <c r="W5" s="3435"/>
      <c r="X5" s="1264"/>
      <c r="Y5" s="3461"/>
      <c r="Z5" s="3462"/>
      <c r="AA5" s="3447"/>
      <c r="AB5" s="3435"/>
      <c r="AC5" s="3447"/>
    </row>
    <row r="6" spans="1:29" ht="15" thickBot="1">
      <c r="A6" s="350"/>
      <c r="B6" s="351"/>
      <c r="C6" s="3465" t="s">
        <v>1677</v>
      </c>
      <c r="D6" s="3466"/>
      <c r="E6" s="3472" t="s">
        <v>1677</v>
      </c>
      <c r="F6" s="3473"/>
      <c r="G6" s="3465" t="s">
        <v>1677</v>
      </c>
      <c r="H6" s="3466"/>
      <c r="I6" s="3465" t="s">
        <v>1677</v>
      </c>
      <c r="J6" s="3466"/>
      <c r="K6" s="537" t="s">
        <v>1678</v>
      </c>
      <c r="L6" s="2482"/>
      <c r="M6" s="2483"/>
      <c r="N6" s="2483"/>
      <c r="O6" s="2483"/>
      <c r="P6" s="3457"/>
      <c r="Q6" s="3458"/>
      <c r="R6" s="3461"/>
      <c r="S6" s="3462"/>
      <c r="T6" s="3463"/>
      <c r="U6" s="3464"/>
      <c r="V6" s="3435"/>
      <c r="W6" s="3435"/>
      <c r="X6" s="1264"/>
      <c r="Y6" s="3463"/>
      <c r="Z6" s="3464"/>
      <c r="AA6" s="3448"/>
      <c r="AB6" s="3435"/>
      <c r="AC6" s="3448"/>
    </row>
    <row r="7" spans="1:29" s="102" customFormat="1" ht="15" thickBot="1">
      <c r="A7" s="352" t="s">
        <v>1679</v>
      </c>
      <c r="B7" s="353"/>
      <c r="C7" s="354">
        <f>'数据-取费表'!B2</f>
        <v>45826</v>
      </c>
      <c r="D7" s="355">
        <v>100</v>
      </c>
      <c r="E7" s="356"/>
      <c r="F7" s="357">
        <f>SUMIF(58:58,YEAR(E7)&amp;"-"&amp;MONTH(E7),59:59)</f>
        <v>0</v>
      </c>
      <c r="G7" s="356"/>
      <c r="H7" s="355">
        <f>SUMIF(58:58,YEAR(G7)&amp;"-"&amp;MONTH(G7),59:59)</f>
        <v>0</v>
      </c>
      <c r="I7" s="356"/>
      <c r="J7" s="355">
        <f>SUMIF(58:58,YEAR(I7)&amp;"-"&amp;MONTH(I7),59:59)</f>
        <v>0</v>
      </c>
      <c r="K7" s="38"/>
      <c r="L7" s="2484"/>
      <c r="M7" s="2436"/>
      <c r="N7" s="2436"/>
      <c r="O7" s="2436"/>
      <c r="P7" s="3469" t="s">
        <v>1680</v>
      </c>
      <c r="Q7" s="3471"/>
      <c r="R7" s="664" t="s">
        <v>14</v>
      </c>
      <c r="S7" s="665">
        <f t="shared" ref="S7:S15" si="0">F7</f>
        <v>0</v>
      </c>
      <c r="T7" s="664" t="s">
        <v>14</v>
      </c>
      <c r="U7" s="665">
        <f t="shared" ref="U7:U15" si="1">H7</f>
        <v>0</v>
      </c>
      <c r="V7" s="664" t="s">
        <v>14</v>
      </c>
      <c r="W7" s="665">
        <f t="shared" ref="W7:W15" si="2">J7</f>
        <v>0</v>
      </c>
      <c r="X7" s="666"/>
      <c r="Y7" s="3469" t="s">
        <v>1680</v>
      </c>
      <c r="Z7" s="347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469" t="s">
        <v>1683</v>
      </c>
      <c r="Q8" s="3470"/>
      <c r="R8" s="664" t="s">
        <v>14</v>
      </c>
      <c r="S8" s="665">
        <f t="shared" si="0"/>
        <v>100</v>
      </c>
      <c r="T8" s="664" t="s">
        <v>14</v>
      </c>
      <c r="U8" s="665">
        <f t="shared" si="1"/>
        <v>100</v>
      </c>
      <c r="V8" s="664" t="s">
        <v>14</v>
      </c>
      <c r="W8" s="665">
        <f t="shared" si="2"/>
        <v>100</v>
      </c>
      <c r="X8" s="666"/>
      <c r="Y8" s="3469" t="s">
        <v>1683</v>
      </c>
      <c r="Z8" s="347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445"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445"/>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445"/>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445"/>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45"/>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6"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45"/>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69">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43" t="s">
        <v>1691</v>
      </c>
      <c r="Q15" s="1262" t="str">
        <f t="shared" si="6"/>
        <v>商业繁华度</v>
      </c>
      <c r="R15" s="667" t="s">
        <v>14</v>
      </c>
      <c r="S15" s="668">
        <f t="shared" si="0"/>
        <v>100</v>
      </c>
      <c r="T15" s="667" t="s">
        <v>14</v>
      </c>
      <c r="U15" s="668">
        <f t="shared" si="1"/>
        <v>100</v>
      </c>
      <c r="V15" s="667" t="s">
        <v>14</v>
      </c>
      <c r="W15" s="668">
        <f t="shared" si="2"/>
        <v>100</v>
      </c>
      <c r="X15" s="1264"/>
      <c r="Y15" s="3436"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444"/>
      <c r="Q16" s="1262"/>
      <c r="R16" s="667"/>
      <c r="S16" s="668"/>
      <c r="T16" s="667"/>
      <c r="U16" s="668"/>
      <c r="V16" s="667"/>
      <c r="W16" s="668"/>
      <c r="X16" s="1264"/>
      <c r="Y16" s="3437"/>
      <c r="Z16" s="1263"/>
      <c r="AA16" s="1263">
        <v>1</v>
      </c>
      <c r="AB16" s="1263">
        <v>1</v>
      </c>
      <c r="AC16" s="1263">
        <v>1</v>
      </c>
    </row>
    <row r="17" spans="1:29" ht="82.8">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44"/>
      <c r="Q17" s="1262" t="str">
        <f>B17</f>
        <v>交通便捷度</v>
      </c>
      <c r="R17" s="667" t="s">
        <v>14</v>
      </c>
      <c r="S17" s="668">
        <f>F17</f>
        <v>100</v>
      </c>
      <c r="T17" s="667" t="s">
        <v>14</v>
      </c>
      <c r="U17" s="668">
        <f>H17</f>
        <v>100</v>
      </c>
      <c r="V17" s="667" t="s">
        <v>14</v>
      </c>
      <c r="W17" s="668">
        <f>J17</f>
        <v>100</v>
      </c>
      <c r="X17" s="1264"/>
      <c r="Y17" s="3437"/>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88"/>
      <c r="M18" s="2483"/>
      <c r="N18" s="2483"/>
      <c r="O18" s="2483"/>
      <c r="P18" s="3444"/>
      <c r="Q18" s="1262"/>
      <c r="R18" s="667"/>
      <c r="S18" s="668"/>
      <c r="T18" s="667"/>
      <c r="U18" s="668"/>
      <c r="V18" s="667"/>
      <c r="W18" s="668"/>
      <c r="X18" s="1264"/>
      <c r="Y18" s="3437"/>
      <c r="Z18" s="1263"/>
      <c r="AA18" s="1263">
        <v>1</v>
      </c>
      <c r="AB18" s="1263">
        <v>1</v>
      </c>
      <c r="AC18" s="1263">
        <v>1</v>
      </c>
    </row>
    <row r="19" spans="1:29" ht="41.4">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44"/>
      <c r="Q19" s="1262" t="str">
        <f>B19</f>
        <v>公共配套设施</v>
      </c>
      <c r="R19" s="667" t="s">
        <v>14</v>
      </c>
      <c r="S19" s="668">
        <f>F19</f>
        <v>100</v>
      </c>
      <c r="T19" s="667" t="s">
        <v>14</v>
      </c>
      <c r="U19" s="668">
        <f>H19</f>
        <v>100</v>
      </c>
      <c r="V19" s="667" t="s">
        <v>14</v>
      </c>
      <c r="W19" s="668">
        <f>J19</f>
        <v>100</v>
      </c>
      <c r="X19" s="1264"/>
      <c r="Y19" s="3437"/>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88"/>
      <c r="M20" s="2483"/>
      <c r="N20" s="2483"/>
      <c r="O20" s="2483"/>
      <c r="P20" s="3444"/>
      <c r="Q20" s="1262"/>
      <c r="R20" s="667"/>
      <c r="S20" s="668"/>
      <c r="T20" s="667"/>
      <c r="U20" s="668"/>
      <c r="V20" s="667"/>
      <c r="W20" s="668"/>
      <c r="X20" s="1264"/>
      <c r="Y20" s="3437"/>
      <c r="Z20" s="1263"/>
      <c r="AA20" s="1263">
        <v>1</v>
      </c>
      <c r="AB20" s="1263">
        <v>1</v>
      </c>
      <c r="AC20" s="1263">
        <v>1</v>
      </c>
    </row>
    <row r="21" spans="1:29" ht="27.6">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44"/>
      <c r="Q21" s="1262" t="str">
        <f>B21</f>
        <v>基础设施水平</v>
      </c>
      <c r="R21" s="667" t="s">
        <v>14</v>
      </c>
      <c r="S21" s="668">
        <f>F21</f>
        <v>100</v>
      </c>
      <c r="T21" s="667" t="s">
        <v>14</v>
      </c>
      <c r="U21" s="668">
        <f>H21</f>
        <v>100</v>
      </c>
      <c r="V21" s="667" t="s">
        <v>14</v>
      </c>
      <c r="W21" s="668">
        <f>J21</f>
        <v>100</v>
      </c>
      <c r="X21" s="1264"/>
      <c r="Y21" s="3437"/>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2488"/>
      <c r="M22" s="2483"/>
      <c r="N22" s="2483"/>
      <c r="O22" s="2483"/>
      <c r="P22" s="3444"/>
      <c r="Q22" s="1262"/>
      <c r="R22" s="667"/>
      <c r="S22" s="668"/>
      <c r="T22" s="667"/>
      <c r="U22" s="668"/>
      <c r="V22" s="667"/>
      <c r="W22" s="668"/>
      <c r="X22" s="1264"/>
      <c r="Y22" s="3437"/>
      <c r="Z22" s="1263"/>
      <c r="AA22" s="1263">
        <v>1</v>
      </c>
      <c r="AB22" s="1263">
        <v>1</v>
      </c>
      <c r="AC22" s="1263">
        <v>1</v>
      </c>
    </row>
    <row r="23" spans="1:29" ht="55.2">
      <c r="A23" s="367"/>
      <c r="B23" s="390" t="s">
        <v>1261</v>
      </c>
      <c r="C23" s="1802"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44"/>
      <c r="Q23" s="1262" t="str">
        <f>B23</f>
        <v>自然及人文环境</v>
      </c>
      <c r="R23" s="667" t="s">
        <v>14</v>
      </c>
      <c r="S23" s="668">
        <f>F23</f>
        <v>100</v>
      </c>
      <c r="T23" s="667" t="s">
        <v>14</v>
      </c>
      <c r="U23" s="668">
        <f>H23</f>
        <v>100</v>
      </c>
      <c r="V23" s="667" t="s">
        <v>14</v>
      </c>
      <c r="W23" s="668">
        <f>J23</f>
        <v>100</v>
      </c>
      <c r="X23" s="1264"/>
      <c r="Y23" s="3437"/>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88"/>
      <c r="M24" s="2483"/>
      <c r="N24" s="2483"/>
      <c r="O24" s="2483"/>
      <c r="P24" s="3444"/>
      <c r="Q24" s="1262"/>
      <c r="R24" s="667"/>
      <c r="S24" s="668"/>
      <c r="T24" s="667"/>
      <c r="U24" s="668"/>
      <c r="V24" s="667"/>
      <c r="W24" s="668"/>
      <c r="X24" s="1264"/>
      <c r="Y24" s="3437"/>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44"/>
      <c r="Q25" s="1262" t="str">
        <f t="shared" ref="Q25:Q46" si="11">B25</f>
        <v>临街状况</v>
      </c>
      <c r="R25" s="667" t="s">
        <v>14</v>
      </c>
      <c r="S25" s="668">
        <f>F25</f>
        <v>100</v>
      </c>
      <c r="T25" s="667" t="s">
        <v>14</v>
      </c>
      <c r="U25" s="668">
        <f>H25</f>
        <v>100</v>
      </c>
      <c r="V25" s="667" t="s">
        <v>14</v>
      </c>
      <c r="W25" s="668">
        <f>J25</f>
        <v>100</v>
      </c>
      <c r="X25" s="1264"/>
      <c r="Y25" s="3437"/>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44"/>
      <c r="Q26" s="1262" t="str">
        <f t="shared" si="11"/>
        <v>平面位置/可视性</v>
      </c>
      <c r="R26" s="667" t="s">
        <v>14</v>
      </c>
      <c r="S26" s="668">
        <f>F26</f>
        <v>100</v>
      </c>
      <c r="T26" s="667" t="s">
        <v>14</v>
      </c>
      <c r="U26" s="668">
        <f>H26</f>
        <v>100</v>
      </c>
      <c r="V26" s="667" t="s">
        <v>14</v>
      </c>
      <c r="W26" s="668">
        <f>J26</f>
        <v>100</v>
      </c>
      <c r="X26" s="1264"/>
      <c r="Y26" s="3437"/>
      <c r="Z26" s="1263" t="str">
        <f>Q26</f>
        <v>平面位置/可视性</v>
      </c>
      <c r="AA26" s="1263">
        <f t="shared" si="3"/>
        <v>1</v>
      </c>
      <c r="AB26" s="1263">
        <f t="shared" si="4"/>
        <v>1</v>
      </c>
      <c r="AC26" s="1263">
        <f t="shared" si="5"/>
        <v>1</v>
      </c>
    </row>
    <row r="27" spans="1:29" s="102" customFormat="1" ht="15">
      <c r="A27" s="370"/>
      <c r="B27" s="390" t="s">
        <v>1782</v>
      </c>
      <c r="C27" s="1803"/>
      <c r="D27" s="401">
        <v>100</v>
      </c>
      <c r="E27" s="1803"/>
      <c r="F27" s="395">
        <f>SUMIF(90:90,E27,91:91)-SUMIF(90:90,C27,91:91)+100</f>
        <v>100</v>
      </c>
      <c r="G27" s="1803"/>
      <c r="H27" s="401">
        <f>SUMIF(90:90,G27,91:91)-SUMIF(90:90,C27,91:91)+100</f>
        <v>100</v>
      </c>
      <c r="I27" s="1803"/>
      <c r="J27" s="401">
        <f>SUMIF(90:90,I27,91:91)-SUMIF(90:90,C27,91:91)+100</f>
        <v>100</v>
      </c>
      <c r="K27" s="538"/>
      <c r="L27" s="2484"/>
      <c r="M27" s="2436"/>
      <c r="N27" s="2436"/>
      <c r="O27" s="2436"/>
      <c r="P27" s="3444"/>
      <c r="Q27" s="530" t="str">
        <f t="shared" si="11"/>
        <v>人流量</v>
      </c>
      <c r="R27" s="664" t="s">
        <v>14</v>
      </c>
      <c r="S27" s="665">
        <f>F27</f>
        <v>100</v>
      </c>
      <c r="T27" s="664" t="s">
        <v>14</v>
      </c>
      <c r="U27" s="665">
        <f>H27</f>
        <v>100</v>
      </c>
      <c r="V27" s="664" t="s">
        <v>14</v>
      </c>
      <c r="W27" s="665">
        <f>J27</f>
        <v>100</v>
      </c>
      <c r="X27" s="666"/>
      <c r="Y27" s="3437"/>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44"/>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37"/>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44"/>
      <c r="Q29" s="1262">
        <f t="shared" si="11"/>
        <v>111</v>
      </c>
      <c r="R29" s="667" t="s">
        <v>14</v>
      </c>
      <c r="S29" s="668">
        <f t="shared" si="12"/>
        <v>100</v>
      </c>
      <c r="T29" s="667" t="s">
        <v>14</v>
      </c>
      <c r="U29" s="668">
        <f t="shared" si="13"/>
        <v>100</v>
      </c>
      <c r="V29" s="667" t="s">
        <v>14</v>
      </c>
      <c r="W29" s="668">
        <f t="shared" si="14"/>
        <v>100</v>
      </c>
      <c r="X29" s="1264"/>
      <c r="Y29" s="3437"/>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44"/>
      <c r="Q30" s="1262">
        <f t="shared" si="11"/>
        <v>111</v>
      </c>
      <c r="R30" s="667" t="s">
        <v>14</v>
      </c>
      <c r="S30" s="668">
        <f t="shared" si="12"/>
        <v>100</v>
      </c>
      <c r="T30" s="667" t="s">
        <v>14</v>
      </c>
      <c r="U30" s="668">
        <f t="shared" si="13"/>
        <v>100</v>
      </c>
      <c r="V30" s="667" t="s">
        <v>14</v>
      </c>
      <c r="W30" s="668">
        <f t="shared" si="14"/>
        <v>100</v>
      </c>
      <c r="X30" s="1264"/>
      <c r="Y30" s="3437"/>
      <c r="Z30" s="1263">
        <f t="shared" si="15"/>
        <v>111</v>
      </c>
      <c r="AA30" s="1263">
        <f t="shared" si="3"/>
        <v>1</v>
      </c>
      <c r="AB30" s="1263">
        <f t="shared" si="4"/>
        <v>1</v>
      </c>
      <c r="AC30" s="1263">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44"/>
      <c r="Q31" s="1262">
        <f t="shared" si="11"/>
        <v>111</v>
      </c>
      <c r="R31" s="667" t="s">
        <v>14</v>
      </c>
      <c r="S31" s="668">
        <f t="shared" si="12"/>
        <v>100</v>
      </c>
      <c r="T31" s="667" t="s">
        <v>14</v>
      </c>
      <c r="U31" s="668">
        <f t="shared" si="13"/>
        <v>100</v>
      </c>
      <c r="V31" s="667" t="s">
        <v>14</v>
      </c>
      <c r="W31" s="668">
        <f t="shared" si="14"/>
        <v>100</v>
      </c>
      <c r="X31" s="1264"/>
      <c r="Y31" s="3437"/>
      <c r="Z31" s="1263">
        <f t="shared" si="15"/>
        <v>111</v>
      </c>
      <c r="AA31" s="1263">
        <f t="shared" si="3"/>
        <v>1</v>
      </c>
      <c r="AB31" s="1263">
        <f t="shared" si="4"/>
        <v>1</v>
      </c>
      <c r="AC31" s="1263">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88"/>
      <c r="M32" s="2483"/>
      <c r="N32" s="2483"/>
      <c r="O32" s="2483"/>
      <c r="P32" s="3438" t="s">
        <v>1696</v>
      </c>
      <c r="Q32" s="1262" t="str">
        <f t="shared" si="11"/>
        <v>商业类型</v>
      </c>
      <c r="R32" s="667" t="s">
        <v>14</v>
      </c>
      <c r="S32" s="668">
        <f t="shared" si="12"/>
        <v>100</v>
      </c>
      <c r="T32" s="667" t="s">
        <v>14</v>
      </c>
      <c r="U32" s="668">
        <f t="shared" si="13"/>
        <v>100</v>
      </c>
      <c r="V32" s="667" t="s">
        <v>14</v>
      </c>
      <c r="W32" s="668">
        <f t="shared" si="14"/>
        <v>100</v>
      </c>
      <c r="X32" s="1264"/>
      <c r="Y32" s="3441"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39"/>
      <c r="Q33" s="531" t="str">
        <f t="shared" si="11"/>
        <v>项目建筑规模</v>
      </c>
      <c r="R33" s="669" t="s">
        <v>14</v>
      </c>
      <c r="S33" s="670" t="e">
        <f t="shared" si="12"/>
        <v>#N/A</v>
      </c>
      <c r="T33" s="669" t="s">
        <v>14</v>
      </c>
      <c r="U33" s="670" t="e">
        <f t="shared" si="13"/>
        <v>#N/A</v>
      </c>
      <c r="V33" s="669" t="s">
        <v>14</v>
      </c>
      <c r="W33" s="670" t="e">
        <f t="shared" si="14"/>
        <v>#N/A</v>
      </c>
      <c r="X33" s="671"/>
      <c r="Y33" s="3441"/>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39"/>
      <c r="Q34" s="1262" t="str">
        <f t="shared" si="11"/>
        <v>建筑结构</v>
      </c>
      <c r="R34" s="667" t="s">
        <v>14</v>
      </c>
      <c r="S34" s="668">
        <f t="shared" si="12"/>
        <v>100</v>
      </c>
      <c r="T34" s="667" t="s">
        <v>14</v>
      </c>
      <c r="U34" s="668">
        <f t="shared" si="13"/>
        <v>100</v>
      </c>
      <c r="V34" s="667" t="s">
        <v>14</v>
      </c>
      <c r="W34" s="668">
        <f t="shared" si="14"/>
        <v>100</v>
      </c>
      <c r="X34" s="1264"/>
      <c r="Y34" s="3441"/>
      <c r="Z34" s="1263" t="str">
        <f t="shared" si="15"/>
        <v>建筑结构</v>
      </c>
      <c r="AA34" s="1263">
        <f t="shared" si="3"/>
        <v>1</v>
      </c>
      <c r="AB34" s="1263">
        <f t="shared" si="4"/>
        <v>1</v>
      </c>
      <c r="AC34" s="1263">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8"/>
      <c r="M35" s="2483"/>
      <c r="N35" s="2483"/>
      <c r="O35" s="2483"/>
      <c r="P35" s="3439"/>
      <c r="Q35" s="1262" t="str">
        <f t="shared" si="11"/>
        <v>公共部分装修</v>
      </c>
      <c r="R35" s="667" t="s">
        <v>14</v>
      </c>
      <c r="S35" s="668">
        <f t="shared" si="12"/>
        <v>100</v>
      </c>
      <c r="T35" s="667" t="s">
        <v>14</v>
      </c>
      <c r="U35" s="668">
        <f t="shared" si="13"/>
        <v>100</v>
      </c>
      <c r="V35" s="667" t="s">
        <v>14</v>
      </c>
      <c r="W35" s="668">
        <f t="shared" si="14"/>
        <v>100</v>
      </c>
      <c r="X35" s="1264"/>
      <c r="Y35" s="3441"/>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39"/>
      <c r="Q36" s="1262" t="str">
        <f t="shared" si="11"/>
        <v>成新度</v>
      </c>
      <c r="R36" s="667" t="s">
        <v>14</v>
      </c>
      <c r="S36" s="668" t="e">
        <f t="shared" si="12"/>
        <v>#N/A</v>
      </c>
      <c r="T36" s="667" t="s">
        <v>14</v>
      </c>
      <c r="U36" s="668" t="e">
        <f t="shared" si="13"/>
        <v>#N/A</v>
      </c>
      <c r="V36" s="667" t="s">
        <v>14</v>
      </c>
      <c r="W36" s="668" t="e">
        <f t="shared" si="14"/>
        <v>#N/A</v>
      </c>
      <c r="X36" s="1264"/>
      <c r="Y36" s="3441"/>
      <c r="Z36" s="1263" t="str">
        <f t="shared" si="15"/>
        <v>成新度</v>
      </c>
      <c r="AA36" s="1263" t="e">
        <f t="shared" si="3"/>
        <v>#N/A</v>
      </c>
      <c r="AB36" s="1263" t="e">
        <f t="shared" si="4"/>
        <v>#N/A</v>
      </c>
      <c r="AC36" s="1263"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4"/>
      <c r="M37" s="2436"/>
      <c r="N37" s="2436"/>
      <c r="O37" s="2436"/>
      <c r="P37" s="3439"/>
      <c r="Q37" s="530" t="str">
        <f t="shared" si="11"/>
        <v>市政基础设施</v>
      </c>
      <c r="R37" s="664" t="s">
        <v>14</v>
      </c>
      <c r="S37" s="665">
        <f t="shared" si="12"/>
        <v>100</v>
      </c>
      <c r="T37" s="664" t="s">
        <v>14</v>
      </c>
      <c r="U37" s="665">
        <f t="shared" si="13"/>
        <v>100</v>
      </c>
      <c r="V37" s="664" t="s">
        <v>14</v>
      </c>
      <c r="W37" s="665">
        <f t="shared" si="14"/>
        <v>100</v>
      </c>
      <c r="X37" s="666"/>
      <c r="Y37" s="3441"/>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88"/>
      <c r="M38" s="2483"/>
      <c r="N38" s="2483"/>
      <c r="O38" s="2483"/>
      <c r="P38" s="3439" t="s">
        <v>1696</v>
      </c>
      <c r="Q38" s="1262" t="str">
        <f t="shared" si="11"/>
        <v>业态</v>
      </c>
      <c r="R38" s="667" t="s">
        <v>14</v>
      </c>
      <c r="S38" s="668">
        <f t="shared" si="12"/>
        <v>100</v>
      </c>
      <c r="T38" s="667" t="s">
        <v>14</v>
      </c>
      <c r="U38" s="668">
        <f t="shared" si="13"/>
        <v>100</v>
      </c>
      <c r="V38" s="667" t="s">
        <v>14</v>
      </c>
      <c r="W38" s="668">
        <f t="shared" si="14"/>
        <v>100</v>
      </c>
      <c r="X38" s="1264"/>
      <c r="Y38" s="3441" t="s">
        <v>1696</v>
      </c>
      <c r="Z38" s="1263" t="str">
        <f t="shared" si="15"/>
        <v>业态</v>
      </c>
      <c r="AA38" s="1263">
        <f t="shared" si="3"/>
        <v>1</v>
      </c>
      <c r="AB38" s="1263">
        <f t="shared" si="4"/>
        <v>1</v>
      </c>
      <c r="AC38" s="1263">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88"/>
      <c r="M39" s="2483"/>
      <c r="N39" s="2483"/>
      <c r="O39" s="2483"/>
      <c r="P39" s="3439"/>
      <c r="Q39" s="1262" t="str">
        <f t="shared" si="11"/>
        <v>层高</v>
      </c>
      <c r="R39" s="667" t="s">
        <v>14</v>
      </c>
      <c r="S39" s="668">
        <f t="shared" si="12"/>
        <v>100</v>
      </c>
      <c r="T39" s="667" t="s">
        <v>14</v>
      </c>
      <c r="U39" s="668">
        <f t="shared" si="13"/>
        <v>100</v>
      </c>
      <c r="V39" s="667" t="s">
        <v>14</v>
      </c>
      <c r="W39" s="668">
        <f t="shared" si="14"/>
        <v>100</v>
      </c>
      <c r="X39" s="1264"/>
      <c r="Y39" s="3441"/>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39"/>
      <c r="Q40" s="1262" t="str">
        <f t="shared" si="11"/>
        <v>单套建筑面积</v>
      </c>
      <c r="R40" s="667" t="s">
        <v>14</v>
      </c>
      <c r="S40" s="668">
        <f t="shared" si="12"/>
        <v>100</v>
      </c>
      <c r="T40" s="667" t="s">
        <v>14</v>
      </c>
      <c r="U40" s="668">
        <f t="shared" si="13"/>
        <v>100</v>
      </c>
      <c r="V40" s="667" t="s">
        <v>14</v>
      </c>
      <c r="W40" s="668">
        <f t="shared" si="14"/>
        <v>100</v>
      </c>
      <c r="X40" s="1264"/>
      <c r="Y40" s="3441"/>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39"/>
      <c r="Q41" s="531" t="str">
        <f t="shared" si="11"/>
        <v>进深比</v>
      </c>
      <c r="R41" s="669" t="s">
        <v>14</v>
      </c>
      <c r="S41" s="670">
        <f t="shared" si="12"/>
        <v>100</v>
      </c>
      <c r="T41" s="669" t="s">
        <v>14</v>
      </c>
      <c r="U41" s="670">
        <f t="shared" si="13"/>
        <v>100</v>
      </c>
      <c r="V41" s="669" t="s">
        <v>14</v>
      </c>
      <c r="W41" s="670">
        <f t="shared" si="14"/>
        <v>100</v>
      </c>
      <c r="X41" s="671"/>
      <c r="Y41" s="3441"/>
      <c r="Z41" s="672" t="str">
        <f t="shared" si="15"/>
        <v>进深比</v>
      </c>
      <c r="AA41" s="1263">
        <f t="shared" si="3"/>
        <v>1</v>
      </c>
      <c r="AB41" s="1263">
        <f t="shared" si="4"/>
        <v>1</v>
      </c>
      <c r="AC41" s="1263">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88"/>
      <c r="M42" s="2483"/>
      <c r="N42" s="2483"/>
      <c r="O42" s="2483"/>
      <c r="P42" s="3439"/>
      <c r="Q42" s="1262" t="str">
        <f t="shared" si="11"/>
        <v>内部装修</v>
      </c>
      <c r="R42" s="667" t="s">
        <v>14</v>
      </c>
      <c r="S42" s="668">
        <f t="shared" si="12"/>
        <v>100</v>
      </c>
      <c r="T42" s="667" t="s">
        <v>14</v>
      </c>
      <c r="U42" s="668">
        <f t="shared" si="13"/>
        <v>100</v>
      </c>
      <c r="V42" s="667" t="s">
        <v>14</v>
      </c>
      <c r="W42" s="668">
        <f t="shared" si="14"/>
        <v>100</v>
      </c>
      <c r="X42" s="1264"/>
      <c r="Y42" s="3441"/>
      <c r="Z42" s="1263" t="str">
        <f t="shared" si="15"/>
        <v>内部装修</v>
      </c>
      <c r="AA42" s="1263">
        <f t="shared" si="3"/>
        <v>1</v>
      </c>
      <c r="AB42" s="1263">
        <f t="shared" si="4"/>
        <v>1</v>
      </c>
      <c r="AC42" s="1263">
        <f t="shared" si="5"/>
        <v>1</v>
      </c>
    </row>
    <row r="43" spans="1:29" ht="28.8">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88"/>
      <c r="M43" s="2483"/>
      <c r="N43" s="2483"/>
      <c r="O43" s="2483"/>
      <c r="P43" s="3439"/>
      <c r="Q43" s="1262" t="str">
        <f t="shared" si="11"/>
        <v>内部装修维护情况</v>
      </c>
      <c r="R43" s="667" t="s">
        <v>14</v>
      </c>
      <c r="S43" s="668">
        <f t="shared" si="12"/>
        <v>100</v>
      </c>
      <c r="T43" s="667" t="s">
        <v>14</v>
      </c>
      <c r="U43" s="668">
        <f t="shared" si="13"/>
        <v>100</v>
      </c>
      <c r="V43" s="667" t="s">
        <v>14</v>
      </c>
      <c r="W43" s="668">
        <f t="shared" si="14"/>
        <v>100</v>
      </c>
      <c r="X43" s="1264"/>
      <c r="Y43" s="3441"/>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439"/>
      <c r="Q44" s="530">
        <f t="shared" si="11"/>
        <v>111</v>
      </c>
      <c r="R44" s="664" t="s">
        <v>14</v>
      </c>
      <c r="S44" s="665">
        <f t="shared" si="12"/>
        <v>100</v>
      </c>
      <c r="T44" s="664" t="s">
        <v>14</v>
      </c>
      <c r="U44" s="665">
        <f t="shared" si="13"/>
        <v>100</v>
      </c>
      <c r="V44" s="664" t="s">
        <v>14</v>
      </c>
      <c r="W44" s="665">
        <f t="shared" si="14"/>
        <v>100</v>
      </c>
      <c r="X44" s="666"/>
      <c r="Y44" s="344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39"/>
      <c r="Q45" s="1262">
        <f t="shared" si="11"/>
        <v>111</v>
      </c>
      <c r="R45" s="667" t="s">
        <v>14</v>
      </c>
      <c r="S45" s="668">
        <f t="shared" si="12"/>
        <v>100</v>
      </c>
      <c r="T45" s="667" t="s">
        <v>14</v>
      </c>
      <c r="U45" s="668">
        <f t="shared" si="13"/>
        <v>100</v>
      </c>
      <c r="V45" s="667" t="s">
        <v>14</v>
      </c>
      <c r="W45" s="668">
        <f t="shared" si="14"/>
        <v>100</v>
      </c>
      <c r="X45" s="1264"/>
      <c r="Y45" s="3441"/>
      <c r="Z45" s="1263">
        <f t="shared" si="15"/>
        <v>111</v>
      </c>
      <c r="AA45" s="1263">
        <f t="shared" si="3"/>
        <v>1</v>
      </c>
      <c r="AB45" s="1263">
        <f t="shared" si="4"/>
        <v>1</v>
      </c>
      <c r="AC45" s="1263">
        <f t="shared" si="5"/>
        <v>1</v>
      </c>
    </row>
    <row r="46" spans="1:29" ht="15.6"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40"/>
      <c r="Q46" s="1262">
        <f t="shared" si="11"/>
        <v>111</v>
      </c>
      <c r="R46" s="667" t="s">
        <v>14</v>
      </c>
      <c r="S46" s="668">
        <f t="shared" si="12"/>
        <v>100</v>
      </c>
      <c r="T46" s="667" t="s">
        <v>14</v>
      </c>
      <c r="U46" s="668">
        <f t="shared" si="13"/>
        <v>100</v>
      </c>
      <c r="V46" s="667" t="s">
        <v>14</v>
      </c>
      <c r="W46" s="668">
        <f t="shared" si="14"/>
        <v>100</v>
      </c>
      <c r="X46" s="1264"/>
      <c r="Y46" s="3442"/>
      <c r="Z46" s="1263">
        <f t="shared" si="15"/>
        <v>111</v>
      </c>
      <c r="AA46" s="1263">
        <f t="shared" si="3"/>
        <v>1</v>
      </c>
      <c r="AB46" s="1263">
        <f t="shared" si="4"/>
        <v>1</v>
      </c>
      <c r="AC46" s="1263">
        <f t="shared" si="5"/>
        <v>1</v>
      </c>
    </row>
    <row r="47" spans="1:29" ht="14.4">
      <c r="A47" s="416" t="s">
        <v>1708</v>
      </c>
      <c r="B47" s="417"/>
      <c r="C47" s="1081" t="s">
        <v>0</v>
      </c>
      <c r="D47" s="418"/>
      <c r="E47" s="419"/>
      <c r="F47" s="420"/>
      <c r="G47" s="421"/>
      <c r="H47" s="422"/>
      <c r="I47" s="419"/>
      <c r="J47" s="422"/>
      <c r="K47" s="674"/>
      <c r="L47" s="2490"/>
      <c r="M47" s="2483"/>
      <c r="N47" s="2483"/>
      <c r="O47" s="2483"/>
      <c r="P47" s="3434" t="str">
        <f>A47</f>
        <v>成交单价（元/平方米）</v>
      </c>
      <c r="Q47" s="3434"/>
      <c r="R47" s="3435">
        <f>E47</f>
        <v>0</v>
      </c>
      <c r="S47" s="3435"/>
      <c r="T47" s="3435">
        <f>G47</f>
        <v>0</v>
      </c>
      <c r="U47" s="3435"/>
      <c r="V47" s="3435">
        <f>I47</f>
        <v>0</v>
      </c>
      <c r="W47" s="3435"/>
      <c r="X47" s="385"/>
      <c r="Y47" s="673"/>
      <c r="Z47" s="385"/>
      <c r="AA47" s="385"/>
      <c r="AB47" s="385"/>
      <c r="AC47" s="385"/>
    </row>
    <row r="48" spans="1:29" ht="15" thickBot="1">
      <c r="A48" s="423" t="s">
        <v>1793</v>
      </c>
      <c r="B48" s="424"/>
      <c r="C48" s="1082" t="e">
        <f>R49</f>
        <v>#DIV/0!</v>
      </c>
      <c r="D48" s="2137" t="s">
        <v>2135</v>
      </c>
      <c r="E48" s="1083" t="e">
        <f>R48</f>
        <v>#DIV/0!</v>
      </c>
      <c r="F48" s="2138"/>
      <c r="G48" s="1082" t="e">
        <f>T48</f>
        <v>#DIV/0!</v>
      </c>
      <c r="H48" s="2138"/>
      <c r="I48" s="1083" t="e">
        <f>V48</f>
        <v>#DIV/0!</v>
      </c>
      <c r="J48" s="2138"/>
      <c r="K48" s="2140">
        <f>F48+H48+J48</f>
        <v>0</v>
      </c>
      <c r="L48" s="2490"/>
      <c r="M48" s="2483"/>
      <c r="N48" s="2483"/>
      <c r="O48" s="2483"/>
      <c r="P48" s="3434" t="str">
        <f>A48</f>
        <v>比较价值（元/平方米）</v>
      </c>
      <c r="Q48" s="3434"/>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0"/>
      <c r="M49" s="2483"/>
      <c r="N49" s="2483"/>
      <c r="O49" s="2483"/>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8" t="s">
        <v>1798</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4.4">
      <c r="A58" s="440" t="s">
        <v>1679</v>
      </c>
      <c r="B58" s="441"/>
      <c r="C58" s="1102" t="str">
        <f>YEAR(C7)&amp;"-"&amp;MONTH(C7)</f>
        <v>2025-6</v>
      </c>
      <c r="D58" s="1103">
        <f>EDATE(C58,-1)</f>
        <v>45778</v>
      </c>
      <c r="E58" s="1103">
        <f t="shared" ref="E58:N58" si="16">EDATE(D58,-1)</f>
        <v>45748</v>
      </c>
      <c r="F58" s="1103">
        <f t="shared" si="16"/>
        <v>45717</v>
      </c>
      <c r="G58" s="1103">
        <f t="shared" si="16"/>
        <v>45689</v>
      </c>
      <c r="H58" s="1103">
        <f t="shared" si="16"/>
        <v>45658</v>
      </c>
      <c r="I58" s="1103">
        <f t="shared" si="16"/>
        <v>45627</v>
      </c>
      <c r="J58" s="1103">
        <f t="shared" si="16"/>
        <v>45597</v>
      </c>
      <c r="K58" s="1103">
        <f t="shared" si="16"/>
        <v>45566</v>
      </c>
      <c r="L58" s="1103">
        <f t="shared" si="16"/>
        <v>45536</v>
      </c>
      <c r="M58" s="1103">
        <f t="shared" si="16"/>
        <v>45505</v>
      </c>
      <c r="N58" s="1103">
        <f t="shared" si="16"/>
        <v>45474</v>
      </c>
      <c r="O58" s="1103">
        <f>EDATE(N58,-1)</f>
        <v>45444</v>
      </c>
      <c r="P58" s="2505"/>
      <c r="Q58" s="2506"/>
      <c r="R58" s="2506"/>
      <c r="S58" s="2506"/>
      <c r="T58" s="2506"/>
      <c r="U58" s="2506"/>
      <c r="V58" s="2506"/>
      <c r="W58" s="2506"/>
      <c r="X58" s="2506"/>
      <c r="Y58" s="2506"/>
      <c r="Z58" s="2506"/>
      <c r="AA58" s="2506"/>
      <c r="AB58" s="2506"/>
      <c r="AC58" s="2506"/>
    </row>
    <row r="59" spans="1:29" s="102" customFormat="1">
      <c r="A59" s="443"/>
      <c r="B59" s="444"/>
      <c r="C59" s="1101">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4.4">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4"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ht="14.4">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1779</v>
      </c>
      <c r="C82" s="581" t="s">
        <v>1799</v>
      </c>
      <c r="D82" s="581" t="s">
        <v>1800</v>
      </c>
      <c r="E82" s="581" t="s">
        <v>1801</v>
      </c>
      <c r="F82" s="581" t="s">
        <v>1802</v>
      </c>
      <c r="G82" s="581" t="s">
        <v>1803</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4.4" thickTop="1">
      <c r="A88" s="370"/>
      <c r="B88" s="469" t="str">
        <f>B26</f>
        <v>平面位置/可视性</v>
      </c>
      <c r="C88" s="485"/>
      <c r="D88" s="485"/>
      <c r="E88" s="485"/>
      <c r="F88" s="1776"/>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4"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4.4"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4.4"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4.4"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4.4"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cfRule type="containsText" dxfId="110" priority="17" stopIfTrue="1" operator="containsText" text="超过">
      <formula>NOT(ISERROR(SEARCH("超过",F52)))</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G54">
    <cfRule type="expression" dxfId="107" priority="13"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conditionalFormatting sqref="J52:J54">
    <cfRule type="containsText" dxfId="101"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4" t="s">
        <v>1810</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216.68</v>
      </c>
      <c r="E3" s="1801"/>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4.4">
      <c r="A4" s="345" t="s">
        <v>1769</v>
      </c>
      <c r="B4" s="346"/>
      <c r="C4" s="3449" t="s">
        <v>1770</v>
      </c>
      <c r="D4" s="3450"/>
      <c r="E4" s="3451" t="s">
        <v>1771</v>
      </c>
      <c r="F4" s="3452"/>
      <c r="G4" s="3449" t="s">
        <v>1772</v>
      </c>
      <c r="H4" s="3450"/>
      <c r="I4" s="3449" t="s">
        <v>1773</v>
      </c>
      <c r="J4" s="3450"/>
      <c r="K4" s="537" t="s">
        <v>1774</v>
      </c>
      <c r="L4" s="2482"/>
      <c r="M4" s="2483"/>
      <c r="N4" s="2483"/>
      <c r="O4" s="2483"/>
      <c r="P4" s="3520" t="s">
        <v>1775</v>
      </c>
      <c r="Q4" s="3521"/>
      <c r="R4" s="3524" t="s">
        <v>1771</v>
      </c>
      <c r="S4" s="3525"/>
      <c r="T4" s="3524" t="s">
        <v>1772</v>
      </c>
      <c r="U4" s="3525"/>
      <c r="V4" s="3526" t="s">
        <v>1773</v>
      </c>
      <c r="W4" s="3526"/>
      <c r="X4" s="1805"/>
      <c r="Y4" s="3524" t="s">
        <v>1775</v>
      </c>
      <c r="Z4" s="3525"/>
      <c r="AA4" s="3528" t="s">
        <v>1771</v>
      </c>
      <c r="AB4" s="3528" t="s">
        <v>1772</v>
      </c>
      <c r="AC4" s="3517" t="s">
        <v>1773</v>
      </c>
    </row>
    <row r="5" spans="1:29">
      <c r="A5" s="348"/>
      <c r="B5" s="349"/>
      <c r="C5" s="3478" t="s">
        <v>1673</v>
      </c>
      <c r="D5" s="3479"/>
      <c r="E5" s="3480" t="s">
        <v>1674</v>
      </c>
      <c r="F5" s="3481"/>
      <c r="G5" s="3478" t="s">
        <v>1675</v>
      </c>
      <c r="H5" s="3479"/>
      <c r="I5" s="3478" t="s">
        <v>1676</v>
      </c>
      <c r="J5" s="3479"/>
      <c r="K5" s="537"/>
      <c r="L5" s="2482"/>
      <c r="M5" s="2483"/>
      <c r="N5" s="2483"/>
      <c r="O5" s="2483"/>
      <c r="P5" s="3522"/>
      <c r="Q5" s="3456"/>
      <c r="R5" s="3461"/>
      <c r="S5" s="3462"/>
      <c r="T5" s="3461"/>
      <c r="U5" s="3462"/>
      <c r="V5" s="3435"/>
      <c r="W5" s="3435"/>
      <c r="X5" s="1264"/>
      <c r="Y5" s="3461"/>
      <c r="Z5" s="3462"/>
      <c r="AA5" s="3447"/>
      <c r="AB5" s="3447"/>
      <c r="AC5" s="3518"/>
    </row>
    <row r="6" spans="1:29" ht="15" thickBot="1">
      <c r="A6" s="350"/>
      <c r="B6" s="351"/>
      <c r="C6" s="3465" t="s">
        <v>1677</v>
      </c>
      <c r="D6" s="3466"/>
      <c r="E6" s="3472" t="s">
        <v>1677</v>
      </c>
      <c r="F6" s="3473"/>
      <c r="G6" s="3465" t="s">
        <v>1677</v>
      </c>
      <c r="H6" s="3466"/>
      <c r="I6" s="3465" t="s">
        <v>1677</v>
      </c>
      <c r="J6" s="3466"/>
      <c r="K6" s="537" t="s">
        <v>1678</v>
      </c>
      <c r="L6" s="2482"/>
      <c r="M6" s="2483"/>
      <c r="N6" s="2483"/>
      <c r="O6" s="2483"/>
      <c r="P6" s="3523"/>
      <c r="Q6" s="3458"/>
      <c r="R6" s="3461"/>
      <c r="S6" s="3462"/>
      <c r="T6" s="3463"/>
      <c r="U6" s="3464"/>
      <c r="V6" s="3435"/>
      <c r="W6" s="3435"/>
      <c r="X6" s="1264"/>
      <c r="Y6" s="3463"/>
      <c r="Z6" s="3464"/>
      <c r="AA6" s="3448"/>
      <c r="AB6" s="3448"/>
      <c r="AC6" s="3519"/>
    </row>
    <row r="7" spans="1:29" s="102" customFormat="1" ht="15" thickBot="1">
      <c r="A7" s="352" t="s">
        <v>1679</v>
      </c>
      <c r="B7" s="353"/>
      <c r="C7" s="354">
        <f>'数据-取费表'!B2</f>
        <v>45826</v>
      </c>
      <c r="D7" s="355">
        <v>100</v>
      </c>
      <c r="E7" s="356"/>
      <c r="F7" s="357">
        <f>SUMIF(59:59,YEAR(E7)&amp;"-"&amp;MONTH(E7),60:60)</f>
        <v>0</v>
      </c>
      <c r="G7" s="356"/>
      <c r="H7" s="355">
        <f>SUMIF(59:59,YEAR(G7)&amp;"-"&amp;MONTH(G7),60:60)</f>
        <v>0</v>
      </c>
      <c r="I7" s="356"/>
      <c r="J7" s="355">
        <f>SUMIF(59:59,YEAR(I7)&amp;"-"&amp;MONTH(I7),60:60)</f>
        <v>0</v>
      </c>
      <c r="K7" s="38"/>
      <c r="L7" s="2484"/>
      <c r="M7" s="2436"/>
      <c r="N7" s="2436"/>
      <c r="O7" s="2436"/>
      <c r="P7" s="3527" t="s">
        <v>1680</v>
      </c>
      <c r="Q7" s="3471"/>
      <c r="R7" s="664" t="s">
        <v>14</v>
      </c>
      <c r="S7" s="665">
        <f t="shared" ref="S7:S15" si="0">F7</f>
        <v>0</v>
      </c>
      <c r="T7" s="664" t="s">
        <v>14</v>
      </c>
      <c r="U7" s="665">
        <f t="shared" ref="U7:U15" si="1">H7</f>
        <v>0</v>
      </c>
      <c r="V7" s="664" t="s">
        <v>14</v>
      </c>
      <c r="W7" s="665">
        <f t="shared" ref="W7:W15" si="2">J7</f>
        <v>0</v>
      </c>
      <c r="X7" s="666"/>
      <c r="Y7" s="3469" t="s">
        <v>1680</v>
      </c>
      <c r="Z7" s="3470"/>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527" t="s">
        <v>1683</v>
      </c>
      <c r="Q8" s="3470"/>
      <c r="R8" s="664" t="s">
        <v>14</v>
      </c>
      <c r="S8" s="665">
        <f t="shared" si="0"/>
        <v>100</v>
      </c>
      <c r="T8" s="664" t="s">
        <v>14</v>
      </c>
      <c r="U8" s="665">
        <f t="shared" si="1"/>
        <v>100</v>
      </c>
      <c r="V8" s="664" t="s">
        <v>14</v>
      </c>
      <c r="W8" s="665">
        <f t="shared" si="2"/>
        <v>100</v>
      </c>
      <c r="X8" s="666"/>
      <c r="Y8" s="3469" t="s">
        <v>1683</v>
      </c>
      <c r="Z8" s="3470"/>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445"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802">
        <f t="shared" si="5"/>
        <v>1</v>
      </c>
    </row>
    <row r="10" spans="1:29" s="366" customFormat="1" ht="28.8">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45"/>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45"/>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4"/>
      <c r="M12" s="2436"/>
      <c r="N12" s="2436"/>
      <c r="O12" s="2436"/>
      <c r="P12" s="3445"/>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8"/>
      <c r="M13" s="2483"/>
      <c r="N13" s="2483"/>
      <c r="O13" s="2483"/>
      <c r="P13" s="3445"/>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802">
        <f t="shared" si="5"/>
        <v>1</v>
      </c>
    </row>
    <row r="14" spans="1:29" ht="15.6" thickBot="1">
      <c r="A14" s="375"/>
      <c r="B14" s="1747">
        <v>111</v>
      </c>
      <c r="C14" s="376"/>
      <c r="D14" s="377">
        <v>100</v>
      </c>
      <c r="E14" s="553"/>
      <c r="F14" s="377">
        <f>SUMIF(75:75,E14,76:76)-SUMIF(75:75,C14,76:76)+100</f>
        <v>100</v>
      </c>
      <c r="G14" s="1806"/>
      <c r="H14" s="377">
        <f>SUMIF(75:75,G14,76:76)-SUMIF(75:75,C14,76:76)+100</f>
        <v>100</v>
      </c>
      <c r="I14" s="371"/>
      <c r="J14" s="377">
        <f>SUMIF(75:75,I14,76:76)-SUMIF(75:75,C14,76:76)+100</f>
        <v>100</v>
      </c>
      <c r="K14" s="539"/>
      <c r="L14" s="2488"/>
      <c r="M14" s="2483"/>
      <c r="N14" s="2483"/>
      <c r="O14" s="2483"/>
      <c r="P14" s="3445"/>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802">
        <f t="shared" si="5"/>
        <v>1</v>
      </c>
    </row>
    <row r="15" spans="1:29" ht="69">
      <c r="A15" s="379" t="s">
        <v>1690</v>
      </c>
      <c r="B15" s="554" t="s">
        <v>1811</v>
      </c>
      <c r="C15" s="1807"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43" t="s">
        <v>1691</v>
      </c>
      <c r="Q15" s="1262" t="str">
        <f t="shared" si="6"/>
        <v>办公集聚程度</v>
      </c>
      <c r="R15" s="667" t="s">
        <v>14</v>
      </c>
      <c r="S15" s="668">
        <f t="shared" si="0"/>
        <v>100</v>
      </c>
      <c r="T15" s="667" t="s">
        <v>14</v>
      </c>
      <c r="U15" s="668">
        <f t="shared" si="1"/>
        <v>100</v>
      </c>
      <c r="V15" s="667" t="s">
        <v>14</v>
      </c>
      <c r="W15" s="668">
        <f t="shared" si="2"/>
        <v>100</v>
      </c>
      <c r="X15" s="1264"/>
      <c r="Y15" s="3436" t="s">
        <v>1691</v>
      </c>
      <c r="Z15" s="1263" t="str">
        <f t="shared" si="7"/>
        <v>办公集聚程度</v>
      </c>
      <c r="AA15" s="1263">
        <f t="shared" si="3"/>
        <v>1</v>
      </c>
      <c r="AB15" s="1263">
        <f t="shared" si="4"/>
        <v>1</v>
      </c>
      <c r="AC15" s="1808">
        <f t="shared" si="5"/>
        <v>1</v>
      </c>
    </row>
    <row r="16" spans="1:29" ht="15">
      <c r="A16" s="367"/>
      <c r="B16" s="555"/>
      <c r="C16" s="1756"/>
      <c r="D16" s="387"/>
      <c r="E16" s="386"/>
      <c r="F16" s="387"/>
      <c r="G16" s="1756"/>
      <c r="H16" s="389"/>
      <c r="I16" s="386"/>
      <c r="J16" s="387"/>
      <c r="K16" s="541"/>
      <c r="L16" s="2488"/>
      <c r="M16" s="2483"/>
      <c r="N16" s="2483"/>
      <c r="O16" s="2483"/>
      <c r="P16" s="3444"/>
      <c r="Q16" s="1262"/>
      <c r="R16" s="667"/>
      <c r="S16" s="668"/>
      <c r="T16" s="667"/>
      <c r="U16" s="668"/>
      <c r="V16" s="667"/>
      <c r="W16" s="668"/>
      <c r="X16" s="1264"/>
      <c r="Y16" s="3437"/>
      <c r="Z16" s="1263"/>
      <c r="AA16" s="1263">
        <v>1</v>
      </c>
      <c r="AB16" s="1263">
        <v>1</v>
      </c>
      <c r="AC16" s="1808">
        <v>1</v>
      </c>
    </row>
    <row r="17" spans="1:29" ht="82.8">
      <c r="A17" s="367"/>
      <c r="B17" s="556" t="s">
        <v>1259</v>
      </c>
      <c r="C17" s="1809"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44"/>
      <c r="Q17" s="1262" t="str">
        <f>B17</f>
        <v>交通便捷度</v>
      </c>
      <c r="R17" s="667" t="s">
        <v>14</v>
      </c>
      <c r="S17" s="668">
        <f>F17</f>
        <v>100</v>
      </c>
      <c r="T17" s="667" t="s">
        <v>14</v>
      </c>
      <c r="U17" s="668">
        <f>H17</f>
        <v>100</v>
      </c>
      <c r="V17" s="667" t="s">
        <v>14</v>
      </c>
      <c r="W17" s="668">
        <f>J17</f>
        <v>100</v>
      </c>
      <c r="X17" s="1264"/>
      <c r="Y17" s="3437"/>
      <c r="Z17" s="1263" t="str">
        <f>Q17</f>
        <v>交通便捷度</v>
      </c>
      <c r="AA17" s="1263">
        <f t="shared" si="3"/>
        <v>1</v>
      </c>
      <c r="AB17" s="1263">
        <f t="shared" si="4"/>
        <v>1</v>
      </c>
      <c r="AC17" s="1808">
        <f t="shared" si="5"/>
        <v>1</v>
      </c>
    </row>
    <row r="18" spans="1:29" ht="15">
      <c r="A18" s="367"/>
      <c r="B18" s="401"/>
      <c r="C18" s="1810"/>
      <c r="D18" s="389"/>
      <c r="E18" s="1754"/>
      <c r="F18" s="389"/>
      <c r="G18" s="1755"/>
      <c r="H18" s="387"/>
      <c r="I18" s="1755"/>
      <c r="J18" s="387"/>
      <c r="K18" s="541"/>
      <c r="L18" s="2488"/>
      <c r="M18" s="2483"/>
      <c r="N18" s="2483"/>
      <c r="O18" s="2483"/>
      <c r="P18" s="3444"/>
      <c r="Q18" s="1262"/>
      <c r="R18" s="667"/>
      <c r="S18" s="668"/>
      <c r="T18" s="667"/>
      <c r="U18" s="668"/>
      <c r="V18" s="667"/>
      <c r="W18" s="668"/>
      <c r="X18" s="1264"/>
      <c r="Y18" s="3437"/>
      <c r="Z18" s="1263"/>
      <c r="AA18" s="1263">
        <v>1</v>
      </c>
      <c r="AB18" s="1263">
        <v>1</v>
      </c>
      <c r="AC18" s="1808">
        <v>1</v>
      </c>
    </row>
    <row r="19" spans="1:29" ht="41.4">
      <c r="A19" s="367"/>
      <c r="B19" s="556" t="s">
        <v>1812</v>
      </c>
      <c r="C19" s="1809"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44"/>
      <c r="Q19" s="1262" t="str">
        <f>B19</f>
        <v>公共配套设施</v>
      </c>
      <c r="R19" s="667" t="s">
        <v>14</v>
      </c>
      <c r="S19" s="668">
        <f>F19</f>
        <v>100</v>
      </c>
      <c r="T19" s="667" t="s">
        <v>14</v>
      </c>
      <c r="U19" s="668">
        <f>H19</f>
        <v>100</v>
      </c>
      <c r="V19" s="667" t="s">
        <v>14</v>
      </c>
      <c r="W19" s="668">
        <f>J19</f>
        <v>100</v>
      </c>
      <c r="X19" s="1264"/>
      <c r="Y19" s="3437"/>
      <c r="Z19" s="1263" t="str">
        <f>Q19</f>
        <v>公共配套设施</v>
      </c>
      <c r="AA19" s="1263">
        <f t="shared" si="3"/>
        <v>1</v>
      </c>
      <c r="AB19" s="1263">
        <f t="shared" si="4"/>
        <v>1</v>
      </c>
      <c r="AC19" s="1808">
        <f t="shared" si="5"/>
        <v>1</v>
      </c>
    </row>
    <row r="20" spans="1:29" ht="15">
      <c r="A20" s="367"/>
      <c r="B20" s="401"/>
      <c r="C20" s="1756"/>
      <c r="D20" s="387"/>
      <c r="E20" s="1749"/>
      <c r="F20" s="387"/>
      <c r="G20" s="1750"/>
      <c r="H20" s="387"/>
      <c r="I20" s="1750"/>
      <c r="J20" s="387"/>
      <c r="K20" s="541"/>
      <c r="L20" s="2488"/>
      <c r="M20" s="2483"/>
      <c r="N20" s="2483"/>
      <c r="O20" s="2483"/>
      <c r="P20" s="3444"/>
      <c r="Q20" s="1262"/>
      <c r="R20" s="667"/>
      <c r="S20" s="668"/>
      <c r="T20" s="667"/>
      <c r="U20" s="668"/>
      <c r="V20" s="667"/>
      <c r="W20" s="668"/>
      <c r="X20" s="1264"/>
      <c r="Y20" s="3437"/>
      <c r="Z20" s="1263"/>
      <c r="AA20" s="1263">
        <v>1</v>
      </c>
      <c r="AB20" s="1263">
        <v>1</v>
      </c>
      <c r="AC20" s="1808">
        <v>1</v>
      </c>
    </row>
    <row r="21" spans="1:29" ht="27.6">
      <c r="A21" s="367"/>
      <c r="B21" s="557" t="s">
        <v>1813</v>
      </c>
      <c r="C21" s="1809"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44"/>
      <c r="Q21" s="1262" t="str">
        <f>B21</f>
        <v>基础设施水平</v>
      </c>
      <c r="R21" s="667" t="s">
        <v>14</v>
      </c>
      <c r="S21" s="668">
        <f>F21</f>
        <v>100</v>
      </c>
      <c r="T21" s="667" t="s">
        <v>14</v>
      </c>
      <c r="U21" s="668">
        <f>H21</f>
        <v>100</v>
      </c>
      <c r="V21" s="667" t="s">
        <v>14</v>
      </c>
      <c r="W21" s="668">
        <f>J21</f>
        <v>100</v>
      </c>
      <c r="X21" s="1264"/>
      <c r="Y21" s="3437"/>
      <c r="Z21" s="1263" t="str">
        <f>Q21</f>
        <v>基础设施水平</v>
      </c>
      <c r="AA21" s="1263">
        <f t="shared" ref="AA21" si="8">D21/F21</f>
        <v>1</v>
      </c>
      <c r="AB21" s="1263">
        <f t="shared" ref="AB21" si="9">D21/H21</f>
        <v>1</v>
      </c>
      <c r="AC21" s="1808">
        <f t="shared" ref="AC21" si="10">D21/J21</f>
        <v>1</v>
      </c>
    </row>
    <row r="22" spans="1:29" ht="15">
      <c r="A22" s="367"/>
      <c r="B22" s="557"/>
      <c r="C22" s="1810"/>
      <c r="D22" s="387"/>
      <c r="E22" s="386"/>
      <c r="F22" s="387"/>
      <c r="G22" s="1756"/>
      <c r="H22" s="387"/>
      <c r="I22" s="1756"/>
      <c r="J22" s="387"/>
      <c r="K22" s="1064"/>
      <c r="L22" s="2488"/>
      <c r="M22" s="2483"/>
      <c r="N22" s="2483"/>
      <c r="O22" s="2483"/>
      <c r="P22" s="3444"/>
      <c r="Q22" s="1262"/>
      <c r="R22" s="667"/>
      <c r="S22" s="668"/>
      <c r="T22" s="667"/>
      <c r="U22" s="668"/>
      <c r="V22" s="667"/>
      <c r="W22" s="668"/>
      <c r="X22" s="1264"/>
      <c r="Y22" s="3437"/>
      <c r="Z22" s="1263"/>
      <c r="AA22" s="1263">
        <v>1</v>
      </c>
      <c r="AB22" s="1263">
        <v>1</v>
      </c>
      <c r="AC22" s="1808">
        <v>1</v>
      </c>
    </row>
    <row r="23" spans="1:29" ht="55.2">
      <c r="A23" s="367"/>
      <c r="B23" s="556" t="s">
        <v>1814</v>
      </c>
      <c r="C23" s="1809"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44"/>
      <c r="Q23" s="1262" t="str">
        <f>B23</f>
        <v>环境质量</v>
      </c>
      <c r="R23" s="667" t="s">
        <v>14</v>
      </c>
      <c r="S23" s="668">
        <f>F23</f>
        <v>100</v>
      </c>
      <c r="T23" s="667" t="s">
        <v>14</v>
      </c>
      <c r="U23" s="668">
        <f>H23</f>
        <v>100</v>
      </c>
      <c r="V23" s="667" t="s">
        <v>14</v>
      </c>
      <c r="W23" s="668">
        <f>J23</f>
        <v>100</v>
      </c>
      <c r="X23" s="1264"/>
      <c r="Y23" s="3437"/>
      <c r="Z23" s="1263" t="str">
        <f>Q23</f>
        <v>环境质量</v>
      </c>
      <c r="AA23" s="1263">
        <f t="shared" si="3"/>
        <v>1</v>
      </c>
      <c r="AB23" s="1263">
        <f t="shared" si="4"/>
        <v>1</v>
      </c>
      <c r="AC23" s="1808">
        <f t="shared" si="5"/>
        <v>1</v>
      </c>
    </row>
    <row r="24" spans="1:29" ht="15">
      <c r="A24" s="367"/>
      <c r="B24" s="557"/>
      <c r="C24" s="1756"/>
      <c r="D24" s="387"/>
      <c r="E24" s="1749"/>
      <c r="F24" s="387"/>
      <c r="G24" s="1750"/>
      <c r="H24" s="387"/>
      <c r="I24" s="1750"/>
      <c r="J24" s="387"/>
      <c r="K24" s="541"/>
      <c r="L24" s="2488"/>
      <c r="M24" s="2483"/>
      <c r="N24" s="2483"/>
      <c r="O24" s="2483"/>
      <c r="P24" s="3444"/>
      <c r="Q24" s="1262"/>
      <c r="R24" s="667"/>
      <c r="S24" s="668"/>
      <c r="T24" s="667"/>
      <c r="U24" s="668"/>
      <c r="V24" s="667"/>
      <c r="W24" s="668"/>
      <c r="X24" s="1264"/>
      <c r="Y24" s="3437"/>
      <c r="Z24" s="1263"/>
      <c r="AA24" s="1263">
        <v>1</v>
      </c>
      <c r="AB24" s="1263">
        <v>1</v>
      </c>
      <c r="AC24" s="1808">
        <v>1</v>
      </c>
    </row>
    <row r="25" spans="1:29" ht="28.8">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444"/>
      <c r="Q25" s="1262" t="str">
        <f>B25</f>
        <v>毗邻道路的类型与等级</v>
      </c>
      <c r="R25" s="667" t="s">
        <v>14</v>
      </c>
      <c r="S25" s="668">
        <f>F25</f>
        <v>100</v>
      </c>
      <c r="T25" s="667" t="s">
        <v>14</v>
      </c>
      <c r="U25" s="668">
        <f>H25</f>
        <v>100</v>
      </c>
      <c r="V25" s="667" t="s">
        <v>14</v>
      </c>
      <c r="W25" s="668">
        <f>J25</f>
        <v>100</v>
      </c>
      <c r="X25" s="1264"/>
      <c r="Y25" s="3437"/>
      <c r="Z25" s="1263" t="str">
        <f>Q25</f>
        <v>毗邻道路的类型与等级</v>
      </c>
      <c r="AA25" s="1263">
        <f t="shared" si="3"/>
        <v>1</v>
      </c>
      <c r="AB25" s="1263">
        <f t="shared" si="4"/>
        <v>1</v>
      </c>
      <c r="AC25" s="1808">
        <f t="shared" si="5"/>
        <v>1</v>
      </c>
    </row>
    <row r="26" spans="1:29" ht="15">
      <c r="A26" s="348"/>
      <c r="B26" s="401"/>
      <c r="C26" s="558"/>
      <c r="D26" s="374"/>
      <c r="E26" s="542"/>
      <c r="F26" s="374"/>
      <c r="G26" s="558"/>
      <c r="H26" s="374"/>
      <c r="I26" s="542"/>
      <c r="J26" s="374"/>
      <c r="K26" s="541"/>
      <c r="L26" s="2488"/>
      <c r="M26" s="2483"/>
      <c r="N26" s="2483"/>
      <c r="O26" s="2483"/>
      <c r="P26" s="3444"/>
      <c r="Q26" s="1262"/>
      <c r="R26" s="667"/>
      <c r="S26" s="668"/>
      <c r="T26" s="667"/>
      <c r="U26" s="668"/>
      <c r="V26" s="667"/>
      <c r="W26" s="668"/>
      <c r="X26" s="1264"/>
      <c r="Y26" s="3437"/>
      <c r="Z26" s="1263"/>
      <c r="AA26" s="1263">
        <v>1</v>
      </c>
      <c r="AB26" s="1263">
        <v>1</v>
      </c>
      <c r="AC26" s="1808">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44"/>
      <c r="Q27" s="1262" t="str">
        <f t="shared" ref="Q27:Q47" si="11">B27</f>
        <v>楼层</v>
      </c>
      <c r="R27" s="667" t="s">
        <v>14</v>
      </c>
      <c r="S27" s="668">
        <f>F27</f>
        <v>100</v>
      </c>
      <c r="T27" s="667" t="s">
        <v>14</v>
      </c>
      <c r="U27" s="668">
        <f>H27</f>
        <v>100</v>
      </c>
      <c r="V27" s="667" t="s">
        <v>14</v>
      </c>
      <c r="W27" s="668">
        <f>J27</f>
        <v>100</v>
      </c>
      <c r="X27" s="1264"/>
      <c r="Y27" s="3437"/>
      <c r="Z27" s="1263" t="str">
        <f>Q27</f>
        <v>楼层</v>
      </c>
      <c r="AA27" s="1263">
        <f t="shared" si="3"/>
        <v>1</v>
      </c>
      <c r="AB27" s="1263">
        <f t="shared" si="4"/>
        <v>1</v>
      </c>
      <c r="AC27" s="1808">
        <f t="shared" si="5"/>
        <v>1</v>
      </c>
    </row>
    <row r="28" spans="1:29" s="102" customFormat="1" ht="15">
      <c r="A28" s="370"/>
      <c r="B28" s="556" t="s">
        <v>1816</v>
      </c>
      <c r="C28" s="1811"/>
      <c r="D28" s="401">
        <v>100</v>
      </c>
      <c r="E28" s="1803"/>
      <c r="F28" s="401">
        <f>SUMIF(91:91,E28,92:92)-SUMIF(91:91,C28,92:92)+100</f>
        <v>100</v>
      </c>
      <c r="G28" s="1811"/>
      <c r="H28" s="401">
        <f>SUMIF(91:91,G28,92:92)-SUMIF(91:91,C28,92:92)+100</f>
        <v>100</v>
      </c>
      <c r="I28" s="1803"/>
      <c r="J28" s="401">
        <f>SUMIF(91:91,I28,92:92)-SUMIF(91:91,C28,92:92)+100</f>
        <v>100</v>
      </c>
      <c r="K28" s="538"/>
      <c r="L28" s="2484"/>
      <c r="M28" s="2436"/>
      <c r="N28" s="2436"/>
      <c r="O28" s="2436"/>
      <c r="P28" s="3444"/>
      <c r="Q28" s="530" t="str">
        <f t="shared" si="11"/>
        <v>朝向</v>
      </c>
      <c r="R28" s="664" t="s">
        <v>14</v>
      </c>
      <c r="S28" s="665">
        <f>F28</f>
        <v>100</v>
      </c>
      <c r="T28" s="664" t="s">
        <v>14</v>
      </c>
      <c r="U28" s="665">
        <f>H28</f>
        <v>100</v>
      </c>
      <c r="V28" s="664" t="s">
        <v>14</v>
      </c>
      <c r="W28" s="665">
        <f>J28</f>
        <v>100</v>
      </c>
      <c r="X28" s="666"/>
      <c r="Y28" s="3437"/>
      <c r="Z28" s="50" t="str">
        <f>Q28</f>
        <v>朝向</v>
      </c>
      <c r="AA28" s="1263">
        <f>D28/F28</f>
        <v>1</v>
      </c>
      <c r="AB28" s="1263">
        <f>D28/H28</f>
        <v>1</v>
      </c>
      <c r="AC28" s="1808">
        <f>D28/J28</f>
        <v>1</v>
      </c>
    </row>
    <row r="29" spans="1:29" ht="15">
      <c r="A29" s="367"/>
      <c r="B29" s="1098">
        <v>111</v>
      </c>
      <c r="C29" s="1760"/>
      <c r="D29" s="374">
        <v>100</v>
      </c>
      <c r="E29" s="371"/>
      <c r="F29" s="374">
        <f>SUMIF(93:93,E29,94:94)-SUMIF(93:93,C29,94:94)+100</f>
        <v>100</v>
      </c>
      <c r="G29" s="1806"/>
      <c r="H29" s="374">
        <f>SUMIF(93:93,G29,94:94)-SUMIF(93:93,C29,94:94)+100</f>
        <v>100</v>
      </c>
      <c r="I29" s="371"/>
      <c r="J29" s="374">
        <f>SUMIF(93:93,I29,94:94)-SUMIF(93:93,C29,94:94)+100</f>
        <v>100</v>
      </c>
      <c r="K29" s="539"/>
      <c r="L29" s="2488"/>
      <c r="M29" s="2483"/>
      <c r="N29" s="2483"/>
      <c r="O29" s="2483"/>
      <c r="P29" s="3444"/>
      <c r="Q29" s="1262">
        <f t="shared" si="11"/>
        <v>111</v>
      </c>
      <c r="R29" s="667" t="s">
        <v>14</v>
      </c>
      <c r="S29" s="668">
        <f t="shared" ref="S29:S47" si="12">F29</f>
        <v>100</v>
      </c>
      <c r="T29" s="667" t="s">
        <v>14</v>
      </c>
      <c r="U29" s="668">
        <f t="shared" ref="U29:U47" si="13">H29</f>
        <v>100</v>
      </c>
      <c r="V29" s="667" t="s">
        <v>14</v>
      </c>
      <c r="W29" s="668">
        <f t="shared" ref="W29:W47" si="14">J29</f>
        <v>100</v>
      </c>
      <c r="X29" s="1264"/>
      <c r="Y29" s="3437"/>
      <c r="Z29" s="1263">
        <f t="shared" ref="Z29:Z47" si="15">Q29</f>
        <v>111</v>
      </c>
      <c r="AA29" s="1263">
        <f t="shared" si="3"/>
        <v>1</v>
      </c>
      <c r="AB29" s="1263">
        <f t="shared" si="4"/>
        <v>1</v>
      </c>
      <c r="AC29" s="1808">
        <f t="shared" si="5"/>
        <v>1</v>
      </c>
    </row>
    <row r="30" spans="1:29" ht="15">
      <c r="A30" s="367"/>
      <c r="B30" s="1098">
        <v>111</v>
      </c>
      <c r="C30" s="1760"/>
      <c r="D30" s="374">
        <v>100</v>
      </c>
      <c r="E30" s="371"/>
      <c r="F30" s="374">
        <f>SUMIF(95:95,E30,96:96)-SUMIF(95:95,C30,96:96)+100</f>
        <v>100</v>
      </c>
      <c r="G30" s="1806"/>
      <c r="H30" s="374">
        <f>SUMIF(95:95,G30,96:96)-SUMIF(95:95,C30,96:96)+100</f>
        <v>100</v>
      </c>
      <c r="I30" s="371"/>
      <c r="J30" s="374">
        <f>SUMIF(95:95,I30,96:96)-SUMIF(95:95,C30,96:96)+100</f>
        <v>100</v>
      </c>
      <c r="K30" s="539"/>
      <c r="L30" s="2488"/>
      <c r="M30" s="2483"/>
      <c r="N30" s="2483"/>
      <c r="O30" s="2483"/>
      <c r="P30" s="3444"/>
      <c r="Q30" s="1262">
        <f t="shared" si="11"/>
        <v>111</v>
      </c>
      <c r="R30" s="667" t="s">
        <v>14</v>
      </c>
      <c r="S30" s="668">
        <f t="shared" si="12"/>
        <v>100</v>
      </c>
      <c r="T30" s="667" t="s">
        <v>14</v>
      </c>
      <c r="U30" s="668">
        <f t="shared" si="13"/>
        <v>100</v>
      </c>
      <c r="V30" s="667" t="s">
        <v>14</v>
      </c>
      <c r="W30" s="668">
        <f t="shared" si="14"/>
        <v>100</v>
      </c>
      <c r="X30" s="1264"/>
      <c r="Y30" s="3437"/>
      <c r="Z30" s="1263">
        <f t="shared" si="15"/>
        <v>111</v>
      </c>
      <c r="AA30" s="1263">
        <f t="shared" si="3"/>
        <v>1</v>
      </c>
      <c r="AB30" s="1263">
        <f t="shared" si="4"/>
        <v>1</v>
      </c>
      <c r="AC30" s="1808">
        <f t="shared" si="5"/>
        <v>1</v>
      </c>
    </row>
    <row r="31" spans="1:29" ht="15">
      <c r="A31" s="367"/>
      <c r="B31" s="1098">
        <v>111</v>
      </c>
      <c r="C31" s="1760"/>
      <c r="D31" s="374">
        <v>100</v>
      </c>
      <c r="E31" s="371"/>
      <c r="F31" s="374">
        <f>SUMIF(97:97,E31,98:98)-SUMIF(97:97,C31,98:98)+100</f>
        <v>100</v>
      </c>
      <c r="G31" s="1806"/>
      <c r="H31" s="374">
        <f>SUMIF(97:97,G31,98:98)-SUMIF(97:97,C31,98:98)+100</f>
        <v>100</v>
      </c>
      <c r="I31" s="371"/>
      <c r="J31" s="374">
        <f>SUMIF(97:97,I31,98:98)-SUMIF(97:97,C31,98:98)+100</f>
        <v>100</v>
      </c>
      <c r="K31" s="539"/>
      <c r="L31" s="2488"/>
      <c r="M31" s="2483"/>
      <c r="N31" s="2483"/>
      <c r="O31" s="2483"/>
      <c r="P31" s="3444"/>
      <c r="Q31" s="1262">
        <f t="shared" si="11"/>
        <v>111</v>
      </c>
      <c r="R31" s="667" t="s">
        <v>14</v>
      </c>
      <c r="S31" s="668">
        <f t="shared" si="12"/>
        <v>100</v>
      </c>
      <c r="T31" s="667" t="s">
        <v>14</v>
      </c>
      <c r="U31" s="668">
        <f t="shared" si="13"/>
        <v>100</v>
      </c>
      <c r="V31" s="667" t="s">
        <v>14</v>
      </c>
      <c r="W31" s="668">
        <f t="shared" si="14"/>
        <v>100</v>
      </c>
      <c r="X31" s="1264"/>
      <c r="Y31" s="3437"/>
      <c r="Z31" s="1263">
        <f t="shared" si="15"/>
        <v>111</v>
      </c>
      <c r="AA31" s="1263">
        <f t="shared" si="3"/>
        <v>1</v>
      </c>
      <c r="AB31" s="1263">
        <f t="shared" si="4"/>
        <v>1</v>
      </c>
      <c r="AC31" s="1808">
        <f t="shared" si="5"/>
        <v>1</v>
      </c>
    </row>
    <row r="32" spans="1:29" ht="15.6" thickBot="1">
      <c r="A32" s="375"/>
      <c r="B32" s="559">
        <v>111</v>
      </c>
      <c r="C32" s="1761"/>
      <c r="D32" s="377">
        <v>100</v>
      </c>
      <c r="E32" s="553"/>
      <c r="F32" s="377">
        <f>SUMIF(99:99,E32,100:100)-SUMIF(99:99,C32,100:100)+100</f>
        <v>100</v>
      </c>
      <c r="G32" s="1806"/>
      <c r="H32" s="377">
        <f>SUMIF(99:99,G32,100:100)-SUMIF(99:99,C32,100:100)+100</f>
        <v>100</v>
      </c>
      <c r="I32" s="371"/>
      <c r="J32" s="377">
        <f>SUMIF(99:99,I32,100:100)-SUMIF(99:99,C32,100:100)+100</f>
        <v>100</v>
      </c>
      <c r="K32" s="539"/>
      <c r="L32" s="2488"/>
      <c r="M32" s="2483"/>
      <c r="N32" s="2483"/>
      <c r="O32" s="2483"/>
      <c r="P32" s="3444"/>
      <c r="Q32" s="1262">
        <f t="shared" si="11"/>
        <v>111</v>
      </c>
      <c r="R32" s="667" t="s">
        <v>14</v>
      </c>
      <c r="S32" s="668">
        <f t="shared" si="12"/>
        <v>100</v>
      </c>
      <c r="T32" s="667" t="s">
        <v>14</v>
      </c>
      <c r="U32" s="668">
        <f t="shared" si="13"/>
        <v>100</v>
      </c>
      <c r="V32" s="667" t="s">
        <v>14</v>
      </c>
      <c r="W32" s="668">
        <f t="shared" si="14"/>
        <v>100</v>
      </c>
      <c r="X32" s="1264"/>
      <c r="Y32" s="3437"/>
      <c r="Z32" s="1263">
        <f t="shared" si="15"/>
        <v>111</v>
      </c>
      <c r="AA32" s="1263">
        <f t="shared" si="3"/>
        <v>1</v>
      </c>
      <c r="AB32" s="1263">
        <f t="shared" si="4"/>
        <v>1</v>
      </c>
      <c r="AC32" s="1808">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438" t="s">
        <v>1696</v>
      </c>
      <c r="Q33" s="1262" t="str">
        <f t="shared" si="11"/>
        <v>建筑类型</v>
      </c>
      <c r="R33" s="667" t="s">
        <v>14</v>
      </c>
      <c r="S33" s="668">
        <f t="shared" si="12"/>
        <v>100</v>
      </c>
      <c r="T33" s="667" t="s">
        <v>14</v>
      </c>
      <c r="U33" s="668">
        <f t="shared" si="13"/>
        <v>100</v>
      </c>
      <c r="V33" s="667" t="s">
        <v>14</v>
      </c>
      <c r="W33" s="668">
        <f t="shared" si="14"/>
        <v>100</v>
      </c>
      <c r="X33" s="1264"/>
      <c r="Y33" s="3441" t="s">
        <v>1696</v>
      </c>
      <c r="Z33" s="1263" t="str">
        <f t="shared" si="15"/>
        <v>建筑类型</v>
      </c>
      <c r="AA33" s="1263">
        <f t="shared" si="3"/>
        <v>1</v>
      </c>
      <c r="AB33" s="1263">
        <f t="shared" si="4"/>
        <v>1</v>
      </c>
      <c r="AC33" s="1808">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39"/>
      <c r="Q34" s="531" t="str">
        <f t="shared" si="11"/>
        <v>项目建筑规模</v>
      </c>
      <c r="R34" s="669" t="s">
        <v>14</v>
      </c>
      <c r="S34" s="670" t="e">
        <f t="shared" si="12"/>
        <v>#N/A</v>
      </c>
      <c r="T34" s="669" t="s">
        <v>14</v>
      </c>
      <c r="U34" s="670" t="e">
        <f t="shared" si="13"/>
        <v>#N/A</v>
      </c>
      <c r="V34" s="669" t="s">
        <v>14</v>
      </c>
      <c r="W34" s="670" t="e">
        <f t="shared" si="14"/>
        <v>#N/A</v>
      </c>
      <c r="X34" s="671"/>
      <c r="Y34" s="3441"/>
      <c r="Z34" s="672" t="str">
        <f t="shared" si="15"/>
        <v>项目建筑规模</v>
      </c>
      <c r="AA34" s="1263" t="e">
        <f t="shared" si="3"/>
        <v>#N/A</v>
      </c>
      <c r="AB34" s="1263" t="e">
        <f t="shared" si="4"/>
        <v>#N/A</v>
      </c>
      <c r="AC34" s="1808"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39"/>
      <c r="Q35" s="1262" t="str">
        <f t="shared" si="11"/>
        <v>建筑结构</v>
      </c>
      <c r="R35" s="667" t="s">
        <v>14</v>
      </c>
      <c r="S35" s="668">
        <f t="shared" si="12"/>
        <v>100</v>
      </c>
      <c r="T35" s="667" t="s">
        <v>14</v>
      </c>
      <c r="U35" s="668">
        <f t="shared" si="13"/>
        <v>100</v>
      </c>
      <c r="V35" s="667" t="s">
        <v>14</v>
      </c>
      <c r="W35" s="668">
        <f t="shared" si="14"/>
        <v>100</v>
      </c>
      <c r="X35" s="1264"/>
      <c r="Y35" s="3441"/>
      <c r="Z35" s="1263" t="str">
        <f t="shared" si="15"/>
        <v>建筑结构</v>
      </c>
      <c r="AA35" s="1263">
        <f t="shared" si="3"/>
        <v>1</v>
      </c>
      <c r="AB35" s="1263">
        <f t="shared" si="4"/>
        <v>1</v>
      </c>
      <c r="AC35" s="1808">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39"/>
      <c r="Q36" s="1262" t="str">
        <f t="shared" si="11"/>
        <v>公共部分装修</v>
      </c>
      <c r="R36" s="667" t="s">
        <v>14</v>
      </c>
      <c r="S36" s="668">
        <f t="shared" si="12"/>
        <v>100</v>
      </c>
      <c r="T36" s="667" t="s">
        <v>14</v>
      </c>
      <c r="U36" s="668">
        <f t="shared" si="13"/>
        <v>100</v>
      </c>
      <c r="V36" s="667" t="s">
        <v>14</v>
      </c>
      <c r="W36" s="668">
        <f t="shared" si="14"/>
        <v>100</v>
      </c>
      <c r="X36" s="1264"/>
      <c r="Y36" s="3441"/>
      <c r="Z36" s="1263" t="str">
        <f t="shared" si="15"/>
        <v>公共部分装修</v>
      </c>
      <c r="AA36" s="1263">
        <f t="shared" si="3"/>
        <v>1</v>
      </c>
      <c r="AB36" s="1263">
        <f t="shared" si="4"/>
        <v>1</v>
      </c>
      <c r="AC36" s="1808">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39"/>
      <c r="Q37" s="1262" t="str">
        <f t="shared" si="11"/>
        <v>成新度</v>
      </c>
      <c r="R37" s="667" t="s">
        <v>14</v>
      </c>
      <c r="S37" s="668" t="e">
        <f t="shared" si="12"/>
        <v>#N/A</v>
      </c>
      <c r="T37" s="667" t="s">
        <v>14</v>
      </c>
      <c r="U37" s="668" t="e">
        <f t="shared" si="13"/>
        <v>#N/A</v>
      </c>
      <c r="V37" s="667" t="s">
        <v>14</v>
      </c>
      <c r="W37" s="668" t="e">
        <f t="shared" si="14"/>
        <v>#N/A</v>
      </c>
      <c r="X37" s="1264"/>
      <c r="Y37" s="3441"/>
      <c r="Z37" s="1263" t="str">
        <f t="shared" si="15"/>
        <v>成新度</v>
      </c>
      <c r="AA37" s="1263" t="e">
        <f t="shared" si="3"/>
        <v>#N/A</v>
      </c>
      <c r="AB37" s="1263" t="e">
        <f t="shared" si="4"/>
        <v>#N/A</v>
      </c>
      <c r="AC37" s="1808"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439"/>
      <c r="Q38" s="530" t="str">
        <f t="shared" si="11"/>
        <v>写字楼等级</v>
      </c>
      <c r="R38" s="664" t="s">
        <v>14</v>
      </c>
      <c r="S38" s="665">
        <f t="shared" si="12"/>
        <v>100</v>
      </c>
      <c r="T38" s="664" t="s">
        <v>14</v>
      </c>
      <c r="U38" s="665">
        <f t="shared" si="13"/>
        <v>100</v>
      </c>
      <c r="V38" s="664" t="s">
        <v>14</v>
      </c>
      <c r="W38" s="665">
        <f t="shared" si="14"/>
        <v>100</v>
      </c>
      <c r="X38" s="666"/>
      <c r="Y38" s="344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39" t="s">
        <v>1696</v>
      </c>
      <c r="Q39" s="1262" t="str">
        <f t="shared" si="11"/>
        <v>物业管理</v>
      </c>
      <c r="R39" s="667" t="s">
        <v>14</v>
      </c>
      <c r="S39" s="668">
        <f t="shared" si="12"/>
        <v>100</v>
      </c>
      <c r="T39" s="667" t="s">
        <v>14</v>
      </c>
      <c r="U39" s="668">
        <f t="shared" si="13"/>
        <v>100</v>
      </c>
      <c r="V39" s="667" t="s">
        <v>14</v>
      </c>
      <c r="W39" s="668">
        <f t="shared" si="14"/>
        <v>100</v>
      </c>
      <c r="X39" s="1264"/>
      <c r="Y39" s="3441" t="s">
        <v>1696</v>
      </c>
      <c r="Z39" s="1263" t="str">
        <f t="shared" si="15"/>
        <v>物业管理</v>
      </c>
      <c r="AA39" s="1263">
        <f t="shared" si="3"/>
        <v>1</v>
      </c>
      <c r="AB39" s="1263">
        <f t="shared" si="4"/>
        <v>1</v>
      </c>
      <c r="AC39" s="1808">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39"/>
      <c r="Q40" s="1262" t="str">
        <f t="shared" si="11"/>
        <v>市政基础设施</v>
      </c>
      <c r="R40" s="667" t="s">
        <v>14</v>
      </c>
      <c r="S40" s="668">
        <f t="shared" si="12"/>
        <v>100</v>
      </c>
      <c r="T40" s="667" t="s">
        <v>14</v>
      </c>
      <c r="U40" s="668">
        <f t="shared" si="13"/>
        <v>100</v>
      </c>
      <c r="V40" s="667" t="s">
        <v>14</v>
      </c>
      <c r="W40" s="668">
        <f t="shared" si="14"/>
        <v>100</v>
      </c>
      <c r="X40" s="1264"/>
      <c r="Y40" s="3441"/>
      <c r="Z40" s="1263" t="str">
        <f t="shared" si="15"/>
        <v>市政基础设施</v>
      </c>
      <c r="AA40" s="1263">
        <f t="shared" si="3"/>
        <v>1</v>
      </c>
      <c r="AB40" s="1263">
        <f t="shared" si="4"/>
        <v>1</v>
      </c>
      <c r="AC40" s="1808">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39"/>
      <c r="Q41" s="1262" t="str">
        <f t="shared" si="11"/>
        <v>层高</v>
      </c>
      <c r="R41" s="667" t="s">
        <v>14</v>
      </c>
      <c r="S41" s="668">
        <f t="shared" si="12"/>
        <v>100</v>
      </c>
      <c r="T41" s="667" t="s">
        <v>14</v>
      </c>
      <c r="U41" s="668">
        <f t="shared" si="13"/>
        <v>100</v>
      </c>
      <c r="V41" s="667" t="s">
        <v>14</v>
      </c>
      <c r="W41" s="668">
        <f t="shared" si="14"/>
        <v>100</v>
      </c>
      <c r="X41" s="1264"/>
      <c r="Y41" s="3441"/>
      <c r="Z41" s="1263" t="str">
        <f t="shared" si="15"/>
        <v>层高</v>
      </c>
      <c r="AA41" s="1263">
        <f t="shared" si="3"/>
        <v>1</v>
      </c>
      <c r="AB41" s="1263">
        <f t="shared" si="4"/>
        <v>1</v>
      </c>
      <c r="AC41" s="1808">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39"/>
      <c r="Q42" s="531" t="str">
        <f t="shared" si="11"/>
        <v>单套建筑面积</v>
      </c>
      <c r="R42" s="669" t="s">
        <v>14</v>
      </c>
      <c r="S42" s="670">
        <f t="shared" si="12"/>
        <v>100</v>
      </c>
      <c r="T42" s="669" t="s">
        <v>14</v>
      </c>
      <c r="U42" s="670">
        <f t="shared" si="13"/>
        <v>100</v>
      </c>
      <c r="V42" s="669" t="s">
        <v>14</v>
      </c>
      <c r="W42" s="670">
        <f t="shared" si="14"/>
        <v>100</v>
      </c>
      <c r="X42" s="671"/>
      <c r="Y42" s="3441"/>
      <c r="Z42" s="672" t="str">
        <f t="shared" si="15"/>
        <v>单套建筑面积</v>
      </c>
      <c r="AA42" s="1263">
        <f t="shared" si="3"/>
        <v>1</v>
      </c>
      <c r="AB42" s="1263">
        <f t="shared" si="4"/>
        <v>1</v>
      </c>
      <c r="AC42" s="1808">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39"/>
      <c r="Q43" s="1262" t="str">
        <f t="shared" si="11"/>
        <v>内部装修</v>
      </c>
      <c r="R43" s="667" t="s">
        <v>14</v>
      </c>
      <c r="S43" s="668">
        <f t="shared" si="12"/>
        <v>100</v>
      </c>
      <c r="T43" s="667" t="s">
        <v>14</v>
      </c>
      <c r="U43" s="668">
        <f t="shared" si="13"/>
        <v>100</v>
      </c>
      <c r="V43" s="667" t="s">
        <v>14</v>
      </c>
      <c r="W43" s="668">
        <f t="shared" si="14"/>
        <v>100</v>
      </c>
      <c r="X43" s="1264"/>
      <c r="Y43" s="3441"/>
      <c r="Z43" s="1263" t="str">
        <f t="shared" si="15"/>
        <v>内部装修</v>
      </c>
      <c r="AA43" s="1263">
        <f t="shared" si="3"/>
        <v>1</v>
      </c>
      <c r="AB43" s="1263">
        <f t="shared" si="4"/>
        <v>1</v>
      </c>
      <c r="AC43" s="1808">
        <f t="shared" si="5"/>
        <v>1</v>
      </c>
    </row>
    <row r="44" spans="1:29" ht="28.8">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439"/>
      <c r="Q44" s="1262" t="str">
        <f t="shared" si="11"/>
        <v>内部装修维护情况</v>
      </c>
      <c r="R44" s="667" t="s">
        <v>14</v>
      </c>
      <c r="S44" s="668">
        <f t="shared" si="12"/>
        <v>100</v>
      </c>
      <c r="T44" s="667" t="s">
        <v>14</v>
      </c>
      <c r="U44" s="668">
        <f t="shared" si="13"/>
        <v>100</v>
      </c>
      <c r="V44" s="667" t="s">
        <v>14</v>
      </c>
      <c r="W44" s="668">
        <f t="shared" si="14"/>
        <v>100</v>
      </c>
      <c r="X44" s="1264"/>
      <c r="Y44" s="3441"/>
      <c r="Z44" s="1263" t="str">
        <f t="shared" si="15"/>
        <v>内部装修维护情况</v>
      </c>
      <c r="AA44" s="1263">
        <f t="shared" si="3"/>
        <v>1</v>
      </c>
      <c r="AB44" s="1263">
        <f t="shared" si="4"/>
        <v>1</v>
      </c>
      <c r="AC44" s="1808">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439"/>
      <c r="Q45" s="530">
        <f t="shared" si="11"/>
        <v>111</v>
      </c>
      <c r="R45" s="664" t="s">
        <v>14</v>
      </c>
      <c r="S45" s="665">
        <f t="shared" si="12"/>
        <v>100</v>
      </c>
      <c r="T45" s="664" t="s">
        <v>14</v>
      </c>
      <c r="U45" s="665">
        <f t="shared" si="13"/>
        <v>100</v>
      </c>
      <c r="V45" s="664" t="s">
        <v>14</v>
      </c>
      <c r="W45" s="665">
        <f t="shared" si="14"/>
        <v>100</v>
      </c>
      <c r="X45" s="666"/>
      <c r="Y45" s="344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39"/>
      <c r="Q46" s="1262">
        <f t="shared" si="11"/>
        <v>111</v>
      </c>
      <c r="R46" s="667" t="s">
        <v>14</v>
      </c>
      <c r="S46" s="668">
        <f t="shared" si="12"/>
        <v>100</v>
      </c>
      <c r="T46" s="667" t="s">
        <v>14</v>
      </c>
      <c r="U46" s="668">
        <f t="shared" si="13"/>
        <v>100</v>
      </c>
      <c r="V46" s="667" t="s">
        <v>14</v>
      </c>
      <c r="W46" s="668">
        <f t="shared" si="14"/>
        <v>100</v>
      </c>
      <c r="X46" s="1264"/>
      <c r="Y46" s="3441"/>
      <c r="Z46" s="1263">
        <f t="shared" si="15"/>
        <v>111</v>
      </c>
      <c r="AA46" s="1263">
        <f t="shared" si="3"/>
        <v>1</v>
      </c>
      <c r="AB46" s="1263">
        <f t="shared" si="4"/>
        <v>1</v>
      </c>
      <c r="AC46" s="1808">
        <f t="shared" si="5"/>
        <v>1</v>
      </c>
    </row>
    <row r="47" spans="1:29" ht="15.6"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40"/>
      <c r="Q47" s="1262">
        <f t="shared" si="11"/>
        <v>111</v>
      </c>
      <c r="R47" s="667" t="s">
        <v>14</v>
      </c>
      <c r="S47" s="668">
        <f t="shared" si="12"/>
        <v>100</v>
      </c>
      <c r="T47" s="667" t="s">
        <v>14</v>
      </c>
      <c r="U47" s="668">
        <f t="shared" si="13"/>
        <v>100</v>
      </c>
      <c r="V47" s="667" t="s">
        <v>14</v>
      </c>
      <c r="W47" s="668">
        <f t="shared" si="14"/>
        <v>100</v>
      </c>
      <c r="X47" s="1264"/>
      <c r="Y47" s="3442"/>
      <c r="Z47" s="1263">
        <f t="shared" si="15"/>
        <v>111</v>
      </c>
      <c r="AA47" s="1263">
        <f t="shared" si="3"/>
        <v>1</v>
      </c>
      <c r="AB47" s="1263">
        <f t="shared" si="4"/>
        <v>1</v>
      </c>
      <c r="AC47" s="1808">
        <f t="shared" si="5"/>
        <v>1</v>
      </c>
    </row>
    <row r="48" spans="1:29" ht="14.4">
      <c r="A48" s="416" t="s">
        <v>1708</v>
      </c>
      <c r="B48" s="417"/>
      <c r="C48" s="1081" t="s">
        <v>0</v>
      </c>
      <c r="D48" s="418"/>
      <c r="E48" s="419"/>
      <c r="F48" s="420"/>
      <c r="G48" s="421"/>
      <c r="H48" s="422"/>
      <c r="I48" s="419"/>
      <c r="J48" s="422"/>
      <c r="K48" s="674"/>
      <c r="L48" s="2490"/>
      <c r="M48" s="2483"/>
      <c r="N48" s="2483"/>
      <c r="O48" s="2483"/>
      <c r="P48" s="3445" t="str">
        <f>A48</f>
        <v>成交单价（元/平方米）</v>
      </c>
      <c r="Q48" s="3434"/>
      <c r="R48" s="3435">
        <f>E48</f>
        <v>0</v>
      </c>
      <c r="S48" s="3435"/>
      <c r="T48" s="3435">
        <f>G48</f>
        <v>0</v>
      </c>
      <c r="U48" s="3435"/>
      <c r="V48" s="3435">
        <f>I48</f>
        <v>0</v>
      </c>
      <c r="W48" s="3435"/>
      <c r="X48" s="385"/>
      <c r="Y48" s="673"/>
      <c r="Z48" s="385"/>
      <c r="AA48" s="385"/>
      <c r="AB48" s="385"/>
      <c r="AC48" s="555"/>
    </row>
    <row r="49" spans="1:29" ht="15" thickBot="1">
      <c r="A49" s="423" t="s">
        <v>1793</v>
      </c>
      <c r="B49" s="424"/>
      <c r="C49" s="1082" t="e">
        <f>R50</f>
        <v>#DIV/0!</v>
      </c>
      <c r="D49" s="2137" t="s">
        <v>2135</v>
      </c>
      <c r="E49" s="1083" t="e">
        <f>R49</f>
        <v>#DIV/0!</v>
      </c>
      <c r="F49" s="2138"/>
      <c r="G49" s="1082" t="e">
        <f>T49</f>
        <v>#DIV/0!</v>
      </c>
      <c r="H49" s="2138"/>
      <c r="I49" s="1083" t="e">
        <f>V49</f>
        <v>#DIV/0!</v>
      </c>
      <c r="J49" s="2138"/>
      <c r="K49" s="2140">
        <f>F49+H49+J49</f>
        <v>0</v>
      </c>
      <c r="L49" s="2490"/>
      <c r="M49" s="2483"/>
      <c r="N49" s="2483"/>
      <c r="O49" s="2483"/>
      <c r="P49" s="3445" t="str">
        <f>A49</f>
        <v>比较价值（元/平方米）</v>
      </c>
      <c r="Q49" s="3434"/>
      <c r="R49" s="3435" t="e">
        <f>IF(F1="售价",ROUND(PRODUCT(R48,AA7:AA47),0),ROUND(PRODUCT(R48,AA7:AA47),1))</f>
        <v>#DIV/0!</v>
      </c>
      <c r="S49" s="3435"/>
      <c r="T49" s="3435" t="e">
        <f>IF(F1="售价",ROUND(PRODUCT(T48,AB7:AB47),0),ROUND(PRODUCT(T48,AB7:AB47),1))</f>
        <v>#DIV/0!</v>
      </c>
      <c r="U49" s="3435"/>
      <c r="V49" s="3435" t="e">
        <f>IF(F1="售价",ROUND(PRODUCT(V48,AC7:AC47),0),ROUND(PRODUCT(V48,AC7:AC47),1))</f>
        <v>#DIV/0!</v>
      </c>
      <c r="W49" s="343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0"/>
      <c r="M50" s="2483"/>
      <c r="N50" s="2483"/>
      <c r="O50" s="2483"/>
      <c r="P50" s="3514" t="str">
        <f>A50</f>
        <v>估价对象XX用房的比较价值（楼面单价，元/平方米）</v>
      </c>
      <c r="Q50" s="3515"/>
      <c r="R50" s="3516" t="e">
        <f>IF(F1="售价",ROUND(IF(D49="简单平均",AVERAGE(R49:V49),R49*F49+T49*H49+V49*J49),0),ROUND(IF(D49="简单平均",AVERAGE(R49:V49),R49*F49+T49*H49+V49*J49),1))</f>
        <v>#DIV/0!</v>
      </c>
      <c r="S50" s="3516"/>
      <c r="T50" s="3516"/>
      <c r="U50" s="3516"/>
      <c r="V50" s="3516"/>
      <c r="W50" s="3516"/>
      <c r="X50" s="1794"/>
      <c r="Y50" s="1794"/>
      <c r="Z50" s="1794"/>
      <c r="AA50" s="1794"/>
      <c r="AB50" s="1794"/>
      <c r="AC50" s="1795"/>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8" t="s">
        <v>1798</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4.4">
      <c r="A59" s="440" t="s">
        <v>1679</v>
      </c>
      <c r="B59" s="441"/>
      <c r="C59" s="1102" t="str">
        <f>YEAR(C7)&amp;"-"&amp;MONTH(C7)</f>
        <v>2025-6</v>
      </c>
      <c r="D59" s="1103">
        <f>EDATE(C59,-1)</f>
        <v>45778</v>
      </c>
      <c r="E59" s="1103">
        <f>EDATE(D59,-1)</f>
        <v>45748</v>
      </c>
      <c r="F59" s="1103">
        <f t="shared" ref="F59:O59" si="16">EDATE(E59,-1)</f>
        <v>45717</v>
      </c>
      <c r="G59" s="1103">
        <f t="shared" si="16"/>
        <v>45689</v>
      </c>
      <c r="H59" s="1103">
        <f t="shared" si="16"/>
        <v>45658</v>
      </c>
      <c r="I59" s="1103">
        <f t="shared" si="16"/>
        <v>45627</v>
      </c>
      <c r="J59" s="1103">
        <f t="shared" si="16"/>
        <v>45597</v>
      </c>
      <c r="K59" s="1103">
        <f t="shared" si="16"/>
        <v>45566</v>
      </c>
      <c r="L59" s="1103">
        <f t="shared" si="16"/>
        <v>45536</v>
      </c>
      <c r="M59" s="1103">
        <f t="shared" si="16"/>
        <v>45505</v>
      </c>
      <c r="N59" s="1103">
        <f t="shared" si="16"/>
        <v>45474</v>
      </c>
      <c r="O59" s="1103">
        <f t="shared" si="16"/>
        <v>45444</v>
      </c>
      <c r="P59" s="2523"/>
      <c r="Q59" s="2506"/>
      <c r="R59" s="2506"/>
      <c r="S59" s="2506"/>
      <c r="T59" s="2506"/>
      <c r="U59" s="2506"/>
      <c r="V59" s="2506"/>
      <c r="W59" s="2506"/>
      <c r="X59" s="2506"/>
      <c r="Y59" s="2506"/>
      <c r="Z59" s="2506"/>
      <c r="AA59" s="2506"/>
      <c r="AB59" s="2506"/>
      <c r="AC59" s="2506"/>
    </row>
    <row r="60" spans="1:29" s="102" customFormat="1">
      <c r="A60" s="443"/>
      <c r="B60" s="444"/>
      <c r="C60" s="1101">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4.4">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4.4"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ht="14.4">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70"/>
      <c r="B89" s="469" t="str">
        <f>B27</f>
        <v>楼层</v>
      </c>
      <c r="C89" s="485"/>
      <c r="D89" s="485"/>
      <c r="E89" s="485"/>
      <c r="F89" s="1776"/>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2"/>
      <c r="M119" s="1813"/>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F7:F47 H7:H47 J7:J47">
    <cfRule type="cellIs" dxfId="97" priority="1" operator="notEqual">
      <formula>100</formula>
    </cfRule>
  </conditionalFormatting>
  <conditionalFormatting sqref="F49">
    <cfRule type="expression" dxfId="96" priority="4">
      <formula>$D$49="简单平均"</formula>
    </cfRule>
  </conditionalFormatting>
  <conditionalFormatting sqref="F53:F55 H53:H55">
    <cfRule type="containsText" dxfId="95" priority="17" stopIfTrue="1" operator="containsText" text="超过">
      <formula>NOT(ISERROR(SEARCH("超过",F53)))</formula>
    </cfRule>
  </conditionalFormatting>
  <conditionalFormatting sqref="G53">
    <cfRule type="expression" dxfId="94" priority="12" stopIfTrue="1">
      <formula>$H$53="超过30%"</formula>
    </cfRule>
  </conditionalFormatting>
  <conditionalFormatting sqref="G54">
    <cfRule type="expression" dxfId="93" priority="11" stopIfTrue="1">
      <formula>$H$54="超过20%"</formula>
    </cfRule>
  </conditionalFormatting>
  <conditionalFormatting sqref="G55">
    <cfRule type="expression" dxfId="92" priority="13" stopIfTrue="1">
      <formula>$H$55="超过30%"</formula>
    </cfRule>
  </conditionalFormatting>
  <conditionalFormatting sqref="H49">
    <cfRule type="expression" dxfId="91" priority="3">
      <formula>$D$49="简单平均"</formula>
    </cfRule>
  </conditionalFormatting>
  <conditionalFormatting sqref="I53">
    <cfRule type="expression" dxfId="90" priority="7" stopIfTrue="1">
      <formula>$J$53="超过30%"</formula>
    </cfRule>
  </conditionalFormatting>
  <conditionalFormatting sqref="I54">
    <cfRule type="expression" dxfId="89" priority="6" stopIfTrue="1">
      <formula>$J$53+$J$54="超过20%"</formula>
    </cfRule>
  </conditionalFormatting>
  <conditionalFormatting sqref="I55">
    <cfRule type="expression" dxfId="88" priority="5" stopIfTrue="1">
      <formula>$J$55="超过30%"</formula>
    </cfRule>
  </conditionalFormatting>
  <conditionalFormatting sqref="J49">
    <cfRule type="expression" dxfId="87" priority="2">
      <formula>$D$49="简单平均"</formula>
    </cfRule>
  </conditionalFormatting>
  <conditionalFormatting sqref="J53:J55">
    <cfRule type="containsText" dxfId="86"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4" t="s">
        <v>1826</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216.68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49" t="s">
        <v>1770</v>
      </c>
      <c r="D4" s="3450"/>
      <c r="E4" s="3451" t="s">
        <v>1771</v>
      </c>
      <c r="F4" s="3452"/>
      <c r="G4" s="3449" t="s">
        <v>1772</v>
      </c>
      <c r="H4" s="3450"/>
      <c r="I4" s="3449" t="s">
        <v>1773</v>
      </c>
      <c r="J4" s="3450"/>
      <c r="K4" s="537" t="s">
        <v>1774</v>
      </c>
      <c r="L4" s="860"/>
      <c r="M4" s="861"/>
      <c r="N4" s="861"/>
      <c r="O4" s="861"/>
      <c r="P4" s="3453" t="s">
        <v>1775</v>
      </c>
      <c r="Q4" s="3454"/>
      <c r="R4" s="3459" t="s">
        <v>1771</v>
      </c>
      <c r="S4" s="3460"/>
      <c r="T4" s="3459" t="s">
        <v>1772</v>
      </c>
      <c r="U4" s="3460"/>
      <c r="V4" s="3435" t="s">
        <v>1773</v>
      </c>
      <c r="W4" s="3435"/>
      <c r="X4" s="1264"/>
      <c r="Y4" s="3459" t="s">
        <v>1775</v>
      </c>
      <c r="Z4" s="3460"/>
      <c r="AA4" s="3446" t="s">
        <v>1771</v>
      </c>
      <c r="AB4" s="3447" t="s">
        <v>1772</v>
      </c>
      <c r="AC4" s="3446" t="s">
        <v>1773</v>
      </c>
    </row>
    <row r="5" spans="1:29">
      <c r="A5" s="348"/>
      <c r="B5" s="349"/>
      <c r="C5" s="3478" t="s">
        <v>1673</v>
      </c>
      <c r="D5" s="3479"/>
      <c r="E5" s="3480" t="s">
        <v>1674</v>
      </c>
      <c r="F5" s="3481"/>
      <c r="G5" s="3478" t="s">
        <v>1675</v>
      </c>
      <c r="H5" s="3479"/>
      <c r="I5" s="3478" t="s">
        <v>1676</v>
      </c>
      <c r="J5" s="3479"/>
      <c r="K5" s="537"/>
      <c r="L5" s="860"/>
      <c r="M5" s="861"/>
      <c r="N5" s="861"/>
      <c r="O5" s="861"/>
      <c r="P5" s="3455"/>
      <c r="Q5" s="3456"/>
      <c r="R5" s="3461"/>
      <c r="S5" s="3462"/>
      <c r="T5" s="3461"/>
      <c r="U5" s="3462"/>
      <c r="V5" s="3435"/>
      <c r="W5" s="3435"/>
      <c r="X5" s="1264"/>
      <c r="Y5" s="3461"/>
      <c r="Z5" s="3462"/>
      <c r="AA5" s="3447"/>
      <c r="AB5" s="3447"/>
      <c r="AC5" s="3447"/>
    </row>
    <row r="6" spans="1:29" ht="15" thickBot="1">
      <c r="A6" s="350"/>
      <c r="B6" s="351"/>
      <c r="C6" s="3465" t="s">
        <v>1677</v>
      </c>
      <c r="D6" s="3466"/>
      <c r="E6" s="3472" t="s">
        <v>1677</v>
      </c>
      <c r="F6" s="3473"/>
      <c r="G6" s="3465" t="s">
        <v>1677</v>
      </c>
      <c r="H6" s="3466"/>
      <c r="I6" s="3465" t="s">
        <v>1677</v>
      </c>
      <c r="J6" s="3466"/>
      <c r="K6" s="537" t="s">
        <v>1678</v>
      </c>
      <c r="L6" s="860"/>
      <c r="M6" s="861"/>
      <c r="N6" s="861"/>
      <c r="O6" s="861"/>
      <c r="P6" s="3457"/>
      <c r="Q6" s="3458"/>
      <c r="R6" s="3461"/>
      <c r="S6" s="3462"/>
      <c r="T6" s="3463"/>
      <c r="U6" s="3464"/>
      <c r="V6" s="3435"/>
      <c r="W6" s="3435"/>
      <c r="X6" s="1264"/>
      <c r="Y6" s="3463"/>
      <c r="Z6" s="3464"/>
      <c r="AA6" s="3448"/>
      <c r="AB6" s="3448"/>
      <c r="AC6" s="3448"/>
    </row>
    <row r="7" spans="1:29" s="102" customFormat="1" ht="15" thickBot="1">
      <c r="A7" s="352" t="s">
        <v>1679</v>
      </c>
      <c r="B7" s="353"/>
      <c r="C7" s="354">
        <f>'数据-取费表'!B2</f>
        <v>45826</v>
      </c>
      <c r="D7" s="355">
        <v>100</v>
      </c>
      <c r="E7" s="356"/>
      <c r="F7" s="357">
        <f>SUMIF(52:52,YEAR(E7)&amp;"-"&amp;MONTH(E7),53:53)</f>
        <v>0</v>
      </c>
      <c r="G7" s="356"/>
      <c r="H7" s="355">
        <f>SUMIF(52:52,YEAR(G7)&amp;"-"&amp;MONTH(G7),53:53)</f>
        <v>0</v>
      </c>
      <c r="I7" s="356"/>
      <c r="J7" s="355">
        <f>SUMIF(52:52,YEAR(I7)&amp;"-"&amp;MONTH(I7),53:53)</f>
        <v>0</v>
      </c>
      <c r="K7" s="38"/>
      <c r="L7" s="862"/>
      <c r="M7" s="863"/>
      <c r="N7" s="863"/>
      <c r="O7" s="863"/>
      <c r="P7" s="3469" t="s">
        <v>1680</v>
      </c>
      <c r="Q7" s="3471"/>
      <c r="R7" s="664" t="s">
        <v>14</v>
      </c>
      <c r="S7" s="665">
        <f t="shared" ref="S7:S15" si="0">F7</f>
        <v>0</v>
      </c>
      <c r="T7" s="664" t="s">
        <v>14</v>
      </c>
      <c r="U7" s="665">
        <f t="shared" ref="U7:U15" si="1">H7</f>
        <v>0</v>
      </c>
      <c r="V7" s="664" t="s">
        <v>14</v>
      </c>
      <c r="W7" s="665">
        <f t="shared" ref="W7:W15" si="2">J7</f>
        <v>0</v>
      </c>
      <c r="X7" s="666"/>
      <c r="Y7" s="3469" t="s">
        <v>1680</v>
      </c>
      <c r="Z7" s="347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69" t="s">
        <v>1683</v>
      </c>
      <c r="Q8" s="3470"/>
      <c r="R8" s="664" t="s">
        <v>14</v>
      </c>
      <c r="S8" s="665">
        <f t="shared" si="0"/>
        <v>100</v>
      </c>
      <c r="T8" s="664" t="s">
        <v>14</v>
      </c>
      <c r="U8" s="665">
        <f t="shared" si="1"/>
        <v>100</v>
      </c>
      <c r="V8" s="664" t="s">
        <v>14</v>
      </c>
      <c r="W8" s="665">
        <f t="shared" si="2"/>
        <v>100</v>
      </c>
      <c r="X8" s="666"/>
      <c r="Y8" s="3469" t="s">
        <v>1683</v>
      </c>
      <c r="Z8" s="347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4"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434"/>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4"/>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62"/>
      <c r="M12" s="863"/>
      <c r="N12" s="863"/>
      <c r="O12" s="864"/>
      <c r="P12" s="3434"/>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70"/>
      <c r="M13" s="861"/>
      <c r="N13" s="861"/>
      <c r="O13" s="869"/>
      <c r="P13" s="3434"/>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6"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9"/>
      <c r="L14" s="870"/>
      <c r="M14" s="861"/>
      <c r="N14" s="861"/>
      <c r="O14" s="869"/>
      <c r="P14" s="3434"/>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69">
      <c r="A15" s="379" t="s">
        <v>1690</v>
      </c>
      <c r="B15" s="58" t="s">
        <v>1827</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6" t="s">
        <v>1691</v>
      </c>
      <c r="Q15" s="1262" t="str">
        <f t="shared" si="6"/>
        <v>产业集聚程度</v>
      </c>
      <c r="R15" s="667" t="s">
        <v>14</v>
      </c>
      <c r="S15" s="668">
        <f t="shared" si="0"/>
        <v>100</v>
      </c>
      <c r="T15" s="667" t="s">
        <v>14</v>
      </c>
      <c r="U15" s="668">
        <f t="shared" si="1"/>
        <v>100</v>
      </c>
      <c r="V15" s="667" t="s">
        <v>14</v>
      </c>
      <c r="W15" s="668">
        <f t="shared" si="2"/>
        <v>100</v>
      </c>
      <c r="X15" s="1264"/>
      <c r="Y15" s="343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37"/>
      <c r="Q16" s="1262"/>
      <c r="R16" s="667"/>
      <c r="S16" s="668"/>
      <c r="T16" s="667"/>
      <c r="U16" s="668"/>
      <c r="V16" s="667"/>
      <c r="W16" s="668"/>
      <c r="X16" s="1264"/>
      <c r="Y16" s="3437"/>
      <c r="Z16" s="1263"/>
      <c r="AA16" s="1263">
        <v>1</v>
      </c>
      <c r="AB16" s="1263">
        <v>1</v>
      </c>
      <c r="AC16" s="1263">
        <v>1</v>
      </c>
    </row>
    <row r="17" spans="1:29" ht="96.6">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7"/>
      <c r="Q17" s="1262" t="str">
        <f>B17</f>
        <v>交通便捷度</v>
      </c>
      <c r="R17" s="667" t="s">
        <v>14</v>
      </c>
      <c r="S17" s="668">
        <f>F17</f>
        <v>100</v>
      </c>
      <c r="T17" s="667" t="s">
        <v>14</v>
      </c>
      <c r="U17" s="668">
        <f>H17</f>
        <v>100</v>
      </c>
      <c r="V17" s="667" t="s">
        <v>14</v>
      </c>
      <c r="W17" s="668">
        <f>J17</f>
        <v>100</v>
      </c>
      <c r="X17" s="1264"/>
      <c r="Y17" s="3437"/>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437"/>
      <c r="Q18" s="1262"/>
      <c r="R18" s="667"/>
      <c r="S18" s="668"/>
      <c r="T18" s="667"/>
      <c r="U18" s="668"/>
      <c r="V18" s="667"/>
      <c r="W18" s="668"/>
      <c r="X18" s="1264"/>
      <c r="Y18" s="3437"/>
      <c r="Z18" s="1263"/>
      <c r="AA18" s="1263">
        <v>1</v>
      </c>
      <c r="AB18" s="1263">
        <v>1</v>
      </c>
      <c r="AC18" s="1263">
        <v>1</v>
      </c>
    </row>
    <row r="19" spans="1:29" ht="41.4">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7"/>
      <c r="Q19" s="1262" t="str">
        <f>B19</f>
        <v>公共配套设施</v>
      </c>
      <c r="R19" s="667" t="s">
        <v>14</v>
      </c>
      <c r="S19" s="668">
        <f>F19</f>
        <v>100</v>
      </c>
      <c r="T19" s="667" t="s">
        <v>14</v>
      </c>
      <c r="U19" s="668">
        <f>H19</f>
        <v>100</v>
      </c>
      <c r="V19" s="667" t="s">
        <v>14</v>
      </c>
      <c r="W19" s="668">
        <f>J19</f>
        <v>100</v>
      </c>
      <c r="X19" s="1264"/>
      <c r="Y19" s="3437"/>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437"/>
      <c r="Q20" s="1262"/>
      <c r="R20" s="667"/>
      <c r="S20" s="668"/>
      <c r="T20" s="667"/>
      <c r="U20" s="668"/>
      <c r="V20" s="667"/>
      <c r="W20" s="668"/>
      <c r="X20" s="1264"/>
      <c r="Y20" s="3437"/>
      <c r="Z20" s="1263"/>
      <c r="AA20" s="1263">
        <v>1</v>
      </c>
      <c r="AB20" s="1263">
        <v>1</v>
      </c>
      <c r="AC20" s="1263">
        <v>1</v>
      </c>
    </row>
    <row r="21" spans="1:29" ht="41.4">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7"/>
      <c r="Q21" s="1262" t="str">
        <f>B21</f>
        <v>基础设施水平</v>
      </c>
      <c r="R21" s="667" t="s">
        <v>14</v>
      </c>
      <c r="S21" s="668">
        <f>F21</f>
        <v>100</v>
      </c>
      <c r="T21" s="667" t="s">
        <v>14</v>
      </c>
      <c r="U21" s="668">
        <f>H21</f>
        <v>100</v>
      </c>
      <c r="V21" s="667" t="s">
        <v>14</v>
      </c>
      <c r="W21" s="668">
        <f>J21</f>
        <v>100</v>
      </c>
      <c r="X21" s="1264"/>
      <c r="Y21" s="3437"/>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870"/>
      <c r="M22" s="861"/>
      <c r="N22" s="861"/>
      <c r="O22" s="869"/>
      <c r="P22" s="3437"/>
      <c r="Q22" s="1262"/>
      <c r="R22" s="667"/>
      <c r="S22" s="668"/>
      <c r="T22" s="667"/>
      <c r="U22" s="668"/>
      <c r="V22" s="667"/>
      <c r="W22" s="668"/>
      <c r="X22" s="1264"/>
      <c r="Y22" s="3437"/>
      <c r="Z22" s="1263"/>
      <c r="AA22" s="1263">
        <v>1</v>
      </c>
      <c r="AB22" s="1263">
        <v>1</v>
      </c>
      <c r="AC22" s="1263">
        <v>1</v>
      </c>
    </row>
    <row r="23" spans="1:29" ht="82.8">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7"/>
      <c r="Q23" s="1262" t="str">
        <f>B23</f>
        <v>环境质量</v>
      </c>
      <c r="R23" s="667" t="s">
        <v>14</v>
      </c>
      <c r="S23" s="668">
        <f>F23</f>
        <v>100</v>
      </c>
      <c r="T23" s="667" t="s">
        <v>14</v>
      </c>
      <c r="U23" s="668">
        <f>H23</f>
        <v>100</v>
      </c>
      <c r="V23" s="667" t="s">
        <v>14</v>
      </c>
      <c r="W23" s="668">
        <f>J23</f>
        <v>100</v>
      </c>
      <c r="X23" s="1264"/>
      <c r="Y23" s="3437"/>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437"/>
      <c r="Q24" s="1262"/>
      <c r="R24" s="667"/>
      <c r="S24" s="668"/>
      <c r="T24" s="667"/>
      <c r="U24" s="668"/>
      <c r="V24" s="667"/>
      <c r="W24" s="668"/>
      <c r="X24" s="1264"/>
      <c r="Y24" s="3437"/>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7"/>
      <c r="Q25" s="1262">
        <f>B25</f>
        <v>111</v>
      </c>
      <c r="R25" s="667" t="s">
        <v>14</v>
      </c>
      <c r="S25" s="668">
        <f>F25</f>
        <v>100</v>
      </c>
      <c r="T25" s="667" t="s">
        <v>14</v>
      </c>
      <c r="U25" s="668">
        <f>H25</f>
        <v>100</v>
      </c>
      <c r="V25" s="667" t="s">
        <v>14</v>
      </c>
      <c r="W25" s="668">
        <f>J25</f>
        <v>100</v>
      </c>
      <c r="X25" s="1264"/>
      <c r="Y25" s="3437"/>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7"/>
      <c r="Q26" s="1262">
        <f t="shared" ref="Q26:Q40" si="11">B26</f>
        <v>111</v>
      </c>
      <c r="R26" s="667" t="s">
        <v>14</v>
      </c>
      <c r="S26" s="668">
        <f>F26</f>
        <v>100</v>
      </c>
      <c r="T26" s="667" t="s">
        <v>14</v>
      </c>
      <c r="U26" s="668">
        <f>H26</f>
        <v>100</v>
      </c>
      <c r="V26" s="667" t="s">
        <v>14</v>
      </c>
      <c r="W26" s="668">
        <f>J26</f>
        <v>100</v>
      </c>
      <c r="X26" s="1264"/>
      <c r="Y26" s="3437"/>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7"/>
      <c r="Q27" s="530">
        <f t="shared" si="11"/>
        <v>111</v>
      </c>
      <c r="R27" s="664" t="s">
        <v>14</v>
      </c>
      <c r="S27" s="665">
        <f>F27</f>
        <v>100</v>
      </c>
      <c r="T27" s="664" t="s">
        <v>14</v>
      </c>
      <c r="U27" s="665">
        <f>H27</f>
        <v>100</v>
      </c>
      <c r="V27" s="664" t="s">
        <v>14</v>
      </c>
      <c r="W27" s="665">
        <f>J27</f>
        <v>100</v>
      </c>
      <c r="X27" s="666"/>
      <c r="Y27" s="3437"/>
      <c r="Z27" s="50">
        <f>Q27</f>
        <v>111</v>
      </c>
      <c r="AA27" s="1263">
        <f>D27/F27</f>
        <v>1</v>
      </c>
      <c r="AB27" s="1263">
        <f>D27/H27</f>
        <v>1</v>
      </c>
      <c r="AC27" s="1263">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7"/>
      <c r="Q28" s="1262">
        <f t="shared" si="11"/>
        <v>111</v>
      </c>
      <c r="R28" s="667" t="s">
        <v>14</v>
      </c>
      <c r="S28" s="668">
        <f t="shared" ref="S28:S40" si="12">F28</f>
        <v>100</v>
      </c>
      <c r="T28" s="667" t="s">
        <v>14</v>
      </c>
      <c r="U28" s="668">
        <f t="shared" ref="U28:U40" si="13">H28</f>
        <v>100</v>
      </c>
      <c r="V28" s="667" t="s">
        <v>14</v>
      </c>
      <c r="W28" s="668">
        <f t="shared" ref="W28:W40" si="14">J28</f>
        <v>100</v>
      </c>
      <c r="X28" s="1264"/>
      <c r="Y28" s="3437"/>
      <c r="Z28" s="1263">
        <f t="shared" ref="Z28:Z40" si="15">Q28</f>
        <v>111</v>
      </c>
      <c r="AA28" s="1263">
        <f t="shared" si="3"/>
        <v>1</v>
      </c>
      <c r="AB28" s="1263">
        <f t="shared" si="4"/>
        <v>1</v>
      </c>
      <c r="AC28" s="1263">
        <f t="shared" si="5"/>
        <v>1</v>
      </c>
    </row>
    <row r="29" spans="1:29" ht="30">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477" t="s">
        <v>1696</v>
      </c>
      <c r="Q29" s="1262" t="str">
        <f t="shared" si="11"/>
        <v>建筑类型</v>
      </c>
      <c r="R29" s="667" t="s">
        <v>14</v>
      </c>
      <c r="S29" s="668">
        <f t="shared" si="12"/>
        <v>100</v>
      </c>
      <c r="T29" s="667" t="s">
        <v>14</v>
      </c>
      <c r="U29" s="668">
        <f t="shared" si="13"/>
        <v>100</v>
      </c>
      <c r="V29" s="667" t="s">
        <v>14</v>
      </c>
      <c r="W29" s="668">
        <f t="shared" si="14"/>
        <v>100</v>
      </c>
      <c r="X29" s="1264"/>
      <c r="Y29" s="344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1"/>
      <c r="Q30" s="531" t="str">
        <f t="shared" si="11"/>
        <v>项目建筑规模</v>
      </c>
      <c r="R30" s="669" t="s">
        <v>14</v>
      </c>
      <c r="S30" s="670" t="e">
        <f t="shared" si="12"/>
        <v>#N/A</v>
      </c>
      <c r="T30" s="669" t="s">
        <v>14</v>
      </c>
      <c r="U30" s="670" t="e">
        <f t="shared" si="13"/>
        <v>#N/A</v>
      </c>
      <c r="V30" s="669" t="s">
        <v>14</v>
      </c>
      <c r="W30" s="670" t="e">
        <f t="shared" si="14"/>
        <v>#N/A</v>
      </c>
      <c r="X30" s="671"/>
      <c r="Y30" s="3441"/>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1"/>
      <c r="Q31" s="1262" t="str">
        <f t="shared" si="11"/>
        <v>建筑结构</v>
      </c>
      <c r="R31" s="667" t="s">
        <v>14</v>
      </c>
      <c r="S31" s="668">
        <f t="shared" si="12"/>
        <v>100</v>
      </c>
      <c r="T31" s="667" t="s">
        <v>14</v>
      </c>
      <c r="U31" s="668">
        <f t="shared" si="13"/>
        <v>100</v>
      </c>
      <c r="V31" s="667" t="s">
        <v>14</v>
      </c>
      <c r="W31" s="668">
        <f t="shared" si="14"/>
        <v>100</v>
      </c>
      <c r="X31" s="1264"/>
      <c r="Y31" s="344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1"/>
      <c r="Q32" s="1262" t="str">
        <f t="shared" si="11"/>
        <v>公共部分装修</v>
      </c>
      <c r="R32" s="667" t="s">
        <v>14</v>
      </c>
      <c r="S32" s="668">
        <f t="shared" si="12"/>
        <v>100</v>
      </c>
      <c r="T32" s="667" t="s">
        <v>14</v>
      </c>
      <c r="U32" s="668">
        <f t="shared" si="13"/>
        <v>100</v>
      </c>
      <c r="V32" s="667" t="s">
        <v>14</v>
      </c>
      <c r="W32" s="668">
        <f t="shared" si="14"/>
        <v>100</v>
      </c>
      <c r="X32" s="1264"/>
      <c r="Y32" s="344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1"/>
      <c r="Q33" s="1262" t="str">
        <f t="shared" si="11"/>
        <v>成新度</v>
      </c>
      <c r="R33" s="667" t="s">
        <v>14</v>
      </c>
      <c r="S33" s="668" t="e">
        <f t="shared" si="12"/>
        <v>#N/A</v>
      </c>
      <c r="T33" s="667" t="s">
        <v>14</v>
      </c>
      <c r="U33" s="668" t="e">
        <f t="shared" si="13"/>
        <v>#N/A</v>
      </c>
      <c r="V33" s="667" t="s">
        <v>14</v>
      </c>
      <c r="W33" s="668" t="e">
        <f t="shared" si="14"/>
        <v>#N/A</v>
      </c>
      <c r="X33" s="1264"/>
      <c r="Y33" s="344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1"/>
      <c r="Q34" s="530" t="str">
        <f t="shared" si="11"/>
        <v>物业管理</v>
      </c>
      <c r="R34" s="664" t="s">
        <v>14</v>
      </c>
      <c r="S34" s="665">
        <f t="shared" si="12"/>
        <v>100</v>
      </c>
      <c r="T34" s="664" t="s">
        <v>14</v>
      </c>
      <c r="U34" s="665">
        <f t="shared" si="13"/>
        <v>100</v>
      </c>
      <c r="V34" s="664" t="s">
        <v>14</v>
      </c>
      <c r="W34" s="665">
        <f t="shared" si="14"/>
        <v>100</v>
      </c>
      <c r="X34" s="666"/>
      <c r="Y34" s="344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1" t="s">
        <v>1696</v>
      </c>
      <c r="Q35" s="1262" t="str">
        <f t="shared" si="11"/>
        <v>市政基础设施</v>
      </c>
      <c r="R35" s="667" t="s">
        <v>14</v>
      </c>
      <c r="S35" s="668">
        <f t="shared" si="12"/>
        <v>100</v>
      </c>
      <c r="T35" s="667" t="s">
        <v>14</v>
      </c>
      <c r="U35" s="668">
        <f t="shared" si="13"/>
        <v>100</v>
      </c>
      <c r="V35" s="667" t="s">
        <v>14</v>
      </c>
      <c r="W35" s="668">
        <f t="shared" si="14"/>
        <v>100</v>
      </c>
      <c r="X35" s="1264"/>
      <c r="Y35" s="344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1"/>
      <c r="Q36" s="1262" t="str">
        <f t="shared" si="11"/>
        <v>内部装修</v>
      </c>
      <c r="R36" s="667" t="s">
        <v>14</v>
      </c>
      <c r="S36" s="668">
        <f t="shared" si="12"/>
        <v>100</v>
      </c>
      <c r="T36" s="667" t="s">
        <v>14</v>
      </c>
      <c r="U36" s="668">
        <f t="shared" si="13"/>
        <v>100</v>
      </c>
      <c r="V36" s="667" t="s">
        <v>14</v>
      </c>
      <c r="W36" s="668">
        <f t="shared" si="14"/>
        <v>100</v>
      </c>
      <c r="X36" s="1264"/>
      <c r="Y36" s="344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1"/>
      <c r="Q37" s="1262" t="str">
        <f t="shared" si="11"/>
        <v>内部装修状况</v>
      </c>
      <c r="R37" s="667" t="s">
        <v>14</v>
      </c>
      <c r="S37" s="668">
        <f t="shared" si="12"/>
        <v>100</v>
      </c>
      <c r="T37" s="667" t="s">
        <v>14</v>
      </c>
      <c r="U37" s="668">
        <f t="shared" si="13"/>
        <v>100</v>
      </c>
      <c r="V37" s="667" t="s">
        <v>14</v>
      </c>
      <c r="W37" s="668">
        <f t="shared" si="14"/>
        <v>100</v>
      </c>
      <c r="X37" s="1264"/>
      <c r="Y37" s="3441"/>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1"/>
      <c r="Q38" s="531">
        <f t="shared" si="11"/>
        <v>111</v>
      </c>
      <c r="R38" s="669" t="s">
        <v>14</v>
      </c>
      <c r="S38" s="670">
        <f t="shared" si="12"/>
        <v>100</v>
      </c>
      <c r="T38" s="669" t="s">
        <v>14</v>
      </c>
      <c r="U38" s="670">
        <f t="shared" si="13"/>
        <v>100</v>
      </c>
      <c r="V38" s="669" t="s">
        <v>14</v>
      </c>
      <c r="W38" s="670">
        <f t="shared" si="14"/>
        <v>100</v>
      </c>
      <c r="X38" s="671"/>
      <c r="Y38" s="3441"/>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1"/>
      <c r="Q39" s="1262">
        <f t="shared" si="11"/>
        <v>111</v>
      </c>
      <c r="R39" s="667" t="s">
        <v>14</v>
      </c>
      <c r="S39" s="668">
        <f t="shared" si="12"/>
        <v>100</v>
      </c>
      <c r="T39" s="667" t="s">
        <v>14</v>
      </c>
      <c r="U39" s="668">
        <f t="shared" si="13"/>
        <v>100</v>
      </c>
      <c r="V39" s="667" t="s">
        <v>14</v>
      </c>
      <c r="W39" s="668">
        <f t="shared" si="14"/>
        <v>100</v>
      </c>
      <c r="X39" s="1264"/>
      <c r="Y39" s="3441"/>
      <c r="Z39" s="1263">
        <f t="shared" si="15"/>
        <v>111</v>
      </c>
      <c r="AA39" s="1263">
        <f t="shared" si="3"/>
        <v>1</v>
      </c>
      <c r="AB39" s="1263">
        <f t="shared" si="4"/>
        <v>1</v>
      </c>
      <c r="AC39" s="1263">
        <f t="shared" si="5"/>
        <v>1</v>
      </c>
    </row>
    <row r="40" spans="1:29" ht="15.6"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2"/>
      <c r="Q40" s="1262">
        <f t="shared" si="11"/>
        <v>111</v>
      </c>
      <c r="R40" s="667" t="s">
        <v>14</v>
      </c>
      <c r="S40" s="668">
        <f t="shared" si="12"/>
        <v>100</v>
      </c>
      <c r="T40" s="667" t="s">
        <v>14</v>
      </c>
      <c r="U40" s="668">
        <f t="shared" si="13"/>
        <v>100</v>
      </c>
      <c r="V40" s="667" t="s">
        <v>14</v>
      </c>
      <c r="W40" s="668">
        <f t="shared" si="14"/>
        <v>100</v>
      </c>
      <c r="X40" s="1264"/>
      <c r="Y40" s="3442"/>
      <c r="Z40" s="1263">
        <f t="shared" si="15"/>
        <v>111</v>
      </c>
      <c r="AA40" s="1263">
        <f t="shared" si="3"/>
        <v>1</v>
      </c>
      <c r="AB40" s="1263">
        <f t="shared" si="4"/>
        <v>1</v>
      </c>
      <c r="AC40" s="1263">
        <f t="shared" si="5"/>
        <v>1</v>
      </c>
    </row>
    <row r="41" spans="1:29" ht="14.4">
      <c r="A41" s="416" t="s">
        <v>1708</v>
      </c>
      <c r="B41" s="417"/>
      <c r="C41" s="1081" t="s">
        <v>0</v>
      </c>
      <c r="D41" s="418"/>
      <c r="E41" s="419"/>
      <c r="F41" s="420"/>
      <c r="G41" s="421"/>
      <c r="H41" s="422"/>
      <c r="I41" s="419"/>
      <c r="J41" s="422"/>
      <c r="K41" s="674"/>
      <c r="L41" s="873"/>
      <c r="M41" s="861"/>
      <c r="N41" s="861"/>
      <c r="O41" s="861"/>
      <c r="P41" s="3434" t="str">
        <f>A41</f>
        <v>成交单价（元/平方米）</v>
      </c>
      <c r="Q41" s="3434"/>
      <c r="R41" s="3435">
        <f>E41</f>
        <v>0</v>
      </c>
      <c r="S41" s="3435"/>
      <c r="T41" s="3435">
        <f>G41</f>
        <v>0</v>
      </c>
      <c r="U41" s="3435"/>
      <c r="V41" s="3435">
        <f>I41</f>
        <v>0</v>
      </c>
      <c r="W41" s="3435"/>
      <c r="X41" s="385"/>
      <c r="Y41" s="673"/>
      <c r="Z41" s="385"/>
      <c r="AA41" s="385"/>
      <c r="AB41" s="385"/>
      <c r="AC41" s="385"/>
    </row>
    <row r="42" spans="1:29" ht="15" thickBot="1">
      <c r="A42" s="423" t="s">
        <v>1793</v>
      </c>
      <c r="B42" s="424"/>
      <c r="C42" s="1082" t="e">
        <f>R43</f>
        <v>#DIV/0!</v>
      </c>
      <c r="D42" s="2137" t="s">
        <v>2135</v>
      </c>
      <c r="E42" s="1083" t="e">
        <f>R42</f>
        <v>#DIV/0!</v>
      </c>
      <c r="F42" s="2138"/>
      <c r="G42" s="1082" t="e">
        <f>T42</f>
        <v>#DIV/0!</v>
      </c>
      <c r="H42" s="2138"/>
      <c r="I42" s="1083" t="e">
        <f>V42</f>
        <v>#DIV/0!</v>
      </c>
      <c r="J42" s="2138"/>
      <c r="K42" s="2140">
        <f>F42+H42+J42</f>
        <v>0</v>
      </c>
      <c r="L42" s="873"/>
      <c r="M42" s="861"/>
      <c r="N42" s="861"/>
      <c r="O42" s="861"/>
      <c r="P42" s="3434" t="str">
        <f>A42</f>
        <v>比较价值（元/平方米）</v>
      </c>
      <c r="Q42" s="3434"/>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1" t="str">
        <f>A43</f>
        <v>估价对象XX用房的比较价值（楼面单价，元/平方米）</v>
      </c>
      <c r="Q43" s="3432"/>
      <c r="R43" s="3433" t="e">
        <f>IF(F1="售价",ROUND(IF(D42="简单平均",AVERAGE(R42:V42),R42*F42+T42*H42+V42*J42),0),ROUND(IF(D42="简单平均",AVERAGE(R42:V42),R42*F42+T42*H42+V42*J42),1))</f>
        <v>#DIV/0!</v>
      </c>
      <c r="S43" s="3433"/>
      <c r="T43" s="3433"/>
      <c r="U43" s="3433"/>
      <c r="V43" s="3433"/>
      <c r="W43" s="3433"/>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2" t="str">
        <f>YEAR(C7)&amp;"-"&amp;MONTH(C7)</f>
        <v>2025-6</v>
      </c>
      <c r="D52" s="1103">
        <f>EDATE(C52,-1)</f>
        <v>45778</v>
      </c>
      <c r="E52" s="1103">
        <f t="shared" ref="E52:O52" si="16">EDATE(D52,-1)</f>
        <v>45748</v>
      </c>
      <c r="F52" s="1103">
        <f t="shared" si="16"/>
        <v>45717</v>
      </c>
      <c r="G52" s="1103">
        <f t="shared" si="16"/>
        <v>45689</v>
      </c>
      <c r="H52" s="1103">
        <f t="shared" si="16"/>
        <v>45658</v>
      </c>
      <c r="I52" s="1103">
        <f t="shared" si="16"/>
        <v>45627</v>
      </c>
      <c r="J52" s="1103">
        <f t="shared" si="16"/>
        <v>45597</v>
      </c>
      <c r="K52" s="1103">
        <f t="shared" si="16"/>
        <v>45566</v>
      </c>
      <c r="L52" s="1103">
        <f t="shared" si="16"/>
        <v>45536</v>
      </c>
      <c r="M52" s="1103">
        <f t="shared" si="16"/>
        <v>45505</v>
      </c>
      <c r="N52" s="1103">
        <f t="shared" si="16"/>
        <v>45474</v>
      </c>
      <c r="O52" s="1103">
        <f t="shared" si="16"/>
        <v>45444</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F7:F40 H7:H40 J7:J40">
    <cfRule type="cellIs" dxfId="82" priority="1" operator="notEqual">
      <formula>100</formula>
    </cfRule>
  </conditionalFormatting>
  <conditionalFormatting sqref="F42">
    <cfRule type="expression" dxfId="81" priority="4">
      <formula>$D$42="简单平均"</formula>
    </cfRule>
  </conditionalFormatting>
  <conditionalFormatting sqref="F46:F48 H46:H48">
    <cfRule type="containsText" dxfId="80" priority="17" stopIfTrue="1" operator="containsText" text="超过">
      <formula>NOT(ISERROR(SEARCH("超过",F46)))</formula>
    </cfRule>
  </conditionalFormatting>
  <conditionalFormatting sqref="G46">
    <cfRule type="expression" dxfId="79" priority="12" stopIfTrue="1">
      <formula>$H$46="超过30%"</formula>
    </cfRule>
  </conditionalFormatting>
  <conditionalFormatting sqref="G47">
    <cfRule type="expression" dxfId="78" priority="11" stopIfTrue="1">
      <formula>$H$47="超过20%"</formula>
    </cfRule>
  </conditionalFormatting>
  <conditionalFormatting sqref="G48">
    <cfRule type="expression" dxfId="77" priority="13" stopIfTrue="1">
      <formula>$H$48="超过30%"</formula>
    </cfRule>
  </conditionalFormatting>
  <conditionalFormatting sqref="H42">
    <cfRule type="expression" dxfId="76" priority="3">
      <formula>$D$42="简单平均"</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J42">
    <cfRule type="expression" dxfId="72" priority="2">
      <formula>$D$42="简单平均"</formula>
    </cfRule>
  </conditionalFormatting>
  <conditionalFormatting sqref="J46:J48">
    <cfRule type="containsText" dxfId="7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1:AJ512"/>
  <sheetViews>
    <sheetView view="pageBreakPreview" zoomScale="70" zoomScaleNormal="100" zoomScaleSheetLayoutView="70" zoomScalePageLayoutView="80" workbookViewId="0">
      <selection activeCell="C1" sqref="C1"/>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t="s">
        <v>6388</v>
      </c>
      <c r="D1" s="646"/>
      <c r="E1" s="646"/>
      <c r="F1" s="1620" t="s">
        <v>1263</v>
      </c>
      <c r="G1" s="1452" t="s">
        <v>3472</v>
      </c>
      <c r="H1" s="1620" t="str">
        <f>IF(G1="现房","——","估价对象范围")</f>
        <v>——</v>
      </c>
      <c r="I1" s="1621"/>
    </row>
    <row r="2" spans="1:12" ht="21.75" customHeight="1" thickBot="1">
      <c r="A2" s="3367" t="str">
        <f>项目基本情况!S2</f>
        <v>北京市房山区揽秀南街15号院5号楼5-1-4等47套住宅、13号院10幢-1-1006等1147个地下车位房地产</v>
      </c>
      <c r="B2" s="3368"/>
      <c r="C2" s="3368"/>
      <c r="D2" s="3368"/>
      <c r="E2" s="3368"/>
      <c r="F2" s="3368"/>
      <c r="G2" s="3368"/>
      <c r="H2" s="3368"/>
      <c r="I2" s="3369"/>
    </row>
    <row r="3" spans="1:12" ht="13.2">
      <c r="A3" s="3371" t="s">
        <v>1264</v>
      </c>
      <c r="B3" s="3372"/>
      <c r="C3" s="3372"/>
      <c r="D3" s="3372"/>
      <c r="E3" s="3372"/>
      <c r="F3" s="3372"/>
      <c r="G3" s="3372"/>
      <c r="H3" s="3372"/>
      <c r="I3" s="3372"/>
    </row>
    <row r="4" spans="1:12" ht="14.4">
      <c r="A4" s="1623" t="s">
        <v>1265</v>
      </c>
      <c r="B4" s="1624" t="s">
        <v>1266</v>
      </c>
      <c r="C4" s="1625" t="s">
        <v>3507</v>
      </c>
      <c r="D4" s="1625" t="s">
        <v>3508</v>
      </c>
      <c r="E4" s="3373" t="s">
        <v>1267</v>
      </c>
      <c r="F4" s="3374"/>
      <c r="G4" s="3374"/>
      <c r="H4" s="3374"/>
      <c r="I4" s="3375"/>
      <c r="K4" s="138" t="str">
        <f>IF(ISNUMBER(FIND("比较法",'结果表 -车位'!C4)),"比较法",IF(ISNUMBER(FIND("成本法",'结果表 -车位'!C4)),"成本法",IF(ISNUMBER(FIND("假设开发法",'结果表 -车位'!C4)),"假设开发法",IF(ISNUMBER(FIND("收益法",'结果表 -车位'!C4)),"收益法","基准地价系数修正法"))))</f>
        <v>比较法</v>
      </c>
      <c r="L4" s="138" t="str">
        <f>IF(ISNUMBER(FIND("比较法",'结果表 -车位'!D4)),"比较法",IF(ISNUMBER(FIND("成本法",'结果表 -车位'!D4)),"成本法",IF(ISNUMBER(FIND("假设开发法",'结果表 -车位'!D4)),"假设开发法",IF(ISNUMBER(FIND("收益法",'结果表 -车位'!D4)),"收益法","基准地价系数修正法"))))</f>
        <v>收益法</v>
      </c>
    </row>
    <row r="5" spans="1:12" ht="13.2">
      <c r="A5" s="3347" t="s">
        <v>1268</v>
      </c>
      <c r="B5" s="3334">
        <v>25</v>
      </c>
      <c r="C5" s="3350"/>
      <c r="D5" s="3370"/>
      <c r="E5" s="123" t="s">
        <v>1269</v>
      </c>
      <c r="F5" s="1626"/>
      <c r="G5" s="1626"/>
      <c r="H5" s="1626"/>
      <c r="I5" s="1280"/>
    </row>
    <row r="6" spans="1:12" ht="13.2">
      <c r="A6" s="3347"/>
      <c r="B6" s="3334"/>
      <c r="C6" s="3351"/>
      <c r="D6" s="3370"/>
      <c r="E6" s="123" t="s">
        <v>1270</v>
      </c>
      <c r="F6" s="1626"/>
      <c r="G6" s="1626"/>
      <c r="H6" s="1626"/>
      <c r="I6" s="1280"/>
    </row>
    <row r="7" spans="1:12" ht="13.2">
      <c r="A7" s="3347"/>
      <c r="B7" s="3334"/>
      <c r="C7" s="3352"/>
      <c r="D7" s="3370"/>
      <c r="E7" s="123" t="s">
        <v>1271</v>
      </c>
      <c r="F7" s="1626"/>
      <c r="G7" s="1626"/>
      <c r="H7" s="1626"/>
      <c r="I7" s="1280"/>
    </row>
    <row r="8" spans="1:12" ht="13.2">
      <c r="A8" s="3347" t="s">
        <v>1272</v>
      </c>
      <c r="B8" s="3334">
        <v>15</v>
      </c>
      <c r="C8" s="3350"/>
      <c r="D8" s="3370"/>
      <c r="E8" s="123" t="s">
        <v>1273</v>
      </c>
      <c r="F8" s="1626"/>
      <c r="G8" s="1626"/>
      <c r="H8" s="1626"/>
      <c r="I8" s="1280"/>
    </row>
    <row r="9" spans="1:12" ht="13.2">
      <c r="A9" s="3347"/>
      <c r="B9" s="3334"/>
      <c r="C9" s="3352"/>
      <c r="D9" s="3370"/>
      <c r="E9" s="123" t="s">
        <v>1274</v>
      </c>
      <c r="F9" s="1626"/>
      <c r="G9" s="1626"/>
      <c r="H9" s="1626"/>
      <c r="I9" s="1280"/>
    </row>
    <row r="10" spans="1:12" ht="13.2">
      <c r="A10" s="3347" t="s">
        <v>1275</v>
      </c>
      <c r="B10" s="3334">
        <v>15</v>
      </c>
      <c r="C10" s="3350"/>
      <c r="D10" s="3370"/>
      <c r="E10" s="123" t="s">
        <v>1276</v>
      </c>
      <c r="F10" s="1626"/>
      <c r="G10" s="1626"/>
      <c r="H10" s="1626"/>
      <c r="I10" s="1280"/>
    </row>
    <row r="11" spans="1:12" ht="13.2">
      <c r="A11" s="3347"/>
      <c r="B11" s="3334"/>
      <c r="C11" s="3352"/>
      <c r="D11" s="3370"/>
      <c r="E11" s="123" t="s">
        <v>1277</v>
      </c>
      <c r="F11" s="1626"/>
      <c r="G11" s="1626"/>
      <c r="H11" s="1626"/>
      <c r="I11" s="1280"/>
    </row>
    <row r="12" spans="1:12" ht="13.2">
      <c r="A12" s="3347" t="s">
        <v>1278</v>
      </c>
      <c r="B12" s="3334">
        <v>15</v>
      </c>
      <c r="C12" s="3350"/>
      <c r="D12" s="3370"/>
      <c r="E12" s="123" t="s">
        <v>1279</v>
      </c>
      <c r="F12" s="1626"/>
      <c r="G12" s="1626"/>
      <c r="H12" s="1626"/>
      <c r="I12" s="1280"/>
    </row>
    <row r="13" spans="1:12" ht="13.2">
      <c r="A13" s="3347"/>
      <c r="B13" s="3334"/>
      <c r="C13" s="3352"/>
      <c r="D13" s="3370"/>
      <c r="E13" s="123" t="s">
        <v>1280</v>
      </c>
      <c r="F13" s="1626"/>
      <c r="G13" s="1626"/>
      <c r="H13" s="1626"/>
      <c r="I13" s="1280"/>
    </row>
    <row r="14" spans="1:12" ht="13.2">
      <c r="A14" s="3347" t="s">
        <v>1281</v>
      </c>
      <c r="B14" s="3334">
        <v>30</v>
      </c>
      <c r="C14" s="3350">
        <v>8</v>
      </c>
      <c r="D14" s="3370">
        <v>2</v>
      </c>
      <c r="E14" s="123" t="s">
        <v>1282</v>
      </c>
      <c r="F14" s="1626"/>
      <c r="G14" s="1626"/>
      <c r="H14" s="1626"/>
      <c r="I14" s="1280"/>
    </row>
    <row r="15" spans="1:12" ht="13.2">
      <c r="A15" s="3347"/>
      <c r="B15" s="3334"/>
      <c r="C15" s="3351"/>
      <c r="D15" s="3370"/>
      <c r="E15" s="123" t="s">
        <v>1283</v>
      </c>
      <c r="F15" s="1626"/>
      <c r="G15" s="1626"/>
      <c r="H15" s="1626"/>
      <c r="I15" s="1280"/>
    </row>
    <row r="16" spans="1:12" ht="13.2">
      <c r="A16" s="3347"/>
      <c r="B16" s="3334"/>
      <c r="C16" s="3352"/>
      <c r="D16" s="3370"/>
      <c r="E16" s="123" t="s">
        <v>1284</v>
      </c>
      <c r="F16" s="1626"/>
      <c r="G16" s="1626"/>
      <c r="H16" s="1626"/>
      <c r="I16" s="1280"/>
    </row>
    <row r="17" spans="1:36" ht="14.4">
      <c r="A17" s="1627" t="s">
        <v>1285</v>
      </c>
      <c r="B17" s="54"/>
      <c r="C17" s="124">
        <f>SUM(C5:C16)</f>
        <v>8</v>
      </c>
      <c r="D17" s="124">
        <f>SUM(D5:D16)</f>
        <v>2</v>
      </c>
      <c r="E17" s="121"/>
      <c r="F17" s="121"/>
      <c r="G17" s="121"/>
      <c r="H17" s="121"/>
      <c r="I17" s="121"/>
      <c r="K17" s="294"/>
      <c r="L17" s="294" t="s">
        <v>1286</v>
      </c>
      <c r="M17" s="294" t="s">
        <v>1287</v>
      </c>
    </row>
    <row r="18" spans="1:36" ht="31.95" customHeight="1" thickBot="1">
      <c r="A18" s="1628" t="s">
        <v>1288</v>
      </c>
      <c r="B18" s="1541"/>
      <c r="C18" s="125">
        <f>ROUND(C17/SUM(C17:D17),2)</f>
        <v>0.8</v>
      </c>
      <c r="D18" s="125">
        <f>1-C18</f>
        <v>0.19999999999999996</v>
      </c>
      <c r="E18" s="3357" t="s">
        <v>2128</v>
      </c>
      <c r="F18" s="3358"/>
      <c r="G18" s="3358"/>
      <c r="H18" s="3358"/>
      <c r="I18" s="3358"/>
      <c r="K18" s="294" t="s">
        <v>1289</v>
      </c>
      <c r="L18" s="294">
        <f>IF(C1="",'数据-汇总表'!E3,SUMIF(项目类型,C1,'数据-汇总表'!E17:E26)+SUMIF(项目类型,C1,'数据-汇总表'!I17:I26))</f>
        <v>30.74</v>
      </c>
      <c r="M18" s="294">
        <f>IF(C1="",'数据-汇总表'!E3,SUMIF(项目类型,C1,'数据-汇总表'!E17:E26))</f>
        <v>30.74</v>
      </c>
    </row>
    <row r="19" spans="1:36" ht="14.4">
      <c r="A19" s="1629" t="s">
        <v>1290</v>
      </c>
      <c r="B19" s="1630" t="s">
        <v>1291</v>
      </c>
      <c r="C19" s="126">
        <f ca="1">SUMIF(INDIRECT("'"&amp;C4&amp;"'"&amp;"!A:A"),'结果表 -车位'!B19,INDIRECT("'"&amp;C4&amp;"'"&amp;"!B:B"))</f>
        <v>19</v>
      </c>
      <c r="D19" s="127">
        <f ca="1">SUMIF(INDIRECT("'"&amp;D4&amp;"'"&amp;"!A:A"),'结果表 -车位'!B19,INDIRECT("'"&amp;D4&amp;"'"&amp;"!B:B"))</f>
        <v>3.18</v>
      </c>
      <c r="E19" s="1629" t="s">
        <v>1292</v>
      </c>
      <c r="F19" s="1630" t="s">
        <v>1291</v>
      </c>
      <c r="G19" s="128">
        <f ca="1">ROUND(C19*$C$18+D19*$D$18,0)</f>
        <v>16</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 -车位'!B20,INDIRECT("'"&amp;C4&amp;"'"&amp;"!B:B"))</f>
        <v>6047</v>
      </c>
      <c r="D20" s="130">
        <f ca="1">SUMIF(INDIRECT("'"&amp;D4&amp;"'"&amp;"!A:A"),'结果表 -车位'!B20,INDIRECT("'"&amp;D4&amp;"'"&amp;"!B:B"))</f>
        <v>1034</v>
      </c>
      <c r="E20" s="1632"/>
      <c r="F20" s="43" t="s">
        <v>1295</v>
      </c>
      <c r="G20" s="131">
        <f ca="1">ROUND(C20*$C$18+D20*$D$18,0)</f>
        <v>5044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4.9748427672955975</v>
      </c>
      <c r="E22" s="121"/>
      <c r="F22" s="121"/>
      <c r="G22" s="121"/>
      <c r="H22" s="121"/>
      <c r="I22" s="121"/>
    </row>
    <row r="23" spans="1:36" ht="13.8" thickBot="1">
      <c r="A23" s="646"/>
      <c r="B23" s="646"/>
      <c r="C23" s="646"/>
      <c r="D23" s="646"/>
      <c r="E23" s="121"/>
      <c r="F23" s="121"/>
      <c r="G23" s="121"/>
      <c r="H23" s="121"/>
      <c r="I23" s="121"/>
    </row>
    <row r="24" spans="1:36" ht="14.4">
      <c r="A24" s="3341" t="s">
        <v>1299</v>
      </c>
      <c r="B24" s="1630" t="s">
        <v>1291</v>
      </c>
      <c r="C24" s="128">
        <f>IF(B30=0,0,D30)</f>
        <v>0</v>
      </c>
      <c r="D24" s="1636"/>
      <c r="E24" s="3167"/>
      <c r="F24" s="1619"/>
      <c r="G24" s="3167"/>
      <c r="H24" s="121"/>
      <c r="I24" s="121"/>
    </row>
    <row r="25" spans="1:36" ht="14.4">
      <c r="A25" s="3342"/>
      <c r="B25" s="43" t="s">
        <v>1295</v>
      </c>
      <c r="C25" s="133">
        <f>IF(B30=0,0,C30)</f>
        <v>0</v>
      </c>
      <c r="D25" s="1637"/>
      <c r="E25" s="3167"/>
      <c r="F25" s="1619"/>
      <c r="G25" s="3167"/>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3" t="s">
        <v>2129</v>
      </c>
      <c r="F30" s="121"/>
      <c r="G30" s="121"/>
      <c r="H30" s="121"/>
      <c r="I30" s="121"/>
    </row>
    <row r="31" spans="1:36" s="2129" customFormat="1" ht="26.4" customHeight="1" thickTop="1" thickBot="1">
      <c r="A31" s="2124"/>
      <c r="B31" s="2125"/>
      <c r="C31" s="2125"/>
      <c r="D31" s="2125"/>
      <c r="E31" s="2125"/>
      <c r="F31" s="2125"/>
      <c r="G31" s="2125"/>
      <c r="H31" s="2125"/>
      <c r="I31" s="2126" t="s">
        <v>2130</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9" t="s">
        <v>1305</v>
      </c>
      <c r="B32" s="1534"/>
      <c r="C32" s="136">
        <f ca="1">IF(D32="总价",G19-C24,G20-C25)</f>
        <v>5044</v>
      </c>
      <c r="D32" s="1640" t="s">
        <v>3557</v>
      </c>
      <c r="E32" s="121"/>
      <c r="F32" s="121"/>
      <c r="G32" s="121"/>
      <c r="H32" s="121"/>
      <c r="I32" s="121"/>
    </row>
    <row r="33" spans="1:15" ht="14.4">
      <c r="A33" s="740" t="s">
        <v>1306</v>
      </c>
      <c r="B33" s="123"/>
      <c r="C33" s="1641" t="s">
        <v>3500</v>
      </c>
      <c r="D33" s="1642"/>
      <c r="E33" s="1643" t="s">
        <v>1307</v>
      </c>
      <c r="F33" s="1644" t="str">
        <f>IF(D32="楼面单价","取值（单价）","取值（总价）")</f>
        <v>取值（单价）</v>
      </c>
      <c r="G33" s="121"/>
      <c r="H33" s="121"/>
      <c r="I33" s="121"/>
    </row>
    <row r="34" spans="1:15" ht="14.4">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2"/>
      <c r="G34" s="121"/>
      <c r="H34" s="121"/>
      <c r="I34" s="121"/>
    </row>
    <row r="35" spans="1:15" ht="15" thickBot="1">
      <c r="A35" s="1648"/>
      <c r="B35" s="1649"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 thickBot="1">
      <c r="A36" s="3361" t="s">
        <v>1312</v>
      </c>
      <c r="B36" s="1651" t="s">
        <v>1313</v>
      </c>
      <c r="C36" s="137"/>
      <c r="D36" s="1652"/>
      <c r="E36" s="1566"/>
      <c r="F36" s="1653"/>
      <c r="G36" s="121"/>
      <c r="H36" s="121"/>
      <c r="I36" s="121"/>
    </row>
    <row r="37" spans="1:15" ht="15" thickBot="1">
      <c r="A37" s="3362"/>
      <c r="B37" s="1554" t="s">
        <v>1314</v>
      </c>
      <c r="C37" s="139"/>
      <c r="D37" s="1071"/>
      <c r="E37" s="1071"/>
      <c r="F37" s="1653"/>
      <c r="G37" s="121"/>
      <c r="H37" s="121"/>
      <c r="I37" s="121"/>
    </row>
    <row r="38" spans="1:15" ht="15" thickBot="1">
      <c r="A38" s="3363"/>
      <c r="B38" s="1654" t="s">
        <v>1315</v>
      </c>
      <c r="C38" s="641"/>
      <c r="D38" s="1655" t="s">
        <v>1316</v>
      </c>
      <c r="E38" s="1071"/>
      <c r="F38" s="1653"/>
      <c r="G38" s="121"/>
      <c r="H38" s="121"/>
      <c r="I38" s="121"/>
    </row>
    <row r="39" spans="1:15" ht="14.4">
      <c r="A39" s="1632" t="s">
        <v>1317</v>
      </c>
      <c r="B39" s="1656" t="s">
        <v>1301</v>
      </c>
      <c r="C39" s="1657" t="s">
        <v>1302</v>
      </c>
      <c r="D39" s="1657" t="s">
        <v>1320</v>
      </c>
      <c r="E39" s="1658" t="s">
        <v>1303</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38" t="s">
        <v>1326</v>
      </c>
      <c r="B45" s="3339"/>
      <c r="C45" s="3340"/>
      <c r="D45" s="3172">
        <f ca="1">'典型户型修正-车位'!S22</f>
        <v>19214</v>
      </c>
      <c r="E45" s="148" t="s">
        <v>1327</v>
      </c>
      <c r="F45" s="149">
        <v>1</v>
      </c>
      <c r="G45" s="150" t="s">
        <v>1328</v>
      </c>
      <c r="H45" s="121"/>
      <c r="I45" s="121"/>
      <c r="J45" s="3416" t="s">
        <v>1329</v>
      </c>
      <c r="K45" s="3416"/>
      <c r="L45" s="3416"/>
      <c r="M45" s="3416"/>
      <c r="N45" s="3416"/>
      <c r="O45" s="3416"/>
    </row>
    <row r="46" spans="1:15" ht="14.25" customHeight="1">
      <c r="A46" s="3335" t="s">
        <v>1330</v>
      </c>
      <c r="B46" s="3336"/>
      <c r="C46" s="3336"/>
      <c r="D46" s="3336"/>
      <c r="E46" s="3336"/>
      <c r="F46" s="3336"/>
      <c r="G46" s="3337"/>
      <c r="H46" s="1667"/>
      <c r="I46" s="151"/>
      <c r="J46" s="2306">
        <v>1</v>
      </c>
      <c r="K46" s="3397" t="s">
        <v>1331</v>
      </c>
      <c r="L46" s="3397"/>
      <c r="M46" s="3417"/>
      <c r="N46" s="3417"/>
      <c r="O46" s="3417"/>
    </row>
    <row r="47" spans="1:15" ht="12" customHeight="1">
      <c r="A47" s="152" t="s">
        <v>1332</v>
      </c>
      <c r="B47" s="153"/>
      <c r="C47" s="154"/>
      <c r="D47" s="1024" t="s">
        <v>1333</v>
      </c>
      <c r="E47" s="294" t="s">
        <v>1334</v>
      </c>
      <c r="F47" s="155" t="s">
        <v>1335</v>
      </c>
      <c r="G47" s="2329" t="s">
        <v>1336</v>
      </c>
      <c r="H47" s="2330"/>
      <c r="I47" s="151"/>
      <c r="J47" s="2306">
        <v>2</v>
      </c>
      <c r="K47" s="3397" t="s">
        <v>1337</v>
      </c>
      <c r="L47" s="3397"/>
      <c r="M47" s="3418">
        <f>'数据-取费表'!B2</f>
        <v>45826</v>
      </c>
      <c r="N47" s="3418"/>
      <c r="O47" s="3418"/>
    </row>
    <row r="48" spans="1:15" ht="26.4">
      <c r="A48" s="3366" t="s">
        <v>1338</v>
      </c>
      <c r="B48" s="3349"/>
      <c r="C48" s="3349"/>
      <c r="D48" s="12">
        <f ca="1">IF(H48="情况1",0,IF(H48="情况2",D52,IF(H48="情况3",D53,IF(H48="情况4",D54))))</f>
        <v>1025</v>
      </c>
      <c r="E48" s="1255" t="str">
        <f>IF(H48="情况4","(销售额-原购置价)×税（费）率","销售额×税（费）率")</f>
        <v>销售额×税（费）率</v>
      </c>
      <c r="F48" s="2331">
        <f>IF(H48="情况1","免征",'数据-取费表'!B41)</f>
        <v>5.6000000000000001E-2</v>
      </c>
      <c r="G48" s="2332" t="s">
        <v>1339</v>
      </c>
      <c r="H48" s="2333" t="s">
        <v>3585</v>
      </c>
      <c r="I48" s="1667"/>
      <c r="J48" s="2306">
        <v>3</v>
      </c>
      <c r="K48" s="3397" t="s">
        <v>1340</v>
      </c>
      <c r="L48" s="3397"/>
      <c r="M48" s="3420">
        <f ca="1">D45</f>
        <v>19214</v>
      </c>
      <c r="N48" s="3420"/>
      <c r="O48" s="3420"/>
    </row>
    <row r="49" spans="1:35" ht="25.5" customHeight="1">
      <c r="A49" s="2148" t="s">
        <v>1341</v>
      </c>
      <c r="B49" s="3333" t="s">
        <v>1342</v>
      </c>
      <c r="C49" s="3333"/>
      <c r="D49" s="1477">
        <v>0</v>
      </c>
      <c r="E49" s="316" t="s">
        <v>1343</v>
      </c>
      <c r="F49" s="2229" t="s">
        <v>28</v>
      </c>
      <c r="G49" s="3403"/>
      <c r="H49" s="2130" t="s">
        <v>2131</v>
      </c>
      <c r="I49" s="2131"/>
      <c r="J49" s="2306">
        <v>4</v>
      </c>
      <c r="K49" s="3397" t="str">
        <f>IF(项目基本情况!E8="房地产抵押价值","房地产抵押价值","抵押担保权已注销时的房地产抵押价值")</f>
        <v>房地产抵押价值</v>
      </c>
      <c r="L49" s="3397"/>
      <c r="M49" s="3420">
        <f ca="1">D45</f>
        <v>19214</v>
      </c>
      <c r="N49" s="3420"/>
      <c r="O49" s="3420"/>
    </row>
    <row r="50" spans="1:35" ht="25.5" customHeight="1">
      <c r="A50" s="2334"/>
      <c r="B50" s="3333" t="s">
        <v>1344</v>
      </c>
      <c r="C50" s="3333"/>
      <c r="D50" s="2185"/>
      <c r="E50" s="323"/>
      <c r="F50" s="2229"/>
      <c r="G50" s="3404"/>
      <c r="H50" s="2132" t="s">
        <v>2132</v>
      </c>
      <c r="I50" s="2131"/>
      <c r="J50" s="3416" t="s">
        <v>1345</v>
      </c>
      <c r="K50" s="3416"/>
      <c r="L50" s="3416"/>
      <c r="M50" s="3416"/>
      <c r="N50" s="3416"/>
      <c r="O50" s="3416"/>
    </row>
    <row r="51" spans="1:35" ht="20.399999999999999" customHeight="1">
      <c r="A51" s="2335"/>
      <c r="B51" s="3333" t="s">
        <v>1346</v>
      </c>
      <c r="C51" s="3333"/>
      <c r="D51" s="1024"/>
      <c r="E51" s="319"/>
      <c r="F51" s="2229"/>
      <c r="G51" s="3405"/>
      <c r="H51" s="2132" t="s">
        <v>2133</v>
      </c>
      <c r="I51" s="2131"/>
      <c r="J51" s="2307" t="s">
        <v>1347</v>
      </c>
      <c r="K51" s="3397" t="s">
        <v>1348</v>
      </c>
      <c r="L51" s="3397"/>
      <c r="M51" s="2307" t="s">
        <v>1349</v>
      </c>
      <c r="N51" s="2307" t="s">
        <v>1350</v>
      </c>
      <c r="O51" s="2307" t="s">
        <v>1351</v>
      </c>
    </row>
    <row r="52" spans="1:35" ht="24" customHeight="1">
      <c r="A52" s="2149" t="s">
        <v>1352</v>
      </c>
      <c r="B52" s="3333" t="s">
        <v>1353</v>
      </c>
      <c r="C52" s="3333"/>
      <c r="D52" s="1024">
        <f ca="1">ROUND(D45*'数据-取费表'!B41/(1+'数据-取费表'!C42),0)</f>
        <v>1025</v>
      </c>
      <c r="E52" s="1255" t="s">
        <v>1354</v>
      </c>
      <c r="F52" s="2336">
        <f>'数据-取费表'!B41</f>
        <v>5.6000000000000001E-2</v>
      </c>
      <c r="G52" s="2337"/>
      <c r="H52" s="2327"/>
      <c r="I52" s="1668"/>
      <c r="J52" s="2306">
        <v>1</v>
      </c>
      <c r="K52" s="3398" t="s">
        <v>1355</v>
      </c>
      <c r="L52" s="3398"/>
      <c r="M52" s="2308">
        <f ca="1">D48</f>
        <v>1025</v>
      </c>
      <c r="N52" s="2306" t="str">
        <f>E48</f>
        <v>销售额×税（费）率</v>
      </c>
      <c r="O52" s="2309">
        <f>F48</f>
        <v>5.6000000000000001E-2</v>
      </c>
    </row>
    <row r="53" spans="1:35" ht="12" customHeight="1">
      <c r="A53" s="2149" t="s">
        <v>1356</v>
      </c>
      <c r="B53" s="3359" t="s">
        <v>2288</v>
      </c>
      <c r="C53" s="3360"/>
      <c r="D53" s="1024">
        <f ca="1">ROUND(D45*'数据-取费表'!B41/(1+'数据-取费表'!C42),0)</f>
        <v>1025</v>
      </c>
      <c r="E53" s="1255" t="s">
        <v>1354</v>
      </c>
      <c r="F53" s="2336">
        <f>'数据-取费表'!B41</f>
        <v>5.6000000000000001E-2</v>
      </c>
      <c r="G53" s="2337"/>
      <c r="H53" s="2327"/>
      <c r="I53" s="1668"/>
      <c r="J53" s="2306">
        <v>2</v>
      </c>
      <c r="K53" s="3398" t="s">
        <v>1357</v>
      </c>
      <c r="L53" s="3398"/>
      <c r="M53" s="2308">
        <f t="shared" ref="M53:O54" ca="1" si="0">D55</f>
        <v>10</v>
      </c>
      <c r="N53" s="2306" t="str">
        <f t="shared" si="0"/>
        <v>销售额×税（费）率</v>
      </c>
      <c r="O53" s="2309">
        <f t="shared" si="0"/>
        <v>5.0000000000000001E-4</v>
      </c>
    </row>
    <row r="54" spans="1:35" ht="12" customHeight="1">
      <c r="A54" s="2149" t="s">
        <v>1358</v>
      </c>
      <c r="B54" s="3359" t="s">
        <v>2289</v>
      </c>
      <c r="C54" s="3360"/>
      <c r="D54" s="1024">
        <f ca="1">C68</f>
        <v>1025</v>
      </c>
      <c r="E54" s="319" t="s">
        <v>1359</v>
      </c>
      <c r="F54" s="2336">
        <f>'数据-取费表'!B41</f>
        <v>5.6000000000000001E-2</v>
      </c>
      <c r="G54" s="2337"/>
      <c r="H54" s="2338"/>
      <c r="I54" s="1668"/>
      <c r="J54" s="2306">
        <v>3</v>
      </c>
      <c r="K54" s="3398" t="s">
        <v>1360</v>
      </c>
      <c r="L54" s="3398"/>
      <c r="M54" s="2308">
        <f t="shared" ca="1" si="0"/>
        <v>0</v>
      </c>
      <c r="N54" s="2306" t="str">
        <f t="shared" si="0"/>
        <v>增值额×税（费）率</v>
      </c>
      <c r="O54" s="2310" t="str">
        <f t="shared" si="0"/>
        <v>——</v>
      </c>
    </row>
    <row r="55" spans="1:35" ht="24" customHeight="1">
      <c r="A55" s="3348" t="s">
        <v>1361</v>
      </c>
      <c r="B55" s="3349"/>
      <c r="C55" s="3349"/>
      <c r="D55" s="12">
        <f ca="1">IF(H55="个人住宅",0,ROUND(D45*I55,0))</f>
        <v>10</v>
      </c>
      <c r="E55" s="1255" t="s">
        <v>1362</v>
      </c>
      <c r="F55" s="2336">
        <f>IF(H55="正常",I55,"免征")</f>
        <v>5.0000000000000001E-4</v>
      </c>
      <c r="G55" s="2337"/>
      <c r="H55" s="2333" t="s">
        <v>3489</v>
      </c>
      <c r="I55" s="157">
        <f>'数据-取费表'!B49</f>
        <v>5.0000000000000001E-4</v>
      </c>
      <c r="J55" s="2306" t="str">
        <f>IF(H59="非个人房产","",4)</f>
        <v/>
      </c>
      <c r="K55" s="3398" t="str">
        <f>IF(H59="非个人房产","——","个人所得税")</f>
        <v>——</v>
      </c>
      <c r="L55" s="3398"/>
      <c r="M55" s="2311" t="str">
        <f>D59</f>
        <v>——</v>
      </c>
      <c r="N55" s="1879" t="str">
        <f>E59</f>
        <v>——</v>
      </c>
      <c r="O55" s="2312" t="str">
        <f>F59</f>
        <v>——</v>
      </c>
    </row>
    <row r="56" spans="1:35" ht="25.2">
      <c r="A56" s="3348" t="s">
        <v>1363</v>
      </c>
      <c r="B56" s="3349"/>
      <c r="C56" s="3349"/>
      <c r="D56" s="12">
        <f ca="1">IF(H56="个人住宅",D57,D58)</f>
        <v>0</v>
      </c>
      <c r="E56" s="1255" t="s">
        <v>1364</v>
      </c>
      <c r="F56" s="2336" t="str">
        <f>IF(H56="正常",F58,"免征")</f>
        <v>——</v>
      </c>
      <c r="G56" s="2339" t="s">
        <v>1365</v>
      </c>
      <c r="H56" s="2340" t="s">
        <v>3489</v>
      </c>
      <c r="I56" s="1669"/>
      <c r="J56" s="2306" t="str">
        <f>IF(项目基本情况!K6="上海银行",IF(J55="",4,J55+1),"")</f>
        <v/>
      </c>
      <c r="K56" s="3422" t="str">
        <f>IF(项目基本情况!K6="上海银行","其他处置费用","")</f>
        <v/>
      </c>
      <c r="L56" s="3423"/>
      <c r="M56" s="2308" t="str">
        <f>IF(项目基本情况!K6="上海银行",M69,"")</f>
        <v/>
      </c>
      <c r="N56" s="3422" t="str">
        <f>IF(项目基本情况!K6="上海银行","包含处置中涉及的律师、诉讼、拍卖、评估等费用","")</f>
        <v/>
      </c>
      <c r="O56" s="3425"/>
    </row>
    <row r="57" spans="1:35" ht="13.2">
      <c r="A57" s="2149" t="s">
        <v>1341</v>
      </c>
      <c r="B57" s="3359" t="s">
        <v>1366</v>
      </c>
      <c r="C57" s="3360"/>
      <c r="D57" s="1477">
        <v>0</v>
      </c>
      <c r="E57" s="316" t="s">
        <v>1343</v>
      </c>
      <c r="F57" s="294"/>
      <c r="G57" s="2337"/>
      <c r="H57" s="2341"/>
      <c r="I57" s="1669"/>
      <c r="J57" s="3398">
        <f>IF(AND(J55="",J56=""),4,IF(项目基本情况!K6="上海银行",'结果表 -车位'!J56+1,'结果表 -车位'!J55+1))</f>
        <v>4</v>
      </c>
      <c r="K57" s="3398" t="s">
        <v>1367</v>
      </c>
      <c r="L57" s="2313" t="s">
        <v>1368</v>
      </c>
      <c r="M57" s="2314"/>
      <c r="N57" s="2315">
        <f ca="1">SUMIF(M52:M56,"&lt;9e307")</f>
        <v>1035</v>
      </c>
      <c r="O57" s="2316"/>
      <c r="P57" s="2460">
        <f ca="1">N57/M49</f>
        <v>5.3866971999583638E-2</v>
      </c>
    </row>
    <row r="58" spans="1:35" ht="25.2">
      <c r="A58" s="2149" t="s">
        <v>1352</v>
      </c>
      <c r="B58" s="3359" t="s">
        <v>1369</v>
      </c>
      <c r="C58" s="3333"/>
      <c r="D58" s="12">
        <f ca="1">IF(H58="转让取得",C81,C97)</f>
        <v>0</v>
      </c>
      <c r="E58" s="1255" t="s">
        <v>1364</v>
      </c>
      <c r="F58" s="294" t="s">
        <v>28</v>
      </c>
      <c r="G58" s="2337"/>
      <c r="H58" s="2340" t="s">
        <v>3586</v>
      </c>
      <c r="I58" s="1669"/>
      <c r="J58" s="3398"/>
      <c r="K58" s="3398"/>
      <c r="L58" s="2313" t="s">
        <v>1370</v>
      </c>
      <c r="M58" s="2317"/>
      <c r="N58" s="2318" t="str">
        <f ca="1">NUMBERSTRING(INT(N57*10000),2)&amp;"元整"</f>
        <v>壹仟零叁拾伍万元整</v>
      </c>
      <c r="O58" s="2319"/>
    </row>
    <row r="59" spans="1:35" ht="24.6" thickBot="1">
      <c r="A59" s="3401" t="s">
        <v>1371</v>
      </c>
      <c r="B59" s="3402"/>
      <c r="C59" s="3402"/>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1365</v>
      </c>
      <c r="H59" s="2134" t="s">
        <v>3587</v>
      </c>
      <c r="I59" s="2133" t="s">
        <v>2134</v>
      </c>
      <c r="J59" s="3399">
        <f>J57+1</f>
        <v>5</v>
      </c>
      <c r="K59" s="3398" t="s">
        <v>1372</v>
      </c>
      <c r="L59" s="2306" t="s">
        <v>1368</v>
      </c>
      <c r="M59" s="2320"/>
      <c r="N59" s="2321">
        <f ca="1">M49-N57</f>
        <v>18179</v>
      </c>
      <c r="O59" s="2322"/>
    </row>
    <row r="60" spans="1:35" ht="12" customHeight="1">
      <c r="A60" s="1670"/>
      <c r="B60" s="646"/>
      <c r="C60" s="646"/>
      <c r="D60" s="646"/>
      <c r="E60" s="1465"/>
      <c r="F60" s="1669"/>
      <c r="G60" s="1669"/>
      <c r="H60" s="151"/>
      <c r="I60" s="121"/>
      <c r="J60" s="3400"/>
      <c r="K60" s="3398"/>
      <c r="L60" s="2313" t="s">
        <v>1370</v>
      </c>
      <c r="M60" s="2317"/>
      <c r="N60" s="2318" t="str">
        <f ca="1">NUMBERSTRING(INT(N59*10000),2)&amp;"元整"</f>
        <v>壹亿捌仟壹佰柒拾玖万元整</v>
      </c>
      <c r="O60" s="2319"/>
    </row>
    <row r="61" spans="1:35" ht="13.8" thickBot="1">
      <c r="A61" s="3346" t="s">
        <v>1373</v>
      </c>
      <c r="B61" s="3346"/>
      <c r="C61" s="3346"/>
      <c r="D61" s="3346"/>
      <c r="E61" s="3346"/>
      <c r="F61" s="1669"/>
      <c r="G61" s="1669"/>
      <c r="H61" s="151"/>
      <c r="I61" s="121"/>
      <c r="J61" s="2306">
        <f>J59+1</f>
        <v>6</v>
      </c>
      <c r="K61" s="3398" t="s">
        <v>1374</v>
      </c>
      <c r="L61" s="3398"/>
      <c r="M61" s="2323"/>
      <c r="N61" s="2324">
        <f ca="1">ROUND(N59*10000/'数据-汇总表'!E3,0)</f>
        <v>838979</v>
      </c>
      <c r="O61" s="2325"/>
    </row>
    <row r="62" spans="1:35" ht="13.2">
      <c r="A62" s="3364" t="s">
        <v>1375</v>
      </c>
      <c r="B62" s="3365"/>
      <c r="C62" s="1861"/>
      <c r="D62" s="1861" t="s">
        <v>1376</v>
      </c>
      <c r="E62" s="158" t="s">
        <v>1377</v>
      </c>
      <c r="F62" s="1669"/>
      <c r="G62" s="1669"/>
      <c r="H62" s="151"/>
      <c r="I62" s="121"/>
    </row>
    <row r="63" spans="1:35" ht="13.2">
      <c r="A63" s="165" t="s">
        <v>330</v>
      </c>
      <c r="B63" s="159" t="s">
        <v>1378</v>
      </c>
      <c r="C63" s="2346">
        <f ca="1">ROUND((C64+C65)/(1+'数据-取费表'!C42),0)</f>
        <v>18299</v>
      </c>
      <c r="D63" s="159"/>
      <c r="E63" s="160"/>
      <c r="F63" s="1669"/>
      <c r="G63" s="1669"/>
      <c r="H63" s="151"/>
      <c r="I63" s="121"/>
      <c r="J63" s="3424" t="s">
        <v>1379</v>
      </c>
      <c r="K63" s="1244" t="s">
        <v>1380</v>
      </c>
      <c r="L63" s="1244">
        <f ca="1">IF(M49&gt;10000,M49*0.5%,IF(AND(M49&gt;1000,M49&lt;=10000),M49*1%,IF(AND(M49&gt;100,M49&lt;=1000),M49*3%,IF(AND(M49&gt;10,M49&lt;=100),M49*5%,M49*8%))))</f>
        <v>96.070000000000007</v>
      </c>
      <c r="M63" s="294">
        <f ca="1">ROUND(L63,1)</f>
        <v>96.1</v>
      </c>
      <c r="N63" s="2326"/>
      <c r="Z63" s="1622"/>
      <c r="AI63" s="1560"/>
    </row>
    <row r="64" spans="1:35" ht="14.25" customHeight="1">
      <c r="A64" s="161" t="s">
        <v>325</v>
      </c>
      <c r="B64" s="162" t="s">
        <v>1381</v>
      </c>
      <c r="C64" s="2347">
        <f ca="1">D45</f>
        <v>19214</v>
      </c>
      <c r="D64" s="162" t="s">
        <v>26</v>
      </c>
      <c r="E64" s="164"/>
      <c r="F64" s="1669"/>
      <c r="G64" s="1669"/>
      <c r="H64" s="151"/>
      <c r="I64" s="121"/>
      <c r="J64" s="3424"/>
      <c r="K64" s="1244" t="s">
        <v>1382</v>
      </c>
      <c r="L64" s="1244">
        <f ca="1">IF(M49&gt;2000,M49*0.5%,IF(AND(M49&gt;1000,M49&lt;=2000),M49*0.6%,IF(AND(M49&gt;500,M49&lt;=1000),M49*0.7%,IF(AND(M49&gt;200,M49&lt;=500),M49*0.8%,IF(AND(M49&gt;100,M49&lt;=200),M49*0.9%,IF(AND(M49&gt;50,M49&lt;=100),M49*1%,IF(AND(M49&gt;20,M49&lt;=50),M49*1.5%,IF(AND(M49&gt;10,M49&lt;=20),M49*2%,IF(AND(M49&gt;1,M49&lt;=10),M49*2.5%)))))))))</f>
        <v>96.070000000000007</v>
      </c>
      <c r="M64" s="294">
        <f t="shared" ref="M64:M65" ca="1" si="1">ROUND(L64,1)</f>
        <v>96.1</v>
      </c>
      <c r="N64" s="2327" t="s">
        <v>1383</v>
      </c>
      <c r="Z64" s="1622"/>
      <c r="AI64" s="1560"/>
    </row>
    <row r="65" spans="1:35" ht="14.25" customHeight="1">
      <c r="A65" s="161" t="s">
        <v>326</v>
      </c>
      <c r="B65" s="162" t="s">
        <v>1384</v>
      </c>
      <c r="C65" s="2348"/>
      <c r="D65" s="162"/>
      <c r="E65" s="164"/>
      <c r="F65" s="1669"/>
      <c r="G65" s="1669"/>
      <c r="H65" s="151"/>
      <c r="I65" s="121"/>
      <c r="J65" s="3424"/>
      <c r="K65" s="1244" t="s">
        <v>1385</v>
      </c>
      <c r="L65" s="1244">
        <f ca="1">IF(M49&gt;1000,M49*0.1%,IF(AND(M49&gt;500,M49&lt;=1000),M49*0.5%,IF(AND(M49&gt;50,M49&lt;=500),M49*1%,IF(AND(M49&gt;1,M49&lt;=50),M49*1.5%))))</f>
        <v>19.213999999999999</v>
      </c>
      <c r="M65" s="294">
        <f t="shared" ca="1" si="1"/>
        <v>19.2</v>
      </c>
      <c r="N65" s="2327" t="s">
        <v>1383</v>
      </c>
      <c r="Z65" s="1622"/>
      <c r="AI65" s="1560"/>
    </row>
    <row r="66" spans="1:35" ht="14.25" customHeight="1">
      <c r="A66" s="165" t="s">
        <v>327</v>
      </c>
      <c r="B66" s="166" t="s">
        <v>1386</v>
      </c>
      <c r="C66" s="2349"/>
      <c r="D66" s="166" t="s">
        <v>26</v>
      </c>
      <c r="E66" s="1250" t="s">
        <v>671</v>
      </c>
      <c r="F66" s="1669"/>
      <c r="G66" s="1669"/>
      <c r="H66" s="151"/>
      <c r="I66" s="121"/>
      <c r="J66" s="3424"/>
      <c r="K66" s="1244" t="s">
        <v>1387</v>
      </c>
      <c r="L66" s="1244">
        <f ca="1">M49*0.5%</f>
        <v>96.070000000000007</v>
      </c>
      <c r="M66" s="294">
        <f ca="1">IF(L66&gt;0.5,0.5,ROUND(L66,0))</f>
        <v>0.5</v>
      </c>
      <c r="N66" s="2327" t="s">
        <v>1388</v>
      </c>
      <c r="Z66" s="1622"/>
      <c r="AI66" s="1560"/>
    </row>
    <row r="67" spans="1:35" ht="14.25" customHeight="1">
      <c r="A67" s="165" t="s">
        <v>328</v>
      </c>
      <c r="B67" s="166" t="s">
        <v>1389</v>
      </c>
      <c r="C67" s="2350">
        <f ca="1">C63-C66</f>
        <v>18299</v>
      </c>
      <c r="D67" s="162" t="s">
        <v>26</v>
      </c>
      <c r="E67" s="164"/>
      <c r="F67" s="1669"/>
      <c r="G67" s="1669"/>
      <c r="H67" s="151"/>
      <c r="I67" s="121"/>
      <c r="J67" s="3424"/>
      <c r="K67" s="1244" t="s">
        <v>1390</v>
      </c>
      <c r="L67" s="1244">
        <f ca="1">IF(M49&gt;=10000,(8.25+(M49-10000)*0.01%),IF(AND(M49&gt;=8000,M49&lt;10000),(7.85+(M49-8000)*0.02%),IF(AND(M49&gt;=5000,M49&lt;8000),(6.65+(M49-5000)*0.04%),IF(AND(M49&gt;=2000,M49&lt;5000),(4.25+(PM49-2000)*0.08%),IF(AND(M49&gt;=1000,M49&lt;2000),(2.75+(M49-1000)*0.15%),IF(AND(M49&gt;=100,M49&lt;1000),(0.5+(M49-100)*0.25%),IF(AND(M49&gt;0,M49&lt;100),M49*0.5%)))))))</f>
        <v>9.1714000000000002</v>
      </c>
      <c r="M67" s="294">
        <f ca="1">ROUND(L67*0.9,1)</f>
        <v>8.3000000000000007</v>
      </c>
      <c r="N67" s="2326"/>
      <c r="Z67" s="1622"/>
      <c r="AI67" s="1560"/>
    </row>
    <row r="68" spans="1:35" ht="14.25" customHeight="1" thickBot="1">
      <c r="A68" s="168" t="s">
        <v>329</v>
      </c>
      <c r="B68" s="169" t="s">
        <v>1391</v>
      </c>
      <c r="C68" s="2351">
        <f ca="1">IF(C67&lt;=0,0,ROUND(C67*D68,0))</f>
        <v>1025</v>
      </c>
      <c r="D68" s="2352">
        <f>'数据-取费表'!B41</f>
        <v>5.6000000000000001E-2</v>
      </c>
      <c r="E68" s="170"/>
      <c r="F68" s="1669"/>
      <c r="G68" s="1669"/>
      <c r="H68" s="151"/>
      <c r="I68" s="121"/>
      <c r="J68" s="3424"/>
      <c r="K68" s="1244" t="s">
        <v>1392</v>
      </c>
      <c r="L68" s="1244">
        <f ca="1">IF(M49&gt;10000,M49*0.5%,IF(AND(M49&gt;5000,M49&lt;=10000),M49*1%,IF(AND(M49&gt;1000,M49&lt;=5000),M49*2%,IF(AND(M49&gt;200,M49&lt;=1000),M49*3%,M49*5%))))</f>
        <v>96.070000000000007</v>
      </c>
      <c r="M68" s="294">
        <f ca="1">ROUND(L68,1)</f>
        <v>96.1</v>
      </c>
      <c r="N68" s="2326"/>
      <c r="Z68" s="1622"/>
      <c r="AI68" s="1560"/>
    </row>
    <row r="69" spans="1:35" ht="16.5" customHeight="1">
      <c r="A69" s="1671"/>
      <c r="B69" s="1672"/>
      <c r="C69" s="1673"/>
      <c r="D69" s="1674"/>
      <c r="E69" s="1675"/>
      <c r="F69" s="1465"/>
      <c r="G69" s="1465"/>
      <c r="H69" s="1466"/>
      <c r="I69" s="646"/>
      <c r="J69" s="3424"/>
      <c r="K69" s="1244" t="s">
        <v>1393</v>
      </c>
      <c r="L69" s="1244"/>
      <c r="M69" s="294">
        <f ca="1">ROUND(SUM(M63:M68),0)</f>
        <v>316</v>
      </c>
      <c r="N69" s="2328">
        <f ca="1">M69/M49</f>
        <v>1.6446341209534716E-2</v>
      </c>
      <c r="Z69" s="1622"/>
      <c r="AI69" s="1560"/>
    </row>
    <row r="70" spans="1:35" s="642" customFormat="1" ht="14.4" thickBot="1">
      <c r="A70" s="3385" t="s">
        <v>1394</v>
      </c>
      <c r="B70" s="3386"/>
      <c r="C70" s="3386"/>
      <c r="D70" s="3386"/>
      <c r="E70" s="3386"/>
      <c r="F70" s="3386"/>
      <c r="G70" s="3386"/>
      <c r="H70" s="338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364" t="s">
        <v>1375</v>
      </c>
      <c r="B71" s="3365"/>
      <c r="C71" s="1861"/>
      <c r="D71" s="1861"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0">
        <f ca="1">ROUND(D45/(1+'数据-取费表'!C42),0)</f>
        <v>18299</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0">
        <f ca="1">C74+C78</f>
        <v>110</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3"/>
      <c r="D75" s="162" t="s">
        <v>26</v>
      </c>
      <c r="E75" s="176" t="s">
        <v>1399</v>
      </c>
      <c r="F75" s="2354"/>
      <c r="G75" s="176" t="s">
        <v>1400</v>
      </c>
      <c r="H75" s="2355"/>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6">
        <v>0.05</v>
      </c>
      <c r="E76" s="3359" t="s">
        <v>1402</v>
      </c>
      <c r="F76" s="3333"/>
      <c r="G76" s="3333"/>
      <c r="H76" s="338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8">
        <f ca="1">ROUND(D45*D78/(1+'数据-取费表'!C42),0)</f>
        <v>110</v>
      </c>
      <c r="D78" s="2359">
        <f>'数据-取费表'!B43</f>
        <v>6.000000000000001E-3</v>
      </c>
      <c r="E78" s="3343" t="s">
        <v>1406</v>
      </c>
      <c r="F78" s="3344"/>
      <c r="G78" s="3344"/>
      <c r="H78" s="335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328</v>
      </c>
      <c r="B79" s="166" t="s">
        <v>1407</v>
      </c>
      <c r="C79" s="2350">
        <f ca="1">C72-C73</f>
        <v>18189</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0">
        <f ca="1">IF(C79&lt;=0,0,C79/C73)</f>
        <v>165.35454545454544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1">
        <f ca="1">ROUND(IF(C79&lt;=0,0,IF(C80&gt;=200%,C79*60%-C73*35%,IF(C80&gt;=100%,C79*50%-C73*15%,IF(C80&gt;=50%,C79*40%-C73*5%,IF(C80&lt;50%,C79*30%,0))))),0)</f>
        <v>10875</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85" t="s">
        <v>1410</v>
      </c>
      <c r="B83" s="3386"/>
      <c r="C83" s="3386"/>
      <c r="D83" s="3386"/>
      <c r="E83" s="3386"/>
      <c r="F83" s="3386"/>
      <c r="G83" s="3386"/>
      <c r="H83" s="338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364" t="s">
        <v>1375</v>
      </c>
      <c r="B84" s="3365"/>
      <c r="C84" s="1861"/>
      <c r="D84" s="1861"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0">
        <f ca="1">ROUND(D45/(1+'数据-取费表'!C42),0)</f>
        <v>18299</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0">
        <f ca="1">IF(H88="仅含出让金",C87+C90+C91+C92+C93+C94,C87+C91+C92+C93+C94)</f>
        <v>36387</v>
      </c>
      <c r="D86" s="2363"/>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58">
        <f>C88+C89</f>
        <v>3040</v>
      </c>
      <c r="D87" s="2359"/>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26.4">
      <c r="A88" s="161" t="s">
        <v>331</v>
      </c>
      <c r="B88" s="162" t="s">
        <v>1412</v>
      </c>
      <c r="C88" s="2364">
        <f>住宅面积信息!B8</f>
        <v>2950</v>
      </c>
      <c r="D88" s="2359"/>
      <c r="E88" s="185" t="s">
        <v>1413</v>
      </c>
      <c r="F88" s="2144"/>
      <c r="G88" s="186" t="s">
        <v>1414</v>
      </c>
      <c r="H88" s="1683" t="s">
        <v>3588</v>
      </c>
      <c r="I88" s="1680"/>
      <c r="J88" s="2304" t="s">
        <v>2285</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58">
        <f>ROUND(C88*D89,0)</f>
        <v>90</v>
      </c>
      <c r="D89" s="2359">
        <f>'数据-取费表'!B48+'数据-取费表'!B49</f>
        <v>3.0499999999999999E-2</v>
      </c>
      <c r="E89" s="185" t="s">
        <v>1415</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4"/>
      <c r="D90" s="2359"/>
      <c r="E90" s="185" t="str">
        <f>IF(H88="-","土地取得成本中已包含该笔费用"," ")</f>
        <v xml:space="preserve"> </v>
      </c>
      <c r="F90" s="2144"/>
      <c r="G90" s="3426" t="s">
        <v>2126</v>
      </c>
      <c r="H90" s="3427"/>
      <c r="I90" s="1680"/>
      <c r="J90" s="2304" t="s">
        <v>2286</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8">
        <f>IF(H91="——",'成本法-住宅'!C33,I91)</f>
        <v>24865</v>
      </c>
      <c r="D91" s="2359"/>
      <c r="E91" s="3343" t="s">
        <v>1419</v>
      </c>
      <c r="F91" s="3344"/>
      <c r="G91" s="3344"/>
      <c r="H91" s="1684" t="s">
        <v>3589</v>
      </c>
      <c r="I91" s="1685">
        <f>住宅面积信息!C8</f>
        <v>24865</v>
      </c>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8">
        <f>ROUND((C87+C90+C91)*D92,0)</f>
        <v>2791</v>
      </c>
      <c r="D92" s="2365">
        <v>0.1</v>
      </c>
      <c r="E92" s="3343" t="s">
        <v>1422</v>
      </c>
      <c r="F92" s="3344"/>
      <c r="G92" s="3344"/>
      <c r="H92" s="3353"/>
      <c r="I92" s="1680"/>
      <c r="J92" s="2305" t="s">
        <v>2287</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8">
        <f ca="1">ROUND(D45*D93/(1+'数据-取费表'!C42),0)</f>
        <v>110</v>
      </c>
      <c r="D93" s="2359">
        <f>'数据-取费表'!B43</f>
        <v>6.000000000000001E-3</v>
      </c>
      <c r="E93" s="3343" t="s">
        <v>1406</v>
      </c>
      <c r="F93" s="3344"/>
      <c r="G93" s="3344"/>
      <c r="H93" s="335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4">
        <f>ROUND((C87+C90+C91)*D94,0)</f>
        <v>5581</v>
      </c>
      <c r="D94" s="2359">
        <v>0.2</v>
      </c>
      <c r="E94" s="3354" t="s">
        <v>1426</v>
      </c>
      <c r="F94" s="3355"/>
      <c r="G94" s="3355"/>
      <c r="H94" s="335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328</v>
      </c>
      <c r="B95" s="166" t="s">
        <v>1407</v>
      </c>
      <c r="C95" s="2350">
        <f ca="1">ROUND(C85-C86,0)</f>
        <v>-18088</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0">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1">
        <f ca="1">ROUND(IF(C95&lt;=0,0,IF(C96&gt;=200%,C95*60%-C86*35%,IF(C96&gt;=100%,C95*50%-C86*15%,IF(C96&gt;=50%,C95*40%-C86*5%,IF(C96&lt;50%,C95*30%,0))))),0)</f>
        <v>0</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327" t="s">
        <v>1428</v>
      </c>
      <c r="B100" s="3328"/>
      <c r="C100" s="3328"/>
      <c r="D100" s="3345"/>
      <c r="E100" s="3328" t="s">
        <v>1429</v>
      </c>
      <c r="F100" s="3328"/>
      <c r="G100" s="3328"/>
      <c r="H100" s="3345"/>
      <c r="I100" s="121"/>
    </row>
    <row r="101" spans="1:35" ht="18.75" customHeight="1">
      <c r="A101" s="3406" t="s">
        <v>1430</v>
      </c>
      <c r="B101" s="3407"/>
      <c r="C101" s="2367" t="str">
        <f>C4</f>
        <v>比较法-车位</v>
      </c>
      <c r="D101" s="2368" t="str">
        <f>D4</f>
        <v>收益法 (元)</v>
      </c>
      <c r="E101" s="3421" t="s">
        <v>1431</v>
      </c>
      <c r="F101" s="3377"/>
      <c r="G101" s="1686" t="s">
        <v>1432</v>
      </c>
      <c r="H101" s="2377">
        <f ca="1">H118</f>
        <v>16</v>
      </c>
      <c r="I101" s="121"/>
    </row>
    <row r="102" spans="1:35" ht="18.75" customHeight="1">
      <c r="A102" s="3379" t="s">
        <v>1433</v>
      </c>
      <c r="B102" s="2366" t="s">
        <v>1432</v>
      </c>
      <c r="C102" s="2367">
        <f ca="1">IF(D32="楼面单价",ROUND(C19,0),C19)</f>
        <v>19</v>
      </c>
      <c r="D102" s="2368">
        <f ca="1">IF(D32="楼面单价",ROUND(D19,0),D19)</f>
        <v>3</v>
      </c>
      <c r="E102" s="3421"/>
      <c r="F102" s="3377"/>
      <c r="G102" s="1686" t="s">
        <v>1434</v>
      </c>
      <c r="H102" s="2337">
        <f ca="1">I118</f>
        <v>5044</v>
      </c>
      <c r="I102" s="121"/>
    </row>
    <row r="103" spans="1:35" ht="42.75" customHeight="1">
      <c r="A103" s="3379"/>
      <c r="B103" s="2366" t="s">
        <v>1434</v>
      </c>
      <c r="C103" s="2369">
        <f ca="1">C20</f>
        <v>6047</v>
      </c>
      <c r="D103" s="2370">
        <f ca="1">D20</f>
        <v>1034</v>
      </c>
      <c r="E103" s="3414" t="s">
        <v>1435</v>
      </c>
      <c r="F103" s="3415"/>
      <c r="G103" s="1687" t="s">
        <v>1436</v>
      </c>
      <c r="H103" s="2377">
        <f>IF(D36="正常操作",H104+H105+H106,H105+H106)</f>
        <v>0</v>
      </c>
      <c r="I103" s="121"/>
    </row>
    <row r="104" spans="1:35" ht="18.75" customHeight="1">
      <c r="A104" s="3379" t="s">
        <v>1437</v>
      </c>
      <c r="B104" s="2371" t="s">
        <v>1432</v>
      </c>
      <c r="C104" s="2372">
        <f ca="1">H118</f>
        <v>16</v>
      </c>
      <c r="D104" s="2373"/>
      <c r="E104" s="1554" t="s">
        <v>1438</v>
      </c>
      <c r="F104" s="1547"/>
      <c r="G104" s="1687" t="s">
        <v>1436</v>
      </c>
      <c r="H104" s="2378">
        <f>IF(D36="同一抵押权人同一抵押物续贷",C36&amp;"（续贷，未扣减，详见特别提示）",C36)</f>
        <v>0</v>
      </c>
      <c r="I104" s="121"/>
    </row>
    <row r="105" spans="1:35" ht="18.75" customHeight="1" thickBot="1">
      <c r="A105" s="3380"/>
      <c r="B105" s="2374" t="s">
        <v>1434</v>
      </c>
      <c r="C105" s="2375">
        <f ca="1">I118</f>
        <v>5044</v>
      </c>
      <c r="D105" s="2376"/>
      <c r="E105" s="1554" t="s">
        <v>1439</v>
      </c>
      <c r="F105" s="1547"/>
      <c r="G105" s="1687" t="s">
        <v>1436</v>
      </c>
      <c r="H105" s="2379">
        <f>C37</f>
        <v>0</v>
      </c>
      <c r="I105" s="121"/>
    </row>
    <row r="106" spans="1:35" ht="18.75" customHeight="1">
      <c r="A106" s="646" t="s">
        <v>1440</v>
      </c>
      <c r="B106" s="646"/>
      <c r="C106" s="646"/>
      <c r="D106" s="646"/>
      <c r="E106" s="1688" t="s">
        <v>1441</v>
      </c>
      <c r="F106" s="1547"/>
      <c r="G106" s="1687" t="s">
        <v>1436</v>
      </c>
      <c r="H106" s="2379">
        <f>C38</f>
        <v>0</v>
      </c>
      <c r="I106" s="121"/>
    </row>
    <row r="107" spans="1:35" ht="18.75" customHeight="1">
      <c r="A107" s="121"/>
      <c r="B107" s="121"/>
      <c r="C107" s="121"/>
      <c r="D107" s="121"/>
      <c r="E107" s="3376" t="str">
        <f>IF(项目基本情况!E8="已注销","——","3.房地产抵押价值")</f>
        <v>3.房地产抵押价值</v>
      </c>
      <c r="F107" s="3377"/>
      <c r="G107" s="1686" t="s">
        <v>1432</v>
      </c>
      <c r="H107" s="2377">
        <f ca="1">IF(E107="——","——",H101-H103)</f>
        <v>16</v>
      </c>
      <c r="I107" s="121"/>
    </row>
    <row r="108" spans="1:35" ht="18.75" customHeight="1">
      <c r="A108" s="121"/>
      <c r="B108" s="121"/>
      <c r="C108" s="121"/>
      <c r="D108" s="121"/>
      <c r="E108" s="3376"/>
      <c r="F108" s="3377"/>
      <c r="G108" s="1686" t="s">
        <v>1434</v>
      </c>
      <c r="H108" s="2337">
        <f ca="1">IF(H107=H101,H102,ROUND(H107*10000/'数据-汇总表'!E3,0))</f>
        <v>5044</v>
      </c>
      <c r="I108" s="121"/>
    </row>
    <row r="109" spans="1:35" ht="18.75" customHeight="1">
      <c r="A109" s="121"/>
      <c r="B109" s="121"/>
      <c r="C109" s="121"/>
      <c r="D109" s="121"/>
      <c r="E109" s="3376" t="str">
        <f>IF(项目基本情况!E8="已注销及未注销","4.抵押担保权已注销时的房地产抵押价值",IF(项目基本情况!E8="已注销","3.抵押担保权已注销时的房地产抵押价值","——"))</f>
        <v>——</v>
      </c>
      <c r="F109" s="3377"/>
      <c r="G109" s="1686" t="s">
        <v>1432</v>
      </c>
      <c r="H109" s="2380" t="str">
        <f>IF(E109="——","——",H101-H105-H106)</f>
        <v>——</v>
      </c>
      <c r="I109" s="121"/>
    </row>
    <row r="110" spans="1:35" ht="18.75" customHeight="1">
      <c r="A110" s="121"/>
      <c r="B110" s="121"/>
      <c r="C110" s="121"/>
      <c r="D110" s="121"/>
      <c r="E110" s="3376"/>
      <c r="F110" s="3377"/>
      <c r="G110" s="1686" t="s">
        <v>1434</v>
      </c>
      <c r="H110" s="2337" t="str">
        <f>IF(H109="——","——",ROUND(H109*10000/'数据-汇总表'!E3,0))</f>
        <v>——</v>
      </c>
      <c r="I110" s="121"/>
    </row>
    <row r="111" spans="1:35" ht="18.75" customHeight="1">
      <c r="A111" s="121"/>
      <c r="B111" s="121"/>
      <c r="C111" s="121"/>
      <c r="D111" s="121"/>
      <c r="E111" s="3408" t="str">
        <f>IF(项目基本情况!E9="抵押净值",IF(OR(项目基本情况!E8="已注销",项目基本情况!E8="房地产抵押价值"),"4.抵押净值","5.抵押净值"),"——")</f>
        <v>——</v>
      </c>
      <c r="F111" s="3378"/>
      <c r="G111" s="1686" t="s">
        <v>1432</v>
      </c>
      <c r="H111" s="2377" t="str">
        <f>IF(E111="——","——",N59)</f>
        <v>——</v>
      </c>
      <c r="I111" s="121"/>
    </row>
    <row r="112" spans="1:35" ht="18.75" customHeight="1" thickBot="1">
      <c r="A112" s="121"/>
      <c r="B112" s="121"/>
      <c r="C112" s="121"/>
      <c r="D112" s="121"/>
      <c r="E112" s="3409"/>
      <c r="F112" s="3410"/>
      <c r="G112" s="1689" t="s">
        <v>1434</v>
      </c>
      <c r="H112" s="2381" t="str">
        <f>IF(E111="——","——",N61)</f>
        <v>——</v>
      </c>
      <c r="I112" s="121"/>
    </row>
    <row r="113" spans="1:27" ht="18.75" customHeight="1">
      <c r="A113" s="121"/>
      <c r="B113" s="121"/>
      <c r="C113" s="121"/>
      <c r="D113" s="121"/>
      <c r="E113" s="3381" t="s">
        <v>1440</v>
      </c>
      <c r="F113" s="3381"/>
      <c r="G113" s="3381"/>
      <c r="H113" s="3381"/>
      <c r="I113" s="121"/>
    </row>
    <row r="114" spans="1:27" ht="3.75" customHeight="1">
      <c r="A114" s="646"/>
      <c r="B114" s="646"/>
      <c r="C114" s="646"/>
      <c r="D114" s="646"/>
      <c r="E114" s="1670"/>
      <c r="F114" s="1670"/>
      <c r="G114" s="1670"/>
      <c r="H114" s="1670"/>
      <c r="I114" s="646"/>
    </row>
    <row r="115" spans="1:27" ht="18.75" customHeight="1">
      <c r="A115" s="3391" t="s">
        <v>1442</v>
      </c>
      <c r="B115" s="3392"/>
      <c r="C115" s="3392"/>
      <c r="D115" s="3392"/>
      <c r="E115" s="3392"/>
      <c r="F115" s="3392"/>
      <c r="G115" s="3392"/>
      <c r="H115" s="3392"/>
      <c r="I115" s="3393"/>
    </row>
    <row r="116" spans="1:27" ht="27" customHeight="1">
      <c r="A116" s="3347" t="s">
        <v>1443</v>
      </c>
      <c r="B116" s="3382" t="s">
        <v>1444</v>
      </c>
      <c r="C116" s="3382" t="s">
        <v>1445</v>
      </c>
      <c r="D116" s="3395" t="s">
        <v>1446</v>
      </c>
      <c r="E116" s="3396"/>
      <c r="F116" s="3390" t="s">
        <v>1447</v>
      </c>
      <c r="G116" s="3390"/>
      <c r="H116" s="3347" t="s">
        <v>1448</v>
      </c>
      <c r="I116" s="3347"/>
    </row>
    <row r="117" spans="1:27" ht="18.75" customHeight="1">
      <c r="A117" s="3347"/>
      <c r="B117" s="3383"/>
      <c r="C117" s="3383"/>
      <c r="D117" s="2146" t="s">
        <v>1449</v>
      </c>
      <c r="E117" s="2146" t="s">
        <v>1450</v>
      </c>
      <c r="F117" s="2146" t="s">
        <v>1449</v>
      </c>
      <c r="G117" s="2146" t="s">
        <v>1451</v>
      </c>
      <c r="H117" s="2146" t="s">
        <v>1449</v>
      </c>
      <c r="I117" s="2146" t="s">
        <v>1451</v>
      </c>
    </row>
    <row r="118" spans="1:27" ht="24.75" customHeight="1">
      <c r="A118" s="2382" t="str">
        <f>项目基本情况!S2</f>
        <v>北京市房山区揽秀南街15号院5号楼5-1-4等47套住宅、13号院10幢-1-1006等1147个地下车位房地产</v>
      </c>
      <c r="B118" s="2146">
        <f>M18</f>
        <v>30.74</v>
      </c>
      <c r="C118" s="2146">
        <f>M19</f>
        <v>0</v>
      </c>
      <c r="D118" s="2146">
        <f>ROUND(IF(D32="总价",C34,E118*B118/10000),0)</f>
        <v>0</v>
      </c>
      <c r="E118" s="2146">
        <f>ROUND(IF(C33="自定义",IF(D32="楼面单价",C34,D118*10000/B118),I118-G118),0)</f>
        <v>0</v>
      </c>
      <c r="F118" s="2146">
        <f>ROUND(IF(D32="总价",C35,G118*B118/10000),0)</f>
        <v>0</v>
      </c>
      <c r="G118" s="2146">
        <f>ROUND(IF(D32="楼面单价",C35,F118*10000/B118),0)</f>
        <v>0</v>
      </c>
      <c r="H118" s="2146">
        <f ca="1">ROUND(IF(D32="总价",C32,I118*B118/10000),0)</f>
        <v>16</v>
      </c>
      <c r="I118" s="2146">
        <f ca="1">ROUND(IF(D32="楼面单价",C32,H118*10000/B118),0)</f>
        <v>5044</v>
      </c>
    </row>
    <row r="119" spans="1:27" ht="18.75" customHeight="1">
      <c r="A119" s="3347" t="s">
        <v>1452</v>
      </c>
      <c r="B119" s="3347"/>
      <c r="C119" s="3347"/>
      <c r="D119" s="3387" t="str">
        <f>NUMBERSTRING(INT(D118*10000),2)&amp;"元整"</f>
        <v>零元整</v>
      </c>
      <c r="E119" s="3389"/>
      <c r="F119" s="3387" t="str">
        <f>NUMBERSTRING(INT(F118*10000),2)&amp;"元整"</f>
        <v>零元整</v>
      </c>
      <c r="G119" s="3389"/>
      <c r="H119" s="3387" t="str">
        <f ca="1">NUMBERSTRING(INT(H118*10000),2)&amp;"元整"</f>
        <v>壹拾陆万元整</v>
      </c>
      <c r="I119" s="3389"/>
    </row>
    <row r="120" spans="1:27" ht="18.75" customHeight="1">
      <c r="A120" s="3411" t="str">
        <f>IF(项目基本情况!B9="房地产市场价值","",MID(E103,3,LEN(E103)-2))</f>
        <v>估价师知悉的法定优先受偿款</v>
      </c>
      <c r="B120" s="3412"/>
      <c r="C120" s="3413"/>
      <c r="D120" s="3411">
        <f>H103</f>
        <v>0</v>
      </c>
      <c r="E120" s="3412"/>
      <c r="F120" s="3412"/>
      <c r="G120" s="3412"/>
      <c r="H120" s="3412"/>
      <c r="I120" s="3413"/>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87" t="s">
        <v>1452</v>
      </c>
      <c r="B121" s="3388"/>
      <c r="C121" s="3389"/>
      <c r="D121" s="3387" t="str">
        <f>IF(D120=0,"零元整",NUMBERSTRING(INT(D120*10000),2)&amp;"元整")</f>
        <v>零元整</v>
      </c>
      <c r="E121" s="3388"/>
      <c r="F121" s="3388"/>
      <c r="G121" s="3388"/>
      <c r="H121" s="3388"/>
      <c r="I121" s="3389"/>
      <c r="AA121" s="684"/>
    </row>
    <row r="122" spans="1:27" ht="18.75" customHeight="1">
      <c r="A122" s="3378" t="str">
        <f>IF(项目基本情况!B9="房地产市场价值","",MID(E107,3,LEN(E107)-2))</f>
        <v>房地产抵押价值</v>
      </c>
      <c r="B122" s="3378"/>
      <c r="C122" s="3378"/>
      <c r="D122" s="3411">
        <f ca="1">H107</f>
        <v>16</v>
      </c>
      <c r="E122" s="3412"/>
      <c r="F122" s="3412"/>
      <c r="G122" s="3412"/>
      <c r="H122" s="3412"/>
      <c r="I122" s="3413"/>
      <c r="AA122" s="684"/>
    </row>
    <row r="123" spans="1:27" ht="18.75" customHeight="1">
      <c r="A123" s="3347" t="s">
        <v>1452</v>
      </c>
      <c r="B123" s="3347"/>
      <c r="C123" s="3347"/>
      <c r="D123" s="3387" t="str">
        <f ca="1">NUMBERSTRING(INT(D122*10000),2)&amp;"元整"</f>
        <v>壹拾陆万元整</v>
      </c>
      <c r="E123" s="3388"/>
      <c r="F123" s="3388"/>
      <c r="G123" s="3388"/>
      <c r="H123" s="3388"/>
      <c r="I123" s="3389"/>
      <c r="AA123" s="684"/>
    </row>
    <row r="124" spans="1:27" ht="18.75" customHeight="1">
      <c r="A124" s="3378" t="str">
        <f>IF(项目基本情况!B9="房地产市场价值","",MID(E109,3,LEN(E109)-2))</f>
        <v/>
      </c>
      <c r="B124" s="3378"/>
      <c r="C124" s="3378"/>
      <c r="D124" s="3411" t="str">
        <f>H109</f>
        <v>——</v>
      </c>
      <c r="E124" s="3412"/>
      <c r="F124" s="3412"/>
      <c r="G124" s="3412"/>
      <c r="H124" s="3412"/>
      <c r="I124" s="3413"/>
      <c r="AA124" s="684"/>
    </row>
    <row r="125" spans="1:27" ht="18.75" customHeight="1">
      <c r="A125" s="3347" t="s">
        <v>1452</v>
      </c>
      <c r="B125" s="3347"/>
      <c r="C125" s="3347"/>
      <c r="D125" s="3387" t="e">
        <f>NUMBERSTRING(INT(D124*10000),2)&amp;"元整"</f>
        <v>#VALUE!</v>
      </c>
      <c r="E125" s="3388"/>
      <c r="F125" s="3388"/>
      <c r="G125" s="3388"/>
      <c r="H125" s="3388"/>
      <c r="I125" s="3389"/>
      <c r="AA125" s="684"/>
    </row>
    <row r="126" spans="1:27" ht="18.75" customHeight="1">
      <c r="A126" s="3378" t="str">
        <f>IF(项目基本情况!B9="房地产市场价值","",MID(E111,3,LEN(E111)-2))</f>
        <v/>
      </c>
      <c r="B126" s="3378"/>
      <c r="C126" s="3378"/>
      <c r="D126" s="3411" t="str">
        <f>H111</f>
        <v>——</v>
      </c>
      <c r="E126" s="3412"/>
      <c r="F126" s="3412"/>
      <c r="G126" s="3412"/>
      <c r="H126" s="3412"/>
      <c r="I126" s="3413"/>
      <c r="AA126" s="684"/>
    </row>
    <row r="127" spans="1:27" ht="18.75" customHeight="1">
      <c r="A127" s="3347" t="s">
        <v>1452</v>
      </c>
      <c r="B127" s="3347"/>
      <c r="C127" s="3347"/>
      <c r="D127" s="3387" t="e">
        <f>NUMBERSTRING(INT(D126*10000),2)&amp;"元整"</f>
        <v>#VALUE!</v>
      </c>
      <c r="E127" s="3388"/>
      <c r="F127" s="3388"/>
      <c r="G127" s="3388"/>
      <c r="H127" s="3388"/>
      <c r="I127" s="3389"/>
      <c r="AA127" s="684"/>
    </row>
    <row r="128" spans="1:27" ht="21.75" customHeight="1">
      <c r="A128" s="3394" t="s">
        <v>1453</v>
      </c>
      <c r="B128" s="3394"/>
      <c r="C128" s="3394"/>
      <c r="D128" s="3394"/>
      <c r="E128" s="3394"/>
      <c r="F128" s="3394"/>
      <c r="G128" s="3394"/>
      <c r="H128" s="3394"/>
      <c r="I128" s="3394"/>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kV9kLREzAi3mXxAeBvmQp7SfowU2jDqKLMTaXFSqJbPQF6DHQZTwo5hVyh5lAUP+7KMsN/38lTFJ6R4OwBm6vg==" saltValue="ajZnTwClJQocfM99BBfsyA==" spinCount="100000"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7" type="noConversion"/>
  <conditionalFormatting sqref="C90">
    <cfRule type="expression" dxfId="70" priority="3" stopIfTrue="1">
      <formula>$H$88&lt;&gt;"仅含出让金"</formula>
    </cfRule>
  </conditionalFormatting>
  <conditionalFormatting sqref="C91">
    <cfRule type="expression" dxfId="69" priority="2" stopIfTrue="1">
      <formula>$H$91="由企业提供"</formula>
    </cfRule>
  </conditionalFormatting>
  <conditionalFormatting sqref="C5:D7">
    <cfRule type="cellIs" dxfId="68" priority="6" stopIfTrue="1" operator="equal">
      <formula>25</formula>
    </cfRule>
  </conditionalFormatting>
  <conditionalFormatting sqref="C8:D13">
    <cfRule type="cellIs" dxfId="67" priority="5" stopIfTrue="1" operator="equal">
      <formula>15</formula>
    </cfRule>
  </conditionalFormatting>
  <conditionalFormatting sqref="C14:D16">
    <cfRule type="cellIs" dxfId="66" priority="4" stopIfTrue="1" operator="equal">
      <formula>30</formula>
    </cfRule>
  </conditionalFormatting>
  <conditionalFormatting sqref="E36">
    <cfRule type="expression" dxfId="65" priority="1" stopIfTrue="1">
      <formula>$D$36="同一抵押权人同一抵押物续贷"</formula>
    </cfRule>
  </conditionalFormatting>
  <dataValidations count="23">
    <dataValidation type="list" allowBlank="1" showInputMessage="1" showErrorMessage="1" sqref="D92" xr:uid="{00000000-0002-0000-1C00-000000000000}">
      <formula1>"0,5%,10%"</formula1>
    </dataValidation>
    <dataValidation type="list" allowBlank="1" showInputMessage="1" showErrorMessage="1" sqref="H59" xr:uid="{00000000-0002-0000-1C00-000001000000}">
      <formula1>"非个人房产,个人住宅（满五唯一有凭证）,个人其他（有凭证）,个人其他（无凭证）"</formula1>
    </dataValidation>
    <dataValidation type="list" allowBlank="1" showInputMessage="1" showErrorMessage="1" sqref="E103" xr:uid="{00000000-0002-0000-1C00-000002000000}">
      <formula1>"2.估价师知悉的法定优先受偿款,2.估价师知悉的除抵押担保权以外的法定优先受偿款"</formula1>
    </dataValidation>
    <dataValidation type="list" allowBlank="1" showInputMessage="1" showErrorMessage="1" sqref="G77" xr:uid="{00000000-0002-0000-1C00-000003000000}">
      <formula1>"个人住宅,2016年5月1日前购买,2016年5月1日后购买"</formula1>
    </dataValidation>
    <dataValidation type="list" allowBlank="1" showInputMessage="1" showErrorMessage="1" sqref="C1" xr:uid="{00000000-0002-0000-1C00-000004000000}">
      <formula1>项目类型</formula1>
    </dataValidation>
    <dataValidation type="list" allowBlank="1" showInputMessage="1" showErrorMessage="1" sqref="I1" xr:uid="{00000000-0002-0000-1C00-000005000000}">
      <formula1>"项目局部,项目全部,——"</formula1>
    </dataValidation>
    <dataValidation type="list" showInputMessage="1" showErrorMessage="1" sqref="G1" xr:uid="{00000000-0002-0000-1C00-000006000000}">
      <formula1>"现房,在建,土地,-"</formula1>
    </dataValidation>
    <dataValidation type="list" allowBlank="1" showInputMessage="1" showErrorMessage="1" sqref="C129" xr:uid="{00000000-0002-0000-1C00-000007000000}">
      <formula1>"无,有"</formula1>
    </dataValidation>
    <dataValidation type="list" allowBlank="1" showInputMessage="1" showErrorMessage="1" sqref="F116:G116" xr:uid="{00000000-0002-0000-1C00-000008000000}">
      <formula1>"建筑物价值,在建建筑物价值,建筑物/在建建筑物价值"</formula1>
    </dataValidation>
    <dataValidation type="list" allowBlank="1" showInputMessage="1" showErrorMessage="1" sqref="D116:E116" xr:uid="{00000000-0002-0000-1C00-000009000000}">
      <formula1>"出让国有建设用地使用权价值,划拨国有建设用地使用权价值"</formula1>
    </dataValidation>
    <dataValidation type="list" allowBlank="1" showInputMessage="1" showErrorMessage="1" sqref="C116:C117" xr:uid="{00000000-0002-0000-1C00-00000A000000}">
      <formula1>"土地面积,分摊土地面积,（分摊）土地面积"</formula1>
    </dataValidation>
    <dataValidation type="list" allowBlank="1" showInputMessage="1" showErrorMessage="1" sqref="B116:B117" xr:uid="{00000000-0002-0000-1C00-00000B000000}">
      <formula1>"建筑面积,规划建筑面积,（规划）建筑面积"</formula1>
    </dataValidation>
    <dataValidation type="list" allowBlank="1" showInputMessage="1" showErrorMessage="1" sqref="D36" xr:uid="{00000000-0002-0000-1C00-00000C000000}">
      <formula1>"同一抵押权人同一抵押物续贷,注销后放款,正常操作"</formula1>
    </dataValidation>
    <dataValidation type="list" allowBlank="1" showInputMessage="1" showErrorMessage="1" sqref="F75" xr:uid="{00000000-0002-0000-1C00-00000D000000}">
      <formula1>"买卖合同,购房发票"</formula1>
    </dataValidation>
    <dataValidation type="list" allowBlank="1" showInputMessage="1" showErrorMessage="1" sqref="H88" xr:uid="{00000000-0002-0000-1C00-00000E000000}">
      <formula1>"仅含出让金,出让金+开发费"</formula1>
    </dataValidation>
    <dataValidation type="list" allowBlank="1" showInputMessage="1" showErrorMessage="1" sqref="H91" xr:uid="{00000000-0002-0000-1C00-00000F000000}">
      <formula1>"企业提供（在右侧录入）,——"</formula1>
    </dataValidation>
    <dataValidation type="list" allowBlank="1" showInputMessage="1" showErrorMessage="1" sqref="C33" xr:uid="{00000000-0002-0000-1C00-000010000000}">
      <formula1>"成本比率,收益比率,自定义"</formula1>
    </dataValidation>
    <dataValidation type="list" allowBlank="1" showInputMessage="1" showErrorMessage="1" sqref="F45" xr:uid="{00000000-0002-0000-1C00-000011000000}">
      <formula1>"100%,70%,56%"</formula1>
    </dataValidation>
    <dataValidation type="list" allowBlank="1" showInputMessage="1" showErrorMessage="1" sqref="D32" xr:uid="{00000000-0002-0000-1C00-000012000000}">
      <formula1>"总价,楼面单价"</formula1>
    </dataValidation>
    <dataValidation type="list" allowBlank="1" showInputMessage="1" showErrorMessage="1" sqref="H58" xr:uid="{00000000-0002-0000-1C00-000013000000}">
      <formula1>"转让取得,自行开发建设"</formula1>
    </dataValidation>
    <dataValidation type="list" allowBlank="1" showInputMessage="1" showErrorMessage="1" sqref="H48" xr:uid="{00000000-0002-0000-1C00-000014000000}">
      <formula1>"情况1,情况2,情况3,情况4"</formula1>
    </dataValidation>
    <dataValidation type="list" allowBlank="1" showInputMessage="1" showErrorMessage="1" sqref="H55:H56" xr:uid="{00000000-0002-0000-1C00-000015000000}">
      <formula1>"个人住宅,正常"</formula1>
    </dataValidation>
    <dataValidation type="list" allowBlank="1" showInputMessage="1" showErrorMessage="1" sqref="C4:D4 D33" xr:uid="{00000000-0002-0000-1C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D1" sqref="D1"/>
    </sheetView>
  </sheetViews>
  <sheetFormatPr defaultColWidth="9" defaultRowHeight="13.8"/>
  <cols>
    <col min="1" max="1" width="10.44140625" style="347" customWidth="1"/>
    <col min="2" max="2" width="15.77734375" style="347" customWidth="1"/>
    <col min="3" max="3" width="19.109375" style="347" customWidth="1"/>
    <col min="4" max="4" width="12.21875" style="347" customWidth="1"/>
    <col min="5" max="5" width="17.88671875" style="347" customWidth="1"/>
    <col min="6" max="6" width="12.21875" style="347" customWidth="1"/>
    <col min="7" max="7" width="17.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3329</v>
      </c>
      <c r="C1" s="1140" t="s">
        <v>1662</v>
      </c>
      <c r="D1" s="1141" t="s">
        <v>6388</v>
      </c>
      <c r="E1" s="3127" t="s">
        <v>3487</v>
      </c>
      <c r="F1" s="1734" t="s">
        <v>3488</v>
      </c>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f>IF(E1="项目模式",IF(C2="——",IF(B37="元/平方米",ROUND(C39*D3/10000,0),ROUND(F3*C39/10000,0)),IF(B37="元/平方米",ROUND(C39*D3/10000,0),ROUND(F3*C39/10000,0))-D2),IF(E1="单套模式",IF(C2="——",IF(B37="元/平方米",ROUND(C39*D3/10000,0),ROUND(F3*C39/10000,0)),IF(B37="元/平方米",ROUND(C39*D3/10000,0),ROUND(F3*C39/10000,0))-D2)))</f>
        <v>19</v>
      </c>
      <c r="C2" s="1736" t="s">
        <v>43</v>
      </c>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f>IF(AND(C2="——",B37="元/平方米"),C39,ROUND(B2*10000/D3,0))</f>
        <v>6047</v>
      </c>
      <c r="C3" s="344" t="s">
        <v>1768</v>
      </c>
      <c r="D3" s="343">
        <f>SUMIF('数据-汇总表'!$C19:$C33,D1,'数据-汇总表'!$E19:$E33)</f>
        <v>30.74</v>
      </c>
      <c r="E3" s="344" t="s">
        <v>1832</v>
      </c>
      <c r="F3" s="343">
        <f>SUMIF('数据-取费表'!A5:A15,D1,'数据-取费表'!AH5:AH15)</f>
        <v>1</v>
      </c>
      <c r="G3" s="855"/>
      <c r="H3" s="855"/>
      <c r="I3" s="855"/>
      <c r="J3" s="855"/>
      <c r="K3" s="857"/>
      <c r="L3" s="2499"/>
      <c r="M3" s="2500">
        <f>IF(C2="——",IF(B37="元/平方米",ROUND(C39*D3/10000,0),ROUND(F3*C39/10000,0)),IF(B37="元/平方米",ROUND(C39*D3/10000,0),ROUND(F3*C39/10000,0))-D2)</f>
        <v>19</v>
      </c>
      <c r="N3" s="2500"/>
      <c r="O3" s="2500"/>
      <c r="P3" s="1086"/>
      <c r="Q3" s="341"/>
      <c r="R3" s="341"/>
      <c r="S3" s="341"/>
      <c r="T3" s="341"/>
      <c r="U3" s="341"/>
      <c r="V3" s="341"/>
      <c r="W3" s="341"/>
      <c r="X3" s="341"/>
      <c r="Y3" s="341"/>
      <c r="Z3" s="341"/>
      <c r="AA3" s="341"/>
      <c r="AB3" s="676"/>
      <c r="AC3" s="663"/>
    </row>
    <row r="4" spans="1:29" ht="14.4">
      <c r="A4" s="345" t="s">
        <v>1769</v>
      </c>
      <c r="B4" s="346"/>
      <c r="C4" s="3449" t="s">
        <v>1770</v>
      </c>
      <c r="D4" s="3450"/>
      <c r="E4" s="3451" t="s">
        <v>1771</v>
      </c>
      <c r="F4" s="3452"/>
      <c r="G4" s="3449" t="s">
        <v>1772</v>
      </c>
      <c r="H4" s="3450"/>
      <c r="I4" s="3449" t="s">
        <v>1773</v>
      </c>
      <c r="J4" s="3450"/>
      <c r="K4" s="537" t="s">
        <v>1774</v>
      </c>
      <c r="L4" s="2482"/>
      <c r="M4" s="2483"/>
      <c r="N4" s="2483"/>
      <c r="O4" s="2483"/>
      <c r="P4" s="3453" t="s">
        <v>1775</v>
      </c>
      <c r="Q4" s="3454"/>
      <c r="R4" s="3459" t="s">
        <v>1771</v>
      </c>
      <c r="S4" s="3460"/>
      <c r="T4" s="3459" t="s">
        <v>1772</v>
      </c>
      <c r="U4" s="3460"/>
      <c r="V4" s="3435" t="s">
        <v>1773</v>
      </c>
      <c r="W4" s="3435"/>
      <c r="X4" s="1264"/>
      <c r="Y4" s="3459" t="s">
        <v>1775</v>
      </c>
      <c r="Z4" s="3460"/>
      <c r="AA4" s="3446" t="s">
        <v>1771</v>
      </c>
      <c r="AB4" s="3447" t="s">
        <v>1772</v>
      </c>
      <c r="AC4" s="3446" t="s">
        <v>1773</v>
      </c>
    </row>
    <row r="5" spans="1:29">
      <c r="A5" s="348"/>
      <c r="B5" s="349"/>
      <c r="C5" s="3478" t="s">
        <v>1673</v>
      </c>
      <c r="D5" s="3479"/>
      <c r="E5" s="3480" t="s">
        <v>1674</v>
      </c>
      <c r="F5" s="3481"/>
      <c r="G5" s="3478" t="s">
        <v>1675</v>
      </c>
      <c r="H5" s="3479"/>
      <c r="I5" s="3478" t="s">
        <v>1676</v>
      </c>
      <c r="J5" s="3479"/>
      <c r="K5" s="537"/>
      <c r="L5" s="2482"/>
      <c r="M5" s="2483"/>
      <c r="N5" s="2483"/>
      <c r="O5" s="2483"/>
      <c r="P5" s="3455"/>
      <c r="Q5" s="3456"/>
      <c r="R5" s="3461"/>
      <c r="S5" s="3462"/>
      <c r="T5" s="3461"/>
      <c r="U5" s="3462"/>
      <c r="V5" s="3435"/>
      <c r="W5" s="3435"/>
      <c r="X5" s="1264"/>
      <c r="Y5" s="3461"/>
      <c r="Z5" s="3462"/>
      <c r="AA5" s="3447"/>
      <c r="AB5" s="3447"/>
      <c r="AC5" s="3447"/>
    </row>
    <row r="6" spans="1:29" ht="15" thickBot="1">
      <c r="A6" s="350"/>
      <c r="B6" s="351"/>
      <c r="C6" s="3465" t="s">
        <v>1677</v>
      </c>
      <c r="D6" s="3466"/>
      <c r="E6" s="3472" t="s">
        <v>1677</v>
      </c>
      <c r="F6" s="3473"/>
      <c r="G6" s="3465" t="s">
        <v>1677</v>
      </c>
      <c r="H6" s="3466"/>
      <c r="I6" s="3465" t="s">
        <v>1677</v>
      </c>
      <c r="J6" s="3466"/>
      <c r="K6" s="537" t="s">
        <v>1678</v>
      </c>
      <c r="L6" s="2482"/>
      <c r="M6" s="2483"/>
      <c r="N6" s="2483"/>
      <c r="O6" s="2483"/>
      <c r="P6" s="3457"/>
      <c r="Q6" s="3458"/>
      <c r="R6" s="3461"/>
      <c r="S6" s="3462"/>
      <c r="T6" s="3463"/>
      <c r="U6" s="3464"/>
      <c r="V6" s="3435"/>
      <c r="W6" s="3435"/>
      <c r="X6" s="1264"/>
      <c r="Y6" s="3463"/>
      <c r="Z6" s="3464"/>
      <c r="AA6" s="3448"/>
      <c r="AB6" s="3448"/>
      <c r="AC6" s="3448"/>
    </row>
    <row r="7" spans="1:29" s="102" customFormat="1" ht="15" thickBot="1">
      <c r="A7" s="352" t="s">
        <v>1679</v>
      </c>
      <c r="B7" s="353"/>
      <c r="C7" s="354">
        <f>'数据-取费表'!B2</f>
        <v>45826</v>
      </c>
      <c r="D7" s="355">
        <v>100</v>
      </c>
      <c r="E7" s="356">
        <v>45804</v>
      </c>
      <c r="F7" s="357">
        <f>SUMIF(48:48,YEAR(E7)&amp;"-"&amp;MONTH(E7),49:49)</f>
        <v>100</v>
      </c>
      <c r="G7" s="356">
        <v>45804</v>
      </c>
      <c r="H7" s="355">
        <f>SUMIF(48:48,YEAR(G7)&amp;"-"&amp;MONTH(G7),49:49)</f>
        <v>100</v>
      </c>
      <c r="I7" s="356">
        <v>45742</v>
      </c>
      <c r="J7" s="355">
        <f>SUMIF(48:48,YEAR(I7)&amp;"-"&amp;MONTH(I7),49:49)</f>
        <v>100</v>
      </c>
      <c r="K7" s="38"/>
      <c r="L7" s="2484"/>
      <c r="M7" s="2436"/>
      <c r="N7" s="2436"/>
      <c r="O7" s="2436"/>
      <c r="P7" s="3469" t="s">
        <v>1680</v>
      </c>
      <c r="Q7" s="3471"/>
      <c r="R7" s="664" t="s">
        <v>14</v>
      </c>
      <c r="S7" s="665">
        <f t="shared" ref="S7:S14" si="0">F7</f>
        <v>100</v>
      </c>
      <c r="T7" s="664" t="s">
        <v>14</v>
      </c>
      <c r="U7" s="665">
        <f t="shared" ref="U7:U14" si="1">H7</f>
        <v>100</v>
      </c>
      <c r="V7" s="664" t="s">
        <v>14</v>
      </c>
      <c r="W7" s="665">
        <f t="shared" ref="W7:W14" si="2">J7</f>
        <v>100</v>
      </c>
      <c r="X7" s="666"/>
      <c r="Y7" s="3469" t="s">
        <v>1680</v>
      </c>
      <c r="Z7" s="3470"/>
      <c r="AA7" s="50">
        <f>D7/F7</f>
        <v>1</v>
      </c>
      <c r="AB7" s="50">
        <f>D7/H7</f>
        <v>1</v>
      </c>
      <c r="AC7" s="50">
        <f>D7/J7</f>
        <v>1</v>
      </c>
    </row>
    <row r="8" spans="1:29" s="102" customFormat="1" ht="15" thickBot="1">
      <c r="A8" s="352" t="s">
        <v>1681</v>
      </c>
      <c r="B8" s="353"/>
      <c r="C8" s="358" t="s">
        <v>3489</v>
      </c>
      <c r="D8" s="355">
        <v>100</v>
      </c>
      <c r="E8" s="358" t="s">
        <v>3489</v>
      </c>
      <c r="F8" s="357">
        <f>SUMIF(51:51,E8,52:52)-SUMIF(51:51,C8,52:52)+100</f>
        <v>100</v>
      </c>
      <c r="G8" s="358" t="s">
        <v>3489</v>
      </c>
      <c r="H8" s="355">
        <f>SUMIF(51:51,G8,52:52)-SUMIF(51:51,C8,52:52)+100</f>
        <v>100</v>
      </c>
      <c r="I8" s="358" t="s">
        <v>3489</v>
      </c>
      <c r="J8" s="355">
        <f>SUMIF(51:51,I8,52:52)-SUMIF(51:51,C8,52:52)+100</f>
        <v>100</v>
      </c>
      <c r="K8" s="38"/>
      <c r="L8" s="2484"/>
      <c r="M8" s="2436"/>
      <c r="N8" s="2436"/>
      <c r="O8" s="2436"/>
      <c r="P8" s="3469" t="s">
        <v>1683</v>
      </c>
      <c r="Q8" s="3470"/>
      <c r="R8" s="664" t="s">
        <v>14</v>
      </c>
      <c r="S8" s="665">
        <f t="shared" si="0"/>
        <v>100</v>
      </c>
      <c r="T8" s="664" t="s">
        <v>14</v>
      </c>
      <c r="U8" s="665">
        <f t="shared" si="1"/>
        <v>100</v>
      </c>
      <c r="V8" s="664" t="s">
        <v>14</v>
      </c>
      <c r="W8" s="665">
        <f t="shared" si="2"/>
        <v>100</v>
      </c>
      <c r="X8" s="666"/>
      <c r="Y8" s="3469" t="s">
        <v>1683</v>
      </c>
      <c r="Z8" s="347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434" t="s">
        <v>1686</v>
      </c>
      <c r="Q9" s="530" t="str">
        <f t="shared" ref="Q9:Q14" si="6">B9</f>
        <v>用途</v>
      </c>
      <c r="R9" s="664" t="s">
        <v>14</v>
      </c>
      <c r="S9" s="665">
        <f t="shared" si="0"/>
        <v>100</v>
      </c>
      <c r="T9" s="664" t="s">
        <v>14</v>
      </c>
      <c r="U9" s="665">
        <f t="shared" si="1"/>
        <v>100</v>
      </c>
      <c r="V9" s="664" t="s">
        <v>14</v>
      </c>
      <c r="W9" s="665">
        <f t="shared" si="2"/>
        <v>100</v>
      </c>
      <c r="X9" s="666"/>
      <c r="Y9" s="3334"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434"/>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34"/>
      <c r="Q11" s="530">
        <f t="shared" si="6"/>
        <v>111</v>
      </c>
      <c r="R11" s="664" t="s">
        <v>14</v>
      </c>
      <c r="S11" s="665">
        <f t="shared" si="0"/>
        <v>100</v>
      </c>
      <c r="T11" s="664" t="s">
        <v>14</v>
      </c>
      <c r="U11" s="665">
        <f t="shared" si="1"/>
        <v>100</v>
      </c>
      <c r="V11" s="664" t="s">
        <v>14</v>
      </c>
      <c r="W11" s="665">
        <f t="shared" si="2"/>
        <v>100</v>
      </c>
      <c r="X11" s="666"/>
      <c r="Y11" s="333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434"/>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34"/>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69">
      <c r="A14" s="345" t="s">
        <v>1690</v>
      </c>
      <c r="B14" s="554" t="s">
        <v>1833</v>
      </c>
      <c r="C14" s="1815"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v>2</v>
      </c>
      <c r="L14" s="2488"/>
      <c r="M14" s="2483"/>
      <c r="N14" s="2483"/>
      <c r="O14" s="2483"/>
      <c r="P14" s="3436" t="s">
        <v>1691</v>
      </c>
      <c r="Q14" s="1262" t="str">
        <f t="shared" si="6"/>
        <v>交通便捷度</v>
      </c>
      <c r="R14" s="667" t="s">
        <v>14</v>
      </c>
      <c r="S14" s="668">
        <f t="shared" si="0"/>
        <v>100</v>
      </c>
      <c r="T14" s="667" t="s">
        <v>14</v>
      </c>
      <c r="U14" s="668">
        <f t="shared" si="1"/>
        <v>100</v>
      </c>
      <c r="V14" s="667" t="s">
        <v>14</v>
      </c>
      <c r="W14" s="668">
        <f t="shared" si="2"/>
        <v>100</v>
      </c>
      <c r="X14" s="1264"/>
      <c r="Y14" s="3436" t="s">
        <v>1691</v>
      </c>
      <c r="Z14" s="1263" t="str">
        <f t="shared" si="7"/>
        <v>交通便捷度</v>
      </c>
      <c r="AA14" s="1263">
        <f t="shared" si="3"/>
        <v>1</v>
      </c>
      <c r="AB14" s="1263">
        <f t="shared" si="4"/>
        <v>1</v>
      </c>
      <c r="AC14" s="1263">
        <f t="shared" si="5"/>
        <v>1</v>
      </c>
    </row>
    <row r="15" spans="1:29" ht="15">
      <c r="A15" s="348"/>
      <c r="B15" s="571"/>
      <c r="C15" s="386" t="s">
        <v>3978</v>
      </c>
      <c r="D15" s="387"/>
      <c r="E15" s="1753" t="s">
        <v>3978</v>
      </c>
      <c r="F15" s="388"/>
      <c r="G15" s="1753" t="s">
        <v>3978</v>
      </c>
      <c r="H15" s="389"/>
      <c r="I15" s="1753" t="s">
        <v>3978</v>
      </c>
      <c r="J15" s="387"/>
      <c r="K15" s="541"/>
      <c r="L15" s="2488"/>
      <c r="M15" s="2483"/>
      <c r="N15" s="2483"/>
      <c r="O15" s="2483"/>
      <c r="P15" s="3437"/>
      <c r="Q15" s="1262"/>
      <c r="R15" s="667"/>
      <c r="S15" s="668"/>
      <c r="T15" s="667"/>
      <c r="U15" s="668"/>
      <c r="V15" s="667"/>
      <c r="W15" s="668"/>
      <c r="X15" s="1264"/>
      <c r="Y15" s="3437"/>
      <c r="Z15" s="1263"/>
      <c r="AA15" s="1263">
        <v>1</v>
      </c>
      <c r="AB15" s="1263">
        <v>1</v>
      </c>
      <c r="AC15" s="1263">
        <v>1</v>
      </c>
    </row>
    <row r="16" spans="1:29" ht="27.6">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v>2</v>
      </c>
      <c r="L16" s="2488"/>
      <c r="M16" s="2483"/>
      <c r="N16" s="2483"/>
      <c r="O16" s="2483"/>
      <c r="P16" s="3437"/>
      <c r="Q16" s="1262" t="str">
        <f>B16</f>
        <v>公共配套设施</v>
      </c>
      <c r="R16" s="667" t="s">
        <v>14</v>
      </c>
      <c r="S16" s="668">
        <f>F16</f>
        <v>100</v>
      </c>
      <c r="T16" s="667" t="s">
        <v>14</v>
      </c>
      <c r="U16" s="668">
        <f>H16</f>
        <v>100</v>
      </c>
      <c r="V16" s="667" t="s">
        <v>14</v>
      </c>
      <c r="W16" s="668">
        <f>J16</f>
        <v>100</v>
      </c>
      <c r="X16" s="1264"/>
      <c r="Y16" s="3437"/>
      <c r="Z16" s="1263" t="str">
        <f>Q16</f>
        <v>公共配套设施</v>
      </c>
      <c r="AA16" s="1263">
        <f t="shared" si="3"/>
        <v>1</v>
      </c>
      <c r="AB16" s="1263">
        <f t="shared" si="4"/>
        <v>1</v>
      </c>
      <c r="AC16" s="1263">
        <f t="shared" si="5"/>
        <v>1</v>
      </c>
    </row>
    <row r="17" spans="1:29" ht="15">
      <c r="A17" s="348"/>
      <c r="B17" s="401"/>
      <c r="C17" s="1753" t="s">
        <v>3978</v>
      </c>
      <c r="D17" s="387"/>
      <c r="E17" s="1753" t="s">
        <v>3978</v>
      </c>
      <c r="F17" s="388"/>
      <c r="G17" s="1753" t="s">
        <v>3978</v>
      </c>
      <c r="H17" s="387"/>
      <c r="I17" s="1753" t="s">
        <v>3978</v>
      </c>
      <c r="J17" s="387"/>
      <c r="K17" s="541"/>
      <c r="L17" s="2488"/>
      <c r="M17" s="2483"/>
      <c r="N17" s="2483"/>
      <c r="O17" s="2483"/>
      <c r="P17" s="3437"/>
      <c r="Q17" s="1262"/>
      <c r="R17" s="667"/>
      <c r="S17" s="668"/>
      <c r="T17" s="667"/>
      <c r="U17" s="668"/>
      <c r="V17" s="667"/>
      <c r="W17" s="668"/>
      <c r="X17" s="1264"/>
      <c r="Y17" s="3437"/>
      <c r="Z17" s="1263"/>
      <c r="AA17" s="1263">
        <v>1</v>
      </c>
      <c r="AB17" s="1263">
        <v>1</v>
      </c>
      <c r="AC17" s="1263">
        <v>1</v>
      </c>
    </row>
    <row r="18" spans="1:29" ht="27.6">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v>1</v>
      </c>
      <c r="L18" s="2488"/>
      <c r="M18" s="2483"/>
      <c r="N18" s="2483"/>
      <c r="O18" s="2483"/>
      <c r="P18" s="3437"/>
      <c r="Q18" s="1262" t="str">
        <f>B18</f>
        <v>基础设施水平</v>
      </c>
      <c r="R18" s="667" t="s">
        <v>14</v>
      </c>
      <c r="S18" s="668">
        <f>F18</f>
        <v>100</v>
      </c>
      <c r="T18" s="667" t="s">
        <v>14</v>
      </c>
      <c r="U18" s="668">
        <f>H18</f>
        <v>100</v>
      </c>
      <c r="V18" s="667" t="s">
        <v>14</v>
      </c>
      <c r="W18" s="668">
        <f>J18</f>
        <v>100</v>
      </c>
      <c r="X18" s="1264"/>
      <c r="Y18" s="3437"/>
      <c r="Z18" s="1263" t="str">
        <f>Q18</f>
        <v>基础设施水平</v>
      </c>
      <c r="AA18" s="1263">
        <f t="shared" ref="AA18" si="8">D18/F18</f>
        <v>1</v>
      </c>
      <c r="AB18" s="1263">
        <f t="shared" ref="AB18" si="9">D18/H18</f>
        <v>1</v>
      </c>
      <c r="AC18" s="1263">
        <f t="shared" ref="AC18" si="10">D18/J18</f>
        <v>1</v>
      </c>
    </row>
    <row r="19" spans="1:29" ht="15">
      <c r="A19" s="348"/>
      <c r="B19" s="557"/>
      <c r="C19" s="1753" t="s">
        <v>3972</v>
      </c>
      <c r="D19" s="389"/>
      <c r="E19" s="1753" t="s">
        <v>3972</v>
      </c>
      <c r="F19" s="392"/>
      <c r="G19" s="1753" t="s">
        <v>3972</v>
      </c>
      <c r="H19" s="387"/>
      <c r="I19" s="1753" t="s">
        <v>3972</v>
      </c>
      <c r="J19" s="387"/>
      <c r="K19" s="1064"/>
      <c r="L19" s="2488"/>
      <c r="M19" s="2483"/>
      <c r="N19" s="2483"/>
      <c r="O19" s="2483"/>
      <c r="P19" s="3437"/>
      <c r="Q19" s="1262"/>
      <c r="R19" s="667"/>
      <c r="S19" s="668"/>
      <c r="T19" s="667"/>
      <c r="U19" s="668"/>
      <c r="V19" s="667"/>
      <c r="W19" s="668"/>
      <c r="X19" s="1264"/>
      <c r="Y19" s="3437"/>
      <c r="Z19" s="1263"/>
      <c r="AA19" s="1263">
        <v>1</v>
      </c>
      <c r="AB19" s="1263">
        <v>1</v>
      </c>
      <c r="AC19" s="1263">
        <v>1</v>
      </c>
    </row>
    <row r="20" spans="1:29" ht="41.4">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v>2</v>
      </c>
      <c r="L20" s="2488"/>
      <c r="M20" s="2483"/>
      <c r="N20" s="2483"/>
      <c r="O20" s="2483"/>
      <c r="P20" s="3437"/>
      <c r="Q20" s="1262" t="str">
        <f>B20</f>
        <v>自然及人文环境</v>
      </c>
      <c r="R20" s="667" t="s">
        <v>14</v>
      </c>
      <c r="S20" s="668">
        <f>F20</f>
        <v>100</v>
      </c>
      <c r="T20" s="667" t="s">
        <v>14</v>
      </c>
      <c r="U20" s="668">
        <f>H20</f>
        <v>100</v>
      </c>
      <c r="V20" s="667" t="s">
        <v>14</v>
      </c>
      <c r="W20" s="668">
        <f>J20</f>
        <v>100</v>
      </c>
      <c r="X20" s="1264"/>
      <c r="Y20" s="3437"/>
      <c r="Z20" s="1263" t="str">
        <f>Q20</f>
        <v>自然及人文环境</v>
      </c>
      <c r="AA20" s="1263">
        <f t="shared" si="3"/>
        <v>1</v>
      </c>
      <c r="AB20" s="1263">
        <f t="shared" si="4"/>
        <v>1</v>
      </c>
      <c r="AC20" s="1263">
        <f t="shared" si="5"/>
        <v>1</v>
      </c>
    </row>
    <row r="21" spans="1:29" ht="15">
      <c r="A21" s="348"/>
      <c r="B21" s="401"/>
      <c r="C21" s="386" t="s">
        <v>3566</v>
      </c>
      <c r="D21" s="387"/>
      <c r="E21" s="386" t="s">
        <v>3566</v>
      </c>
      <c r="F21" s="388"/>
      <c r="G21" s="386" t="s">
        <v>3566</v>
      </c>
      <c r="H21" s="387"/>
      <c r="I21" s="386" t="s">
        <v>3566</v>
      </c>
      <c r="J21" s="387"/>
      <c r="K21" s="541"/>
      <c r="L21" s="2488"/>
      <c r="M21" s="2483"/>
      <c r="N21" s="2483"/>
      <c r="O21" s="2483"/>
      <c r="P21" s="3437"/>
      <c r="Q21" s="1262"/>
      <c r="R21" s="667"/>
      <c r="S21" s="668"/>
      <c r="T21" s="667"/>
      <c r="U21" s="668"/>
      <c r="V21" s="667"/>
      <c r="W21" s="668"/>
      <c r="X21" s="1264"/>
      <c r="Y21" s="3437"/>
      <c r="Z21" s="1263"/>
      <c r="AA21" s="1263">
        <v>1</v>
      </c>
      <c r="AB21" s="1263">
        <v>1</v>
      </c>
      <c r="AC21" s="1263">
        <v>1</v>
      </c>
    </row>
    <row r="22" spans="1:29" ht="15">
      <c r="A22" s="348"/>
      <c r="B22" s="556" t="s">
        <v>1835</v>
      </c>
      <c r="C22" s="542" t="s">
        <v>6340</v>
      </c>
      <c r="D22" s="389">
        <v>100</v>
      </c>
      <c r="E22" s="542" t="s">
        <v>6339</v>
      </c>
      <c r="F22" s="400">
        <f>SUMIF(71:71,E22,72:72)-SUMIF(71:71,C22,72:72)+100</f>
        <v>102</v>
      </c>
      <c r="G22" s="542" t="s">
        <v>6339</v>
      </c>
      <c r="H22" s="374">
        <f>SUMIF(71:71,G22,72:72)-SUMIF(71:71,C22,72:72)+100</f>
        <v>102</v>
      </c>
      <c r="I22" s="542" t="s">
        <v>6340</v>
      </c>
      <c r="J22" s="374">
        <f>SUMIF(71:71,I22,72:72)-SUMIF(71:71,C22,72:72)+100</f>
        <v>100</v>
      </c>
      <c r="K22" s="538">
        <v>2</v>
      </c>
      <c r="L22" s="2488"/>
      <c r="M22" s="2483"/>
      <c r="N22" s="2483"/>
      <c r="O22" s="2483"/>
      <c r="P22" s="3437"/>
      <c r="Q22" s="1262" t="str">
        <f>B22</f>
        <v>楼层</v>
      </c>
      <c r="R22" s="667" t="s">
        <v>14</v>
      </c>
      <c r="S22" s="668">
        <f>F22</f>
        <v>102</v>
      </c>
      <c r="T22" s="667" t="s">
        <v>14</v>
      </c>
      <c r="U22" s="668">
        <f>H22</f>
        <v>102</v>
      </c>
      <c r="V22" s="667" t="s">
        <v>14</v>
      </c>
      <c r="W22" s="668">
        <f>J22</f>
        <v>100</v>
      </c>
      <c r="X22" s="1264"/>
      <c r="Y22" s="3437"/>
      <c r="Z22" s="1263" t="str">
        <f>Q22</f>
        <v>楼层</v>
      </c>
      <c r="AA22" s="1263">
        <f t="shared" si="3"/>
        <v>0.98039215686274506</v>
      </c>
      <c r="AB22" s="1263">
        <f t="shared" si="4"/>
        <v>0.98039215686274506</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37"/>
      <c r="Q23" s="1262">
        <f>B23</f>
        <v>111</v>
      </c>
      <c r="R23" s="667" t="s">
        <v>14</v>
      </c>
      <c r="S23" s="668">
        <f>F23</f>
        <v>100</v>
      </c>
      <c r="T23" s="667" t="s">
        <v>14</v>
      </c>
      <c r="U23" s="668">
        <f>H23</f>
        <v>100</v>
      </c>
      <c r="V23" s="667" t="s">
        <v>14</v>
      </c>
      <c r="W23" s="668">
        <f>J23</f>
        <v>100</v>
      </c>
      <c r="X23" s="1264"/>
      <c r="Y23" s="343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37"/>
      <c r="Q24" s="1262">
        <f t="shared" ref="Q24:Q36" si="11">B24</f>
        <v>111</v>
      </c>
      <c r="R24" s="667" t="s">
        <v>14</v>
      </c>
      <c r="S24" s="668">
        <f>F24</f>
        <v>100</v>
      </c>
      <c r="T24" s="667" t="s">
        <v>14</v>
      </c>
      <c r="U24" s="668">
        <f>H24</f>
        <v>100</v>
      </c>
      <c r="V24" s="667" t="s">
        <v>14</v>
      </c>
      <c r="W24" s="668">
        <f>J24</f>
        <v>100</v>
      </c>
      <c r="X24" s="1264"/>
      <c r="Y24" s="3437"/>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437"/>
      <c r="Q25" s="530">
        <f t="shared" si="11"/>
        <v>111</v>
      </c>
      <c r="R25" s="664" t="s">
        <v>14</v>
      </c>
      <c r="S25" s="665">
        <f>F25</f>
        <v>100</v>
      </c>
      <c r="T25" s="664" t="s">
        <v>14</v>
      </c>
      <c r="U25" s="665">
        <f>H25</f>
        <v>100</v>
      </c>
      <c r="V25" s="664" t="s">
        <v>14</v>
      </c>
      <c r="W25" s="665">
        <f>J25</f>
        <v>100</v>
      </c>
      <c r="X25" s="666"/>
      <c r="Y25" s="3437"/>
      <c r="Z25" s="50">
        <f>Q25</f>
        <v>111</v>
      </c>
      <c r="AA25" s="1263">
        <f>D25/F25</f>
        <v>1</v>
      </c>
      <c r="AB25" s="1263">
        <f>D25/H25</f>
        <v>1</v>
      </c>
      <c r="AC25" s="1263">
        <f>D25/J25</f>
        <v>1</v>
      </c>
    </row>
    <row r="26" spans="1:29" ht="30">
      <c r="A26" s="574" t="s">
        <v>1694</v>
      </c>
      <c r="B26" s="59" t="s">
        <v>1836</v>
      </c>
      <c r="C26" s="1816" t="str">
        <f>B1</f>
        <v>车库</v>
      </c>
      <c r="D26" s="387">
        <v>100</v>
      </c>
      <c r="E26" s="386" t="s">
        <v>3329</v>
      </c>
      <c r="F26" s="388">
        <f>SUMIF(79:79,E26,80:80)-SUMIF(79:79,C26,80:80)+100</f>
        <v>100</v>
      </c>
      <c r="G26" s="386" t="s">
        <v>3329</v>
      </c>
      <c r="H26" s="387">
        <f>SUMIF(79:79,G26,80:80)-SUMIF(79:79,C26,80:80)+100</f>
        <v>100</v>
      </c>
      <c r="I26" s="386" t="s">
        <v>3329</v>
      </c>
      <c r="J26" s="387">
        <f>SUMIF(79:79,I26,80:80)-SUMIF(79:79,C26,80:80)+100</f>
        <v>100</v>
      </c>
      <c r="K26" s="538">
        <v>2</v>
      </c>
      <c r="L26" s="2488"/>
      <c r="M26" s="2483"/>
      <c r="N26" s="2483"/>
      <c r="O26" s="2483"/>
      <c r="P26" s="3477" t="s">
        <v>1696</v>
      </c>
      <c r="Q26" s="1262" t="str">
        <f t="shared" si="11"/>
        <v>配套类型</v>
      </c>
      <c r="R26" s="667" t="s">
        <v>14</v>
      </c>
      <c r="S26" s="668">
        <f t="shared" ref="S26:S36" si="12">F26</f>
        <v>100</v>
      </c>
      <c r="T26" s="667" t="s">
        <v>14</v>
      </c>
      <c r="U26" s="668">
        <f t="shared" ref="U26:U36" si="13">H26</f>
        <v>100</v>
      </c>
      <c r="V26" s="667" t="s">
        <v>14</v>
      </c>
      <c r="W26" s="668">
        <f t="shared" ref="W26:W36" si="14">J26</f>
        <v>100</v>
      </c>
      <c r="X26" s="1264"/>
      <c r="Y26" s="3441" t="s">
        <v>1696</v>
      </c>
      <c r="Z26" s="1263" t="str">
        <f t="shared" ref="Z26:Z36" si="15">Q26</f>
        <v>配套类型</v>
      </c>
      <c r="AA26" s="1263">
        <f t="shared" si="3"/>
        <v>1</v>
      </c>
      <c r="AB26" s="1263">
        <f t="shared" si="4"/>
        <v>1</v>
      </c>
      <c r="AC26" s="1263">
        <f t="shared" si="5"/>
        <v>1</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41"/>
      <c r="Q27" s="531" t="str">
        <f t="shared" si="11"/>
        <v>项目停车位配比</v>
      </c>
      <c r="R27" s="669" t="s">
        <v>14</v>
      </c>
      <c r="S27" s="670">
        <f t="shared" si="12"/>
        <v>100</v>
      </c>
      <c r="T27" s="669" t="s">
        <v>14</v>
      </c>
      <c r="U27" s="670">
        <f t="shared" si="13"/>
        <v>100</v>
      </c>
      <c r="V27" s="669" t="s">
        <v>14</v>
      </c>
      <c r="W27" s="670">
        <f t="shared" si="14"/>
        <v>100</v>
      </c>
      <c r="X27" s="671"/>
      <c r="Y27" s="3441"/>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41"/>
      <c r="Q28" s="1262" t="str">
        <f t="shared" si="11"/>
        <v>公共部分装修</v>
      </c>
      <c r="R28" s="667" t="s">
        <v>14</v>
      </c>
      <c r="S28" s="668">
        <f t="shared" si="12"/>
        <v>100</v>
      </c>
      <c r="T28" s="667" t="s">
        <v>14</v>
      </c>
      <c r="U28" s="668">
        <f t="shared" si="13"/>
        <v>100</v>
      </c>
      <c r="V28" s="667" t="s">
        <v>14</v>
      </c>
      <c r="W28" s="668">
        <f t="shared" si="14"/>
        <v>100</v>
      </c>
      <c r="X28" s="1264"/>
      <c r="Y28" s="3441"/>
      <c r="Z28" s="1263" t="str">
        <f t="shared" si="15"/>
        <v>公共部分装修</v>
      </c>
      <c r="AA28" s="1263">
        <f t="shared" si="3"/>
        <v>1</v>
      </c>
      <c r="AB28" s="1263">
        <f t="shared" si="4"/>
        <v>1</v>
      </c>
      <c r="AC28" s="1263">
        <f t="shared" si="5"/>
        <v>1</v>
      </c>
    </row>
    <row r="29" spans="1:29" ht="15">
      <c r="A29" s="577"/>
      <c r="B29" s="119" t="s">
        <v>1839</v>
      </c>
      <c r="C29" s="411">
        <f>'数据-取费表'!Y7</f>
        <v>0.83</v>
      </c>
      <c r="D29" s="374">
        <v>100</v>
      </c>
      <c r="E29" s="411">
        <f>C29</f>
        <v>0.83</v>
      </c>
      <c r="F29" s="400">
        <f>LOOKUP(E29,86:86,87:87)-LOOKUP(C29,86:86,87:87)+100</f>
        <v>100</v>
      </c>
      <c r="G29" s="411">
        <f>C29</f>
        <v>0.83</v>
      </c>
      <c r="H29" s="400">
        <f>LOOKUP(G29,86:86,87:87)-LOOKUP(C29,86:86,87:87)+100</f>
        <v>100</v>
      </c>
      <c r="I29" s="411">
        <f>C29</f>
        <v>0.83</v>
      </c>
      <c r="J29" s="374">
        <f>LOOKUP(I29,86:86,87:87)-LOOKUP(C29,86:86,87:87)+100</f>
        <v>100</v>
      </c>
      <c r="K29" s="538">
        <v>1</v>
      </c>
      <c r="L29" s="2488"/>
      <c r="M29" s="2483"/>
      <c r="N29" s="2483"/>
      <c r="O29" s="2483"/>
      <c r="P29" s="3441"/>
      <c r="Q29" s="1262" t="str">
        <f t="shared" si="11"/>
        <v>成新率</v>
      </c>
      <c r="R29" s="667" t="s">
        <v>14</v>
      </c>
      <c r="S29" s="668">
        <f t="shared" si="12"/>
        <v>100</v>
      </c>
      <c r="T29" s="667" t="s">
        <v>14</v>
      </c>
      <c r="U29" s="668">
        <f t="shared" si="13"/>
        <v>100</v>
      </c>
      <c r="V29" s="667" t="s">
        <v>14</v>
      </c>
      <c r="W29" s="668">
        <f t="shared" si="14"/>
        <v>100</v>
      </c>
      <c r="X29" s="1264"/>
      <c r="Y29" s="3441"/>
      <c r="Z29" s="1263" t="str">
        <f t="shared" si="15"/>
        <v>成新率</v>
      </c>
      <c r="AA29" s="1263">
        <f t="shared" si="3"/>
        <v>1</v>
      </c>
      <c r="AB29" s="1263">
        <f t="shared" si="4"/>
        <v>1</v>
      </c>
      <c r="AC29" s="1263">
        <f t="shared" si="5"/>
        <v>1</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41"/>
      <c r="Q30" s="1262" t="str">
        <f t="shared" si="11"/>
        <v>物业等级</v>
      </c>
      <c r="R30" s="667" t="s">
        <v>14</v>
      </c>
      <c r="S30" s="668">
        <f t="shared" si="12"/>
        <v>100</v>
      </c>
      <c r="T30" s="667" t="s">
        <v>14</v>
      </c>
      <c r="U30" s="668">
        <f t="shared" si="13"/>
        <v>100</v>
      </c>
      <c r="V30" s="667" t="s">
        <v>14</v>
      </c>
      <c r="W30" s="668">
        <f t="shared" si="14"/>
        <v>100</v>
      </c>
      <c r="X30" s="1264"/>
      <c r="Y30" s="3441"/>
      <c r="Z30" s="1263" t="str">
        <f t="shared" si="15"/>
        <v>物业等级</v>
      </c>
      <c r="AA30" s="1263">
        <f t="shared" si="3"/>
        <v>1</v>
      </c>
      <c r="AB30" s="1263">
        <f t="shared" si="4"/>
        <v>1</v>
      </c>
      <c r="AC30" s="1263">
        <f t="shared" si="5"/>
        <v>1</v>
      </c>
    </row>
    <row r="31" spans="1:29" s="102" customFormat="1" ht="15">
      <c r="A31" s="579"/>
      <c r="B31" s="119" t="s">
        <v>1841</v>
      </c>
      <c r="C31" s="407">
        <f>'数据-汇总表'!E20</f>
        <v>30.74</v>
      </c>
      <c r="D31" s="119">
        <v>100</v>
      </c>
      <c r="E31" s="407">
        <v>34.46</v>
      </c>
      <c r="F31" s="400">
        <f>LOOKUP(E31,91:91,92:92)-LOOKUP(C31,91:91,92:92)+100</f>
        <v>100</v>
      </c>
      <c r="G31" s="407">
        <v>34.46</v>
      </c>
      <c r="H31" s="374">
        <f>LOOKUP(G31,91:91,92:92)-LOOKUP(C31,91:91,92:92)+100</f>
        <v>100</v>
      </c>
      <c r="I31" s="407">
        <v>36.630000000000003</v>
      </c>
      <c r="J31" s="374">
        <f>LOOKUP(I31,91:91,92:92)-LOOKUP(C31,91:91,92:92)+100</f>
        <v>100</v>
      </c>
      <c r="K31" s="538"/>
      <c r="L31" s="2484"/>
      <c r="M31" s="2436"/>
      <c r="N31" s="2436"/>
      <c r="O31" s="2436"/>
      <c r="P31" s="3441"/>
      <c r="Q31" s="530" t="str">
        <f t="shared" si="11"/>
        <v>停车位面积</v>
      </c>
      <c r="R31" s="664" t="s">
        <v>14</v>
      </c>
      <c r="S31" s="665">
        <f t="shared" si="12"/>
        <v>100</v>
      </c>
      <c r="T31" s="664" t="s">
        <v>14</v>
      </c>
      <c r="U31" s="665">
        <f t="shared" si="13"/>
        <v>100</v>
      </c>
      <c r="V31" s="664" t="s">
        <v>14</v>
      </c>
      <c r="W31" s="665">
        <f t="shared" si="14"/>
        <v>100</v>
      </c>
      <c r="X31" s="666"/>
      <c r="Y31" s="3441"/>
      <c r="Z31" s="50" t="str">
        <f t="shared" si="15"/>
        <v>停车位面积</v>
      </c>
      <c r="AA31" s="50">
        <f t="shared" si="3"/>
        <v>1</v>
      </c>
      <c r="AB31" s="50">
        <f t="shared" si="4"/>
        <v>1</v>
      </c>
      <c r="AC31" s="50">
        <f t="shared" si="5"/>
        <v>1</v>
      </c>
    </row>
    <row r="32" spans="1:29" ht="15">
      <c r="A32" s="577"/>
      <c r="B32" s="119" t="s">
        <v>1842</v>
      </c>
      <c r="C32" s="399" t="s">
        <v>4002</v>
      </c>
      <c r="D32" s="374">
        <v>100</v>
      </c>
      <c r="E32" s="399" t="s">
        <v>4002</v>
      </c>
      <c r="F32" s="400">
        <f>SUMIF(93:93,E32,94:94)-SUMIF(93:93,C32,94:94)+100</f>
        <v>100</v>
      </c>
      <c r="G32" s="399" t="s">
        <v>4002</v>
      </c>
      <c r="H32" s="374">
        <f>SUMIF(93:93,G32,94:94)-SUMIF(93:93,C32,94:94)+100</f>
        <v>100</v>
      </c>
      <c r="I32" s="399" t="s">
        <v>4002</v>
      </c>
      <c r="J32" s="374">
        <f>SUMIF(93:93,I32,94:94)-SUMIF(93:93,C32,94:94)+100</f>
        <v>100</v>
      </c>
      <c r="K32" s="538"/>
      <c r="L32" s="2488"/>
      <c r="M32" s="2483"/>
      <c r="N32" s="2483"/>
      <c r="O32" s="2483"/>
      <c r="P32" s="3441" t="s">
        <v>1696</v>
      </c>
      <c r="Q32" s="1262" t="str">
        <f t="shared" si="11"/>
        <v>车位类型</v>
      </c>
      <c r="R32" s="667" t="s">
        <v>14</v>
      </c>
      <c r="S32" s="668">
        <f t="shared" si="12"/>
        <v>100</v>
      </c>
      <c r="T32" s="667" t="s">
        <v>14</v>
      </c>
      <c r="U32" s="668">
        <f t="shared" si="13"/>
        <v>100</v>
      </c>
      <c r="V32" s="667" t="s">
        <v>14</v>
      </c>
      <c r="W32" s="668">
        <f t="shared" si="14"/>
        <v>100</v>
      </c>
      <c r="X32" s="1264"/>
      <c r="Y32" s="3441"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41"/>
      <c r="Q33" s="1262" t="str">
        <f t="shared" si="11"/>
        <v>是否直接入户</v>
      </c>
      <c r="R33" s="667" t="s">
        <v>14</v>
      </c>
      <c r="S33" s="668">
        <f t="shared" si="12"/>
        <v>100</v>
      </c>
      <c r="T33" s="667" t="s">
        <v>14</v>
      </c>
      <c r="U33" s="668">
        <f t="shared" si="13"/>
        <v>100</v>
      </c>
      <c r="V33" s="667" t="s">
        <v>14</v>
      </c>
      <c r="W33" s="668">
        <f t="shared" si="14"/>
        <v>100</v>
      </c>
      <c r="X33" s="1264"/>
      <c r="Y33" s="3441"/>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41"/>
      <c r="Q34" s="1262">
        <f t="shared" si="11"/>
        <v>111</v>
      </c>
      <c r="R34" s="667" t="s">
        <v>14</v>
      </c>
      <c r="S34" s="668">
        <f t="shared" si="12"/>
        <v>100</v>
      </c>
      <c r="T34" s="667" t="s">
        <v>14</v>
      </c>
      <c r="U34" s="668">
        <f t="shared" si="13"/>
        <v>100</v>
      </c>
      <c r="V34" s="667" t="s">
        <v>14</v>
      </c>
      <c r="W34" s="668">
        <f t="shared" si="14"/>
        <v>100</v>
      </c>
      <c r="X34" s="1264"/>
      <c r="Y34" s="344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41"/>
      <c r="Q35" s="531">
        <f t="shared" si="11"/>
        <v>111</v>
      </c>
      <c r="R35" s="669" t="s">
        <v>14</v>
      </c>
      <c r="S35" s="670">
        <f t="shared" si="12"/>
        <v>100</v>
      </c>
      <c r="T35" s="669" t="s">
        <v>14</v>
      </c>
      <c r="U35" s="670">
        <f t="shared" si="13"/>
        <v>100</v>
      </c>
      <c r="V35" s="669" t="s">
        <v>14</v>
      </c>
      <c r="W35" s="670">
        <f t="shared" si="14"/>
        <v>100</v>
      </c>
      <c r="X35" s="671"/>
      <c r="Y35" s="3441"/>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41"/>
      <c r="Q36" s="1262">
        <f t="shared" si="11"/>
        <v>111</v>
      </c>
      <c r="R36" s="667" t="s">
        <v>14</v>
      </c>
      <c r="S36" s="668">
        <f t="shared" si="12"/>
        <v>100</v>
      </c>
      <c r="T36" s="667" t="s">
        <v>14</v>
      </c>
      <c r="U36" s="668">
        <f t="shared" si="13"/>
        <v>100</v>
      </c>
      <c r="V36" s="667" t="s">
        <v>14</v>
      </c>
      <c r="W36" s="668">
        <f t="shared" si="14"/>
        <v>100</v>
      </c>
      <c r="X36" s="1264"/>
      <c r="Y36" s="3441"/>
      <c r="Z36" s="1263">
        <f t="shared" si="15"/>
        <v>111</v>
      </c>
      <c r="AA36" s="1263">
        <f t="shared" si="3"/>
        <v>1</v>
      </c>
      <c r="AB36" s="1263">
        <f t="shared" si="4"/>
        <v>1</v>
      </c>
      <c r="AC36" s="1263">
        <f t="shared" si="5"/>
        <v>1</v>
      </c>
    </row>
    <row r="37" spans="1:29" ht="14.4">
      <c r="A37" s="416" t="s">
        <v>1844</v>
      </c>
      <c r="B37" s="1817" t="s">
        <v>3350</v>
      </c>
      <c r="C37" s="1081" t="s">
        <v>0</v>
      </c>
      <c r="D37" s="418"/>
      <c r="E37" s="419">
        <v>6187</v>
      </c>
      <c r="F37" s="420"/>
      <c r="G37" s="421">
        <v>6187</v>
      </c>
      <c r="H37" s="422"/>
      <c r="I37" s="419">
        <v>6010</v>
      </c>
      <c r="J37" s="422"/>
      <c r="K37" s="545"/>
      <c r="L37" s="2490"/>
      <c r="M37" s="2483"/>
      <c r="N37" s="2483"/>
      <c r="O37" s="2483"/>
      <c r="P37" s="3434" t="str">
        <f>A37</f>
        <v>成交单价</v>
      </c>
      <c r="Q37" s="3434"/>
      <c r="R37" s="3435">
        <f>E37</f>
        <v>6187</v>
      </c>
      <c r="S37" s="3435"/>
      <c r="T37" s="3435">
        <f>G37</f>
        <v>6187</v>
      </c>
      <c r="U37" s="3435"/>
      <c r="V37" s="3435">
        <f>I37</f>
        <v>6010</v>
      </c>
      <c r="W37" s="3435"/>
      <c r="X37" s="385"/>
      <c r="Y37" s="673"/>
      <c r="Z37" s="385"/>
      <c r="AA37" s="385"/>
      <c r="AB37" s="385"/>
      <c r="AC37" s="385"/>
    </row>
    <row r="38" spans="1:29" ht="15" thickBot="1">
      <c r="A38" s="423" t="s">
        <v>1845</v>
      </c>
      <c r="B38" s="424" t="str">
        <f>B37</f>
        <v>元/平方米</v>
      </c>
      <c r="C38" s="1082">
        <f>R39</f>
        <v>6047</v>
      </c>
      <c r="D38" s="2137" t="s">
        <v>2135</v>
      </c>
      <c r="E38" s="1083">
        <f>R38</f>
        <v>6066</v>
      </c>
      <c r="F38" s="2138"/>
      <c r="G38" s="1082">
        <f>T38</f>
        <v>6066</v>
      </c>
      <c r="H38" s="2138"/>
      <c r="I38" s="1083">
        <f>V38</f>
        <v>6010</v>
      </c>
      <c r="J38" s="2138"/>
      <c r="K38" s="2140">
        <f>F38+H38+J38</f>
        <v>0</v>
      </c>
      <c r="L38" s="2490"/>
      <c r="M38" s="2483"/>
      <c r="N38" s="2483"/>
      <c r="O38" s="2483"/>
      <c r="P38" s="3434" t="str">
        <f>A38</f>
        <v>比较价值（元/平方米）</v>
      </c>
      <c r="Q38" s="3434"/>
      <c r="R38" s="3435">
        <f>IF(F1="售价",ROUND(PRODUCT(R37,AA7:AA36),0),ROUND(PRODUCT(R37,AA7:AA36),1))</f>
        <v>6066</v>
      </c>
      <c r="S38" s="3435"/>
      <c r="T38" s="3435">
        <f>IF(F1="售价",ROUND(PRODUCT(T37,AB7:AB36),0),ROUND(PRODUCT(T37,AB7:AB36),1))</f>
        <v>6066</v>
      </c>
      <c r="U38" s="3435"/>
      <c r="V38" s="3435">
        <f>IF(F1="售价",ROUND(PRODUCT(V37,AC7:AC36),0),ROUND(PRODUCT(V37,AC7:AC36),1))</f>
        <v>6010</v>
      </c>
      <c r="W38" s="3435"/>
      <c r="X38" s="385"/>
      <c r="Y38" s="385"/>
      <c r="Z38" s="385"/>
      <c r="AA38" s="385"/>
      <c r="AB38" s="385"/>
      <c r="AC38" s="385"/>
    </row>
    <row r="39" spans="1:29" ht="15" thickBot="1">
      <c r="A39" s="427" t="s">
        <v>1846</v>
      </c>
      <c r="B39" s="428"/>
      <c r="C39" s="351">
        <f>R39</f>
        <v>6047</v>
      </c>
      <c r="D39" s="351"/>
      <c r="E39" s="351"/>
      <c r="F39" s="351"/>
      <c r="G39" s="351"/>
      <c r="H39" s="351"/>
      <c r="I39" s="351"/>
      <c r="J39" s="351"/>
      <c r="K39" s="546"/>
      <c r="L39" s="2490"/>
      <c r="M39" s="2483"/>
      <c r="N39" s="2483"/>
      <c r="O39" s="2483"/>
      <c r="P39" s="3431" t="str">
        <f>A39</f>
        <v>估价对象XX用房的比较价值（楼面单价，元/平方米）</v>
      </c>
      <c r="Q39" s="3432"/>
      <c r="R39" s="3529">
        <f>IF(F1="售价",ROUND(IF(D38="简单平均",AVERAGE(R38:W38),R38*F38+T38*H38+V38*J38),0),ROUND(IF(D38="简单平均",AVERAGE(R38:V38),R38*F38+T38*H38+V38*J38),1))</f>
        <v>6047</v>
      </c>
      <c r="S39" s="3529"/>
      <c r="T39" s="3529"/>
      <c r="U39" s="3529"/>
      <c r="V39" s="3529"/>
      <c r="W39" s="3529"/>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f>IF(E37&lt;E38,E38/E37-1,E37/E38-1)</f>
        <v>1.9947246950214215E-2</v>
      </c>
      <c r="F42" s="435" t="str">
        <f>IF(OR(E42&gt;=0.3,E42&lt;=-0.3),"超过30%","")</f>
        <v/>
      </c>
      <c r="G42" s="434">
        <f>IF(G37&lt;G38,G38/G37-1,G37/G38-1)</f>
        <v>1.9947246950214215E-2</v>
      </c>
      <c r="H42" s="435" t="str">
        <f>IF(OR(G42&gt;=0.3,G42&lt;=-0.3),"超过30%","")</f>
        <v/>
      </c>
      <c r="I42" s="434">
        <f>IF(I37&lt;I38,I38/I37-1,I37/I38-1)</f>
        <v>0</v>
      </c>
      <c r="J42" s="435" t="str">
        <f>IF(OR(I42&gt;=0.3,I42&lt;=-0.3),"超过30%","")</f>
        <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f>IF(E38&lt;G38,G38/E38-1,E38/G38-1)</f>
        <v>0</v>
      </c>
      <c r="F43" s="435" t="str">
        <f>IF(OR(E43&gt;=0.2,E43&lt;=-0.2),"超过20%","")</f>
        <v/>
      </c>
      <c r="G43" s="434">
        <f>IF(G38&lt;I38,I38/G38-1,G38/I38-1)</f>
        <v>9.3178036605656711E-3</v>
      </c>
      <c r="H43" s="435" t="str">
        <f>IF(OR(G43&gt;=0.2,G43&lt;=-0.2),"超过20%","")</f>
        <v/>
      </c>
      <c r="I43" s="434">
        <f>IF(I38&lt;E38,E38/I38-1,I38/E38-1)</f>
        <v>9.3178036605656711E-3</v>
      </c>
      <c r="J43" s="435" t="str">
        <f>IF(OR(I43&gt;=0.2,I43&lt;=-0.2),"超过20%","")</f>
        <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f>IF(E37&lt;G37,G37/E37-1,E37/G37-1)</f>
        <v>0</v>
      </c>
      <c r="F44" s="435" t="str">
        <f>IF(OR(E44&gt;=0.3,E44&lt;=-0.3),"超过30%","")</f>
        <v/>
      </c>
      <c r="G44" s="434">
        <f>IF(G37&lt;I37,I37/G37-1,G37/I37-1)</f>
        <v>2.9450915141431055E-2</v>
      </c>
      <c r="H44" s="435" t="str">
        <f>IF(OR(G44&gt;=0.3,G44&lt;=-0.3),"超过30%","")</f>
        <v/>
      </c>
      <c r="I44" s="434">
        <f>IF(I37&lt;E37,E37/I37-1,I37/E37-1)</f>
        <v>2.9450915141431055E-2</v>
      </c>
      <c r="J44" s="435" t="str">
        <f>IF(OR(I44&gt;=0.3,I44&lt;=-0.3),"超过30%","")</f>
        <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7" t="s">
        <v>1850</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4.4">
      <c r="A48" s="440" t="s">
        <v>1851</v>
      </c>
      <c r="B48" s="441"/>
      <c r="C48" s="1102" t="str">
        <f>YEAR(C7)&amp;"-"&amp;MONTH(C7)</f>
        <v>2025-6</v>
      </c>
      <c r="D48" s="1103">
        <f>EDATE(C48,-1)</f>
        <v>45778</v>
      </c>
      <c r="E48" s="1103">
        <f t="shared" ref="E48:O48" si="16">EDATE(D48,-1)</f>
        <v>45748</v>
      </c>
      <c r="F48" s="1103">
        <f t="shared" si="16"/>
        <v>45717</v>
      </c>
      <c r="G48" s="1103">
        <f t="shared" si="16"/>
        <v>45689</v>
      </c>
      <c r="H48" s="1103">
        <f t="shared" si="16"/>
        <v>45658</v>
      </c>
      <c r="I48" s="1103">
        <f t="shared" si="16"/>
        <v>45627</v>
      </c>
      <c r="J48" s="1103">
        <f t="shared" si="16"/>
        <v>45597</v>
      </c>
      <c r="K48" s="1103">
        <f t="shared" si="16"/>
        <v>45566</v>
      </c>
      <c r="L48" s="1103">
        <f t="shared" si="16"/>
        <v>45536</v>
      </c>
      <c r="M48" s="1103">
        <f t="shared" si="16"/>
        <v>45505</v>
      </c>
      <c r="N48" s="1103">
        <f t="shared" si="16"/>
        <v>45474</v>
      </c>
      <c r="O48" s="1103">
        <f t="shared" si="16"/>
        <v>45444</v>
      </c>
      <c r="P48" s="2523"/>
      <c r="Q48" s="2506"/>
      <c r="R48" s="2506"/>
      <c r="S48" s="2506"/>
      <c r="T48" s="2506"/>
      <c r="U48" s="2506"/>
      <c r="V48" s="2506"/>
      <c r="W48" s="2506"/>
      <c r="X48" s="2506"/>
      <c r="Y48" s="2506"/>
      <c r="Z48" s="2506"/>
      <c r="AA48" s="2506"/>
      <c r="AB48" s="2506"/>
      <c r="AC48" s="2506"/>
    </row>
    <row r="49" spans="1:29" s="102" customFormat="1">
      <c r="A49" s="443"/>
      <c r="B49" s="444"/>
      <c r="C49" s="1097">
        <v>100</v>
      </c>
      <c r="D49" s="446">
        <v>100</v>
      </c>
      <c r="E49" s="446">
        <v>100</v>
      </c>
      <c r="F49" s="446">
        <v>100</v>
      </c>
      <c r="G49" s="446">
        <v>100</v>
      </c>
      <c r="H49" s="446">
        <v>100</v>
      </c>
      <c r="I49" s="446">
        <v>100</v>
      </c>
      <c r="J49" s="446">
        <v>100</v>
      </c>
      <c r="K49" s="446">
        <v>100</v>
      </c>
      <c r="L49" s="446"/>
      <c r="M49" s="447"/>
      <c r="N49" s="446"/>
      <c r="O49" s="447"/>
      <c r="P49" s="2524"/>
      <c r="Q49" s="2436"/>
      <c r="R49" s="2436"/>
      <c r="S49" s="2436"/>
      <c r="T49" s="2436"/>
      <c r="U49" s="2436"/>
      <c r="V49" s="2436"/>
      <c r="W49" s="2436"/>
      <c r="X49" s="2436"/>
      <c r="Y49" s="2436"/>
      <c r="Z49" s="2436"/>
      <c r="AA49" s="2436"/>
      <c r="AB49" s="2436"/>
      <c r="AC49" s="2436"/>
    </row>
    <row r="50" spans="1:29" s="102" customFormat="1" ht="1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4.4">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ht="14.4">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98</v>
      </c>
      <c r="E64" s="475">
        <f>D64-$K14</f>
        <v>96</v>
      </c>
      <c r="F64" s="475">
        <f>E64-$K14</f>
        <v>94</v>
      </c>
      <c r="G64" s="475">
        <f>F64-$K14</f>
        <v>92</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98</v>
      </c>
      <c r="E66" s="475">
        <f>D66-$K16</f>
        <v>96</v>
      </c>
      <c r="F66" s="475">
        <f>E66-$K16</f>
        <v>94</v>
      </c>
      <c r="G66" s="475">
        <f>F66-$K16</f>
        <v>92</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1813</v>
      </c>
      <c r="C67" s="581" t="s">
        <v>1799</v>
      </c>
      <c r="D67" s="581" t="s">
        <v>1800</v>
      </c>
      <c r="E67" s="581" t="s">
        <v>1801</v>
      </c>
      <c r="F67" s="581" t="s">
        <v>1802</v>
      </c>
      <c r="G67" s="581" t="s">
        <v>1803</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99</v>
      </c>
      <c r="E68" s="475">
        <f>D68-$K18</f>
        <v>98</v>
      </c>
      <c r="F68" s="475">
        <f>E68-$K18</f>
        <v>97</v>
      </c>
      <c r="G68" s="475">
        <f>F68-$K18</f>
        <v>96</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98</v>
      </c>
      <c r="E70" s="475">
        <f>D70-$K20</f>
        <v>96</v>
      </c>
      <c r="F70" s="475">
        <f>E70-$K20</f>
        <v>94</v>
      </c>
      <c r="G70" s="475">
        <f>F70-$K20</f>
        <v>92</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1852</v>
      </c>
      <c r="C71" s="3240" t="s">
        <v>6341</v>
      </c>
      <c r="D71" s="3240" t="s">
        <v>6342</v>
      </c>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98</v>
      </c>
      <c r="E72" s="475">
        <f>D72-$K22</f>
        <v>96</v>
      </c>
      <c r="F72" s="475">
        <f>E72-$K22</f>
        <v>94</v>
      </c>
      <c r="G72" s="475">
        <f>F72-$K22</f>
        <v>92</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98</v>
      </c>
      <c r="E80" s="475">
        <f t="shared" si="17"/>
        <v>96</v>
      </c>
      <c r="F80" s="475">
        <f t="shared" si="17"/>
        <v>94</v>
      </c>
      <c r="G80" s="475">
        <f t="shared" si="17"/>
        <v>92</v>
      </c>
      <c r="H80" s="475">
        <f t="shared" si="17"/>
        <v>90</v>
      </c>
      <c r="I80" s="475">
        <f t="shared" si="17"/>
        <v>88</v>
      </c>
      <c r="J80" s="475">
        <f t="shared" si="17"/>
        <v>86</v>
      </c>
      <c r="K80" s="475">
        <f t="shared" si="17"/>
        <v>84</v>
      </c>
      <c r="L80" s="475">
        <f t="shared" si="17"/>
        <v>82</v>
      </c>
      <c r="M80" s="476">
        <f t="shared" si="17"/>
        <v>80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101</v>
      </c>
      <c r="E87" s="475">
        <f t="shared" ref="E87:M87" si="19">D87+$K$29</f>
        <v>102</v>
      </c>
      <c r="F87" s="475">
        <f t="shared" si="19"/>
        <v>103</v>
      </c>
      <c r="G87" s="475">
        <f t="shared" si="19"/>
        <v>104</v>
      </c>
      <c r="H87" s="475">
        <f t="shared" si="19"/>
        <v>105</v>
      </c>
      <c r="I87" s="475">
        <f t="shared" si="19"/>
        <v>106</v>
      </c>
      <c r="J87" s="475">
        <f t="shared" si="19"/>
        <v>107</v>
      </c>
      <c r="K87" s="475">
        <f t="shared" si="19"/>
        <v>108</v>
      </c>
      <c r="L87" s="475">
        <f t="shared" si="19"/>
        <v>109</v>
      </c>
      <c r="M87" s="475">
        <f t="shared" si="19"/>
        <v>110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0(含)-26.5</v>
      </c>
      <c r="D90" s="509" t="str">
        <f t="shared" ref="D90:L90" si="21">D91&amp;"(含)"&amp;"-"&amp;E91</f>
        <v>26.5(含)-40</v>
      </c>
      <c r="E90" s="509" t="str">
        <f t="shared" si="21"/>
        <v>40(含)-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v>0</v>
      </c>
      <c r="D91" s="6">
        <v>26.5</v>
      </c>
      <c r="E91" s="6">
        <v>40</v>
      </c>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67">
        <f>D92-2</f>
        <v>98</v>
      </c>
      <c r="D92" s="467">
        <v>100</v>
      </c>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3184" t="s">
        <v>4003</v>
      </c>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38">
    <cfRule type="expression" dxfId="60" priority="4">
      <formula>$D$38="简单平均"</formula>
    </cfRule>
  </conditionalFormatting>
  <conditionalFormatting sqref="F42:F44 H42:H44 J42:J44">
    <cfRule type="containsText" dxfId="59" priority="14" stopIfTrue="1" operator="containsText" text="超过">
      <formula>NOT(ISERROR(SEARCH("超过",F42)))</formula>
    </cfRule>
  </conditionalFormatting>
  <conditionalFormatting sqref="G42">
    <cfRule type="expression" dxfId="58" priority="9" stopIfTrue="1">
      <formula>$H$52+$H$42="超过30%"</formula>
    </cfRule>
  </conditionalFormatting>
  <conditionalFormatting sqref="G43">
    <cfRule type="expression" dxfId="57" priority="8" stopIfTrue="1">
      <formula>$H$43="超过20%"</formula>
    </cfRule>
  </conditionalFormatting>
  <conditionalFormatting sqref="G44">
    <cfRule type="expression" dxfId="56" priority="12" stopIfTrue="1">
      <formula>$H$54+$H$44="超过30%"</formula>
    </cfRule>
  </conditionalFormatting>
  <conditionalFormatting sqref="H38">
    <cfRule type="expression" dxfId="55" priority="3">
      <formula>$D$38="简单平均"</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J38">
    <cfRule type="expression" dxfId="51"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6388</v>
      </c>
      <c r="D1" s="1270" t="s">
        <v>43</v>
      </c>
      <c r="E1" s="1271" t="s">
        <v>678</v>
      </c>
      <c r="F1" s="999">
        <f ca="1">J53</f>
        <v>40.15</v>
      </c>
      <c r="G1" s="1285">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9">
        <f ca="1">ROUND(D2/10000,4)</f>
        <v>3.18</v>
      </c>
      <c r="C2" s="1288" t="s">
        <v>879</v>
      </c>
      <c r="D2" s="1374">
        <f ca="1">C40+J29+L46</f>
        <v>31800</v>
      </c>
      <c r="E2" s="1294" t="s">
        <v>880</v>
      </c>
      <c r="F2" s="1295"/>
      <c r="G2" s="2474"/>
      <c r="H2" s="2464"/>
      <c r="I2" s="2464"/>
      <c r="J2" s="2464"/>
      <c r="K2" s="2465"/>
      <c r="L2" s="2464"/>
      <c r="M2" s="2464"/>
    </row>
    <row r="3" spans="1:37" ht="18" customHeight="1" thickBot="1">
      <c r="A3" s="1296" t="s">
        <v>881</v>
      </c>
      <c r="B3" s="1297">
        <f ca="1">IF(ISERROR(D2/F43),0,ROUND(D2/F43,0))</f>
        <v>1034</v>
      </c>
      <c r="C3" s="1288" t="s">
        <v>882</v>
      </c>
      <c r="D3" s="1288"/>
      <c r="E3" s="1294"/>
      <c r="F3" s="1295"/>
      <c r="G3" s="2474"/>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4860</v>
      </c>
      <c r="D5" s="1272" t="s">
        <v>889</v>
      </c>
      <c r="E5" s="1008"/>
      <c r="F5" s="1009"/>
      <c r="G5" s="1291"/>
      <c r="H5" s="291">
        <v>1</v>
      </c>
      <c r="I5" s="292" t="s">
        <v>888</v>
      </c>
      <c r="J5" s="1007">
        <f ca="1">J6+J10+J12</f>
        <v>0</v>
      </c>
      <c r="K5" s="1272" t="s">
        <v>889</v>
      </c>
      <c r="L5" s="1008"/>
      <c r="M5" s="1009"/>
    </row>
    <row r="6" spans="1:37" ht="18" customHeight="1">
      <c r="A6" s="1006" t="s">
        <v>398</v>
      </c>
      <c r="B6" s="3490" t="s">
        <v>694</v>
      </c>
      <c r="C6" s="1011">
        <f ca="1">ROUND(F6*F8*F7*(1-F9),0)</f>
        <v>4860</v>
      </c>
      <c r="D6" s="147" t="s">
        <v>2103</v>
      </c>
      <c r="E6" s="294" t="s">
        <v>696</v>
      </c>
      <c r="F6" s="295">
        <f ca="1">INDIRECT("'数据-取费表'!u"&amp;$G$1)</f>
        <v>450</v>
      </c>
      <c r="G6" s="1291"/>
      <c r="H6" s="1006" t="s">
        <v>398</v>
      </c>
      <c r="I6" s="3490" t="s">
        <v>694</v>
      </c>
      <c r="J6" s="293">
        <f ca="1">ROUND(M6*M8*M7*(1-M9),0)</f>
        <v>0</v>
      </c>
      <c r="K6" s="1283" t="s">
        <v>2104</v>
      </c>
      <c r="L6" s="294" t="s">
        <v>696</v>
      </c>
      <c r="M6" s="295">
        <f ca="1">INDIRECT("'数据-取费表'!z"&amp;$G$1)</f>
        <v>0</v>
      </c>
    </row>
    <row r="7" spans="1:37" ht="18" customHeight="1">
      <c r="A7" s="1010"/>
      <c r="B7" s="3491"/>
      <c r="C7" s="1012"/>
      <c r="D7" s="299"/>
      <c r="E7" s="1013" t="s">
        <v>697</v>
      </c>
      <c r="F7" s="295">
        <f ca="1">IF(INDIRECT("'数据-取费表'!ah"&amp;$G$1)="",INDIRECT("'数据-取费表'!k"&amp;$G$1),INDIRECT("'数据-取费表'!ah"&amp;$G$1))</f>
        <v>1</v>
      </c>
      <c r="G7" s="1291"/>
      <c r="H7" s="296"/>
      <c r="I7" s="3491"/>
      <c r="J7" s="298"/>
      <c r="K7" s="299"/>
      <c r="L7" s="294" t="s">
        <v>697</v>
      </c>
      <c r="M7" s="295">
        <f ca="1">F7</f>
        <v>1</v>
      </c>
    </row>
    <row r="8" spans="1:37" ht="18" customHeight="1">
      <c r="A8" s="296"/>
      <c r="B8" s="3491"/>
      <c r="C8" s="298"/>
      <c r="D8" s="299"/>
      <c r="E8" s="294" t="s">
        <v>698</v>
      </c>
      <c r="F8" s="295">
        <f ca="1">INDIRECT("'数据-取费表'!ai"&amp;$G$1)</f>
        <v>12</v>
      </c>
      <c r="G8" s="1291"/>
      <c r="H8" s="296"/>
      <c r="I8" s="3491"/>
      <c r="J8" s="298"/>
      <c r="K8" s="299"/>
      <c r="L8" s="294" t="s">
        <v>698</v>
      </c>
      <c r="M8" s="295">
        <f ca="1">INDIRECT("'数据-取费表'!ai"&amp;$G$1)</f>
        <v>12</v>
      </c>
    </row>
    <row r="9" spans="1:37" ht="18" customHeight="1">
      <c r="A9" s="296"/>
      <c r="B9" s="3492"/>
      <c r="C9" s="298"/>
      <c r="D9" s="299"/>
      <c r="E9" s="294" t="s">
        <v>699</v>
      </c>
      <c r="F9" s="304">
        <f ca="1">INDIRECT("'数据-取费表'!w"&amp;$G$1)</f>
        <v>0.1</v>
      </c>
      <c r="G9" s="1291"/>
      <c r="H9" s="296"/>
      <c r="I9" s="3492"/>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2113</v>
      </c>
      <c r="E10" s="305" t="s">
        <v>701</v>
      </c>
      <c r="F10" s="1053" t="s">
        <v>3500</v>
      </c>
      <c r="G10" s="1291"/>
      <c r="H10" s="1006" t="s">
        <v>402</v>
      </c>
      <c r="I10" s="1273" t="s">
        <v>700</v>
      </c>
      <c r="J10" s="293">
        <f ca="1">ROUND(IF(M10="押一",J6/12*M11,IF(M10="押二",J6/12*2*M11,IF(M10="押三",J6/12*3*M11,J11*M11))),0)</f>
        <v>0</v>
      </c>
      <c r="K10" s="1284" t="s">
        <v>2115</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203504</v>
      </c>
      <c r="D13" s="1018" t="s">
        <v>705</v>
      </c>
      <c r="E13" s="1018" t="s">
        <v>706</v>
      </c>
      <c r="F13" s="1019">
        <f ca="1">INDIRECT("'数据-取费表'!y"&amp;$G$1)</f>
        <v>0.83</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184440</v>
      </c>
      <c r="D14" s="1256" t="s">
        <v>708</v>
      </c>
      <c r="E14" s="1254"/>
      <c r="F14" s="311"/>
      <c r="G14" s="1291"/>
      <c r="H14" s="928" t="s">
        <v>398</v>
      </c>
      <c r="I14" s="294" t="s">
        <v>709</v>
      </c>
      <c r="J14" s="21">
        <f ca="1">C29</f>
        <v>245186</v>
      </c>
      <c r="K14" s="12"/>
      <c r="L14" s="759"/>
      <c r="M14" s="760"/>
    </row>
    <row r="15" spans="1:37" s="1303" customFormat="1" ht="18" customHeight="1" thickBot="1">
      <c r="A15" s="928" t="s">
        <v>399</v>
      </c>
      <c r="B15" s="294" t="s">
        <v>710</v>
      </c>
      <c r="C15" s="21">
        <f ca="1">ROUND(C14*F15,0)</f>
        <v>9222</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2452</v>
      </c>
      <c r="K16" s="1024" t="s">
        <v>715</v>
      </c>
      <c r="L16" s="1025"/>
      <c r="M16" s="1009"/>
    </row>
    <row r="17" spans="1:37" s="1303" customFormat="1" ht="18" customHeight="1">
      <c r="A17" s="928" t="s">
        <v>681</v>
      </c>
      <c r="B17" s="294" t="s">
        <v>716</v>
      </c>
      <c r="C17" s="21">
        <f ca="1">ROUND(F17*(F43+INDIRECT("'数据-取费表'!S"&amp;$G$1)),0)</f>
        <v>6148</v>
      </c>
      <c r="D17" s="294" t="s">
        <v>717</v>
      </c>
      <c r="E17" s="294" t="s">
        <v>718</v>
      </c>
      <c r="F17" s="23">
        <f>'数据-取费表'!B35</f>
        <v>200</v>
      </c>
      <c r="G17" s="1302"/>
      <c r="H17" s="928" t="s">
        <v>398</v>
      </c>
      <c r="I17" s="294" t="s">
        <v>719</v>
      </c>
      <c r="J17" s="2136">
        <f ca="1">ROUND(IF(AND(项目基本情况!B11="自然人",项目基本情况!B10="北京市"),J6*M17/(1+'数据-取费表'!C42),J18+J19+J20),0)</f>
        <v>0</v>
      </c>
      <c r="K17" s="1256" t="s">
        <v>720</v>
      </c>
      <c r="L17" s="1255" t="s">
        <v>721</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3689</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203499</v>
      </c>
      <c r="D19" s="123" t="s">
        <v>726</v>
      </c>
      <c r="E19" s="1268"/>
      <c r="F19" s="23"/>
      <c r="G19" s="1291"/>
      <c r="H19" s="928" t="s">
        <v>399</v>
      </c>
      <c r="I19" s="294" t="s">
        <v>727</v>
      </c>
      <c r="J19" s="21">
        <f ca="1">IF(K19="按租金收入计税",ROUND(J6*M19/(1+'数据-取费表'!C42),0),ROUND(C29*M19*0.7,0))</f>
        <v>0</v>
      </c>
      <c r="K19" s="1277" t="s">
        <v>3332</v>
      </c>
      <c r="L19" s="294" t="s">
        <v>712</v>
      </c>
      <c r="M19" s="314">
        <f>IF(K19="按租金收入计税",'数据-取费表'!B51,'数据-取费表'!B50)</f>
        <v>0.12</v>
      </c>
    </row>
    <row r="20" spans="1:37" s="1303" customFormat="1" ht="18" customHeight="1">
      <c r="A20" s="928" t="s">
        <v>402</v>
      </c>
      <c r="B20" s="294" t="s">
        <v>728</v>
      </c>
      <c r="C20" s="21">
        <f ca="1">ROUND(C19*F20,0)</f>
        <v>4070</v>
      </c>
      <c r="D20" s="315" t="s">
        <v>729</v>
      </c>
      <c r="E20" s="294" t="s">
        <v>712</v>
      </c>
      <c r="F20" s="314">
        <f>'数据-取费表'!B37</f>
        <v>0.02</v>
      </c>
      <c r="G20" s="1302"/>
      <c r="H20" s="928"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2452</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6227</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-2452</v>
      </c>
      <c r="K25" s="1032" t="s">
        <v>753</v>
      </c>
      <c r="L25" s="1033"/>
      <c r="M25" s="1034"/>
    </row>
    <row r="26" spans="1:37" ht="18" customHeight="1">
      <c r="A26" s="928" t="s">
        <v>397</v>
      </c>
      <c r="B26" s="294" t="s">
        <v>754</v>
      </c>
      <c r="C26" s="21">
        <f ca="1">ROUND((C19+C20)*F26,0)</f>
        <v>10378</v>
      </c>
      <c r="D26" s="315" t="s">
        <v>755</v>
      </c>
      <c r="E26" s="305" t="s">
        <v>756</v>
      </c>
      <c r="F26" s="304">
        <f ca="1">INDIRECT("'数据-取费表'!q"&amp;$G$1)</f>
        <v>0.05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1.5E-3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245186</v>
      </c>
      <c r="D29" s="1029"/>
      <c r="E29" s="1027"/>
      <c r="F29" s="1030"/>
      <c r="G29" s="1302"/>
      <c r="H29" s="325" t="s">
        <v>396</v>
      </c>
      <c r="I29" s="326" t="s">
        <v>768</v>
      </c>
      <c r="J29" s="327">
        <f ca="1">ROUND(J26/(1+F40)^F41,0)</f>
        <v>0</v>
      </c>
      <c r="K29" s="328" t="s">
        <v>769</v>
      </c>
      <c r="L29" s="329"/>
      <c r="M29" s="330">
        <f ca="1">INDIRECT("'数据-取费表'!k"&amp;$G$1)</f>
        <v>30.74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3519</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ROUND(IF(AND(项目基本情况!B11="自然人",项目基本情况!B10="北京市"),C6*F31/(1+'数据-取费表'!C42),C32+C33+C34),0)</f>
        <v>814</v>
      </c>
      <c r="D31" s="1256" t="s">
        <v>720</v>
      </c>
      <c r="E31" s="1255" t="s">
        <v>770</v>
      </c>
      <c r="F31" s="2135" t="str">
        <f>IF(项目基本情况!B11="企业","——",IF(M47="住宅",IF(F6*F7*F8/12/(1+'数据-取费表'!F30)&gt;100000,4%,2.5%),IF(F6*F7*F8/12/(1+'数据-取费表'!F30)&gt;100000,12%,7%)))</f>
        <v>——</v>
      </c>
      <c r="G31" s="1291"/>
      <c r="H31" s="2565" t="s">
        <v>2303</v>
      </c>
      <c r="I31" s="1304"/>
      <c r="J31" s="1305"/>
      <c r="K31" s="121"/>
      <c r="L31" s="2467"/>
      <c r="M31" s="2468"/>
    </row>
    <row r="32" spans="1:37" ht="18" customHeight="1">
      <c r="A32" s="928" t="s">
        <v>397</v>
      </c>
      <c r="B32" s="294" t="s">
        <v>723</v>
      </c>
      <c r="C32" s="21">
        <f ca="1">IF(项目基本情况!B11="自然人","——",ROUND(C6*F32/(1+'数据-取费表'!C42),0))</f>
        <v>259</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f ca="1">IF(项目基本情况!B11="自然人","——",IF(D33="按租金收入计税",ROUND(C6*F33/(1+'数据-取费表'!C42),0),IF(D33="按房产原值计税",ROUND(C29*F33*0.7,0),INDIRECT("'数据-取费表'!Aj"&amp;$G$1))))</f>
        <v>555</v>
      </c>
      <c r="D33" s="1277" t="s">
        <v>3332</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f ca="1">IF(项目基本情况!B11="自然人","——",ROUND(F34*F35,0))</f>
        <v>0</v>
      </c>
      <c r="D34" s="316" t="s">
        <v>731</v>
      </c>
      <c r="E34" s="294" t="s">
        <v>732</v>
      </c>
      <c r="F34" s="317">
        <f>'数据-取费表'!B52</f>
        <v>1.5</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ROUND(C29*F36,0)</f>
        <v>2452</v>
      </c>
      <c r="D36" s="1255" t="s">
        <v>771</v>
      </c>
      <c r="E36" s="294" t="s">
        <v>712</v>
      </c>
      <c r="F36" s="320">
        <f ca="1">INDIRECT("'数据-取费表'!Ak"&amp;$G$1)</f>
        <v>0.01</v>
      </c>
      <c r="G36" s="1291"/>
      <c r="H36" s="2469"/>
      <c r="I36" s="1304"/>
      <c r="J36" s="1305"/>
      <c r="K36" s="2327"/>
      <c r="L36" s="2469"/>
      <c r="M36" s="2469"/>
    </row>
    <row r="37" spans="1:18" ht="18" customHeight="1">
      <c r="A37" s="928" t="s">
        <v>437</v>
      </c>
      <c r="B37" s="294" t="s">
        <v>742</v>
      </c>
      <c r="C37" s="21">
        <f ca="1">ROUND(C13*F37,0)</f>
        <v>204</v>
      </c>
      <c r="D37" s="1255" t="s">
        <v>743</v>
      </c>
      <c r="E37" s="294" t="s">
        <v>744</v>
      </c>
      <c r="F37" s="321">
        <f ca="1">INDIRECT("'数据-取费表'!Al"&amp;$G$1)</f>
        <v>1E-3</v>
      </c>
      <c r="G37" s="1291"/>
      <c r="H37" s="2469"/>
      <c r="I37" s="1304"/>
      <c r="J37" s="1305"/>
      <c r="K37" s="2327"/>
      <c r="L37" s="2469"/>
      <c r="M37" s="2469"/>
    </row>
    <row r="38" spans="1:18" ht="18" customHeight="1" thickBot="1">
      <c r="A38" s="1026" t="s">
        <v>684</v>
      </c>
      <c r="B38" s="1027" t="s">
        <v>728</v>
      </c>
      <c r="C38" s="1028">
        <f ca="1">ROUND(C5*F38,0)</f>
        <v>49</v>
      </c>
      <c r="D38" s="1029" t="s">
        <v>748</v>
      </c>
      <c r="E38" s="1027" t="s">
        <v>744</v>
      </c>
      <c r="F38" s="1023">
        <f ca="1">INDIRECT("'数据-取费表'!Am"&amp;$G$1)</f>
        <v>0.01</v>
      </c>
      <c r="G38" s="1291"/>
      <c r="H38" s="2469"/>
      <c r="I38" s="1304"/>
      <c r="J38" s="1305"/>
      <c r="K38" s="2467"/>
      <c r="L38" s="2469"/>
      <c r="M38" s="2469"/>
    </row>
    <row r="39" spans="1:18" ht="24.6" customHeight="1" thickTop="1">
      <c r="A39" s="1016" t="s">
        <v>394</v>
      </c>
      <c r="B39" s="1031" t="s">
        <v>772</v>
      </c>
      <c r="C39" s="302">
        <f ca="1">C5-C30</f>
        <v>1341</v>
      </c>
      <c r="D39" s="1032" t="s">
        <v>773</v>
      </c>
      <c r="E39" s="1033"/>
      <c r="F39" s="1034"/>
      <c r="G39" s="1291"/>
      <c r="H39" s="2469"/>
      <c r="I39" s="1304"/>
      <c r="J39" s="1305"/>
      <c r="K39" s="2467"/>
      <c r="L39" s="2469"/>
      <c r="M39" s="2469"/>
    </row>
    <row r="40" spans="1:18" ht="18" customHeight="1">
      <c r="A40" s="291" t="s">
        <v>395</v>
      </c>
      <c r="B40" s="292" t="s">
        <v>774</v>
      </c>
      <c r="C40" s="293">
        <f ca="1">ROUND(C39*(1-((1+F42)/(1+F40))^F41)/(F40-F42),0)</f>
        <v>26423</v>
      </c>
      <c r="D40" s="316" t="s">
        <v>758</v>
      </c>
      <c r="E40" s="294" t="s">
        <v>759</v>
      </c>
      <c r="F40" s="304">
        <f ca="1">INDIRECT("'数据-取费表'!I"&amp;$G$1)</f>
        <v>5.5E-2</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40.15</v>
      </c>
      <c r="G41" s="1291"/>
      <c r="H41" s="121">
        <f ca="1">C39/C5</f>
        <v>0.27592592592592591</v>
      </c>
      <c r="I41" s="1304"/>
      <c r="J41" s="1305"/>
      <c r="K41" s="2327"/>
      <c r="L41" s="121"/>
      <c r="M41" s="121"/>
    </row>
    <row r="42" spans="1:18" ht="18" customHeight="1">
      <c r="A42" s="300"/>
      <c r="B42" s="301"/>
      <c r="C42" s="302"/>
      <c r="D42" s="319"/>
      <c r="E42" s="294" t="s">
        <v>766</v>
      </c>
      <c r="F42" s="304">
        <f ca="1">INDIRECT("'数据-取费表'!v"&amp;$G$1)</f>
        <v>1.4999999999999999E-2</v>
      </c>
      <c r="G42" s="1291"/>
      <c r="H42" s="121"/>
      <c r="I42" s="1304"/>
      <c r="J42" s="1305"/>
      <c r="K42" s="2327"/>
      <c r="L42" s="121"/>
      <c r="M42" s="121"/>
    </row>
    <row r="43" spans="1:18" ht="18" customHeight="1" thickBot="1">
      <c r="A43" s="325" t="s">
        <v>396</v>
      </c>
      <c r="B43" s="326" t="s">
        <v>776</v>
      </c>
      <c r="C43" s="327">
        <f ca="1">ROUND(C40/F43,0)</f>
        <v>860</v>
      </c>
      <c r="D43" s="328" t="s">
        <v>777</v>
      </c>
      <c r="E43" s="329" t="s">
        <v>778</v>
      </c>
      <c r="F43" s="330">
        <f ca="1">INDIRECT("'数据-取费表'!k"&amp;$G$1)</f>
        <v>30.74</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3125" t="s">
        <v>3348</v>
      </c>
      <c r="B45" s="1306"/>
      <c r="C45" s="1375">
        <f ca="1">ROUND((C68-C40)/10000,4)</f>
        <v>-6.9086999999999996</v>
      </c>
      <c r="D45" s="3126" t="s">
        <v>3349</v>
      </c>
      <c r="E45" s="1306"/>
      <c r="F45" s="1306"/>
      <c r="O45" s="1309" t="s">
        <v>808</v>
      </c>
      <c r="P45" s="1365"/>
      <c r="Q45" s="1365"/>
      <c r="R45" s="1365"/>
    </row>
    <row r="46" spans="1:18" s="1291" customFormat="1" ht="13.8" thickBot="1">
      <c r="A46" s="1310" t="s">
        <v>809</v>
      </c>
      <c r="C46" s="1311">
        <f ca="1">ROUND(C45,0)</f>
        <v>-7</v>
      </c>
      <c r="D46" s="1312" t="str">
        <f>C2</f>
        <v>万元</v>
      </c>
      <c r="I46" s="1313" t="s">
        <v>810</v>
      </c>
      <c r="J46" s="1314"/>
      <c r="K46" s="1315"/>
      <c r="L46" s="1316">
        <f ca="1">IF(M47="住宅",0,IF(L48&gt;J51,L60,J60))</f>
        <v>5377</v>
      </c>
      <c r="O46" s="1317" t="s">
        <v>811</v>
      </c>
      <c r="P46" s="1318" t="s">
        <v>812</v>
      </c>
      <c r="Q46" s="1319" t="s">
        <v>813</v>
      </c>
      <c r="R46" s="1319" t="s">
        <v>814</v>
      </c>
    </row>
    <row r="47" spans="1:18" s="1291" customFormat="1" ht="13.8" thickBot="1">
      <c r="A47" s="892" t="s">
        <v>687</v>
      </c>
      <c r="B47" s="924" t="s">
        <v>688</v>
      </c>
      <c r="C47" s="924" t="s">
        <v>689</v>
      </c>
      <c r="D47" s="924" t="s">
        <v>690</v>
      </c>
      <c r="E47" s="995" t="s">
        <v>691</v>
      </c>
      <c r="F47" s="996"/>
      <c r="G47" s="681"/>
      <c r="I47" s="1320" t="s">
        <v>815</v>
      </c>
      <c r="J47" s="1321" t="s">
        <v>3483</v>
      </c>
      <c r="K47" s="1322" t="s">
        <v>816</v>
      </c>
      <c r="L47" s="1323">
        <f ca="1">INDIRECT("'数据-取费表'!d"&amp;$G$1)</f>
        <v>50</v>
      </c>
      <c r="M47" s="1287" t="str">
        <f>IF(ISNUMBER(FIND("住宅",C1)),"住宅","非住宅")</f>
        <v>非住宅</v>
      </c>
      <c r="O47" s="1324" t="s">
        <v>403</v>
      </c>
      <c r="P47" s="1325" t="s">
        <v>817</v>
      </c>
      <c r="Q47" s="1326">
        <f ca="1">C40+J29</f>
        <v>26423</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3484</v>
      </c>
      <c r="K48" s="1329" t="s">
        <v>820</v>
      </c>
      <c r="L48" s="1330">
        <f ca="1">INDIRECT("'数据-取费表'!f"&amp;$G$1)</f>
        <v>40.15</v>
      </c>
      <c r="O48" s="1324" t="s">
        <v>404</v>
      </c>
      <c r="P48" s="1325" t="s">
        <v>821</v>
      </c>
      <c r="Q48" s="1326">
        <f ca="1">J60</f>
        <v>5377</v>
      </c>
      <c r="R48" s="1326" t="s">
        <v>822</v>
      </c>
    </row>
    <row r="49" spans="1:18" s="1291" customFormat="1" ht="13.8" thickBot="1">
      <c r="A49" s="921" t="s">
        <v>439</v>
      </c>
      <c r="B49" s="1278" t="s">
        <v>779</v>
      </c>
      <c r="C49" s="1051">
        <f ca="1">ROUND(F49*F51*F50*(1-F52),0)</f>
        <v>0</v>
      </c>
      <c r="D49" s="992" t="s">
        <v>695</v>
      </c>
      <c r="E49" s="1279" t="s">
        <v>780</v>
      </c>
      <c r="F49" s="997"/>
      <c r="H49" s="682"/>
      <c r="I49" s="1327" t="s">
        <v>823</v>
      </c>
      <c r="J49" s="1331">
        <f>'数据-取费表'!N17</f>
        <v>2015</v>
      </c>
      <c r="K49" s="1329" t="s">
        <v>824</v>
      </c>
      <c r="L49" s="1332"/>
      <c r="O49" s="1333" t="s">
        <v>405</v>
      </c>
      <c r="P49" s="1325" t="s">
        <v>825</v>
      </c>
      <c r="Q49" s="1326">
        <f ca="1">C29</f>
        <v>245186</v>
      </c>
      <c r="R49" s="1326" t="s">
        <v>818</v>
      </c>
    </row>
    <row r="50" spans="1:18" s="1291" customFormat="1" ht="13.8" thickBot="1">
      <c r="A50" s="922"/>
      <c r="B50" s="925"/>
      <c r="C50" s="926"/>
      <c r="D50" s="899"/>
      <c r="E50" s="993" t="s">
        <v>697</v>
      </c>
      <c r="F50" s="994">
        <f ca="1">F7</f>
        <v>1</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12</v>
      </c>
      <c r="I51" s="1337" t="s">
        <v>829</v>
      </c>
      <c r="J51" s="1330">
        <f>IF(J49="",J50,J49+J50-YEAR('数据-取费表'!B2))</f>
        <v>50</v>
      </c>
      <c r="K51" s="1338" t="s">
        <v>830</v>
      </c>
      <c r="L51" s="1339">
        <f ca="1">ROUND(-PV(INDIRECT("'数据-取费表'!h"&amp;$G$1),J51,(C39-C13*C76),0),0)</f>
        <v>-235580</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40.15</v>
      </c>
      <c r="R52" s="1326" t="s">
        <v>835</v>
      </c>
    </row>
    <row r="53" spans="1:18" s="1291" customFormat="1" ht="30.75" customHeight="1" thickBot="1">
      <c r="A53" s="1048" t="s">
        <v>440</v>
      </c>
      <c r="B53" s="315" t="s">
        <v>700</v>
      </c>
      <c r="C53" s="308">
        <f ca="1">ROUND(IF(F53="押一",C49/12*F11,IF(F53="押二",C49/12*2*F11,IF(F53="押三",C49/12*3*F11,C54*F11))),0)</f>
        <v>0</v>
      </c>
      <c r="D53" s="150" t="s">
        <v>2116</v>
      </c>
      <c r="E53" s="305" t="s">
        <v>701</v>
      </c>
      <c r="F53" s="1053"/>
      <c r="I53" s="1343" t="s">
        <v>836</v>
      </c>
      <c r="J53" s="2002">
        <f ca="1">IF(M47="住宅",IF(D1="——",MAX(J51,L48),MAX(J51,L48-'数据-取费表'!B24)),IF(D1="——",MIN(J51,L48),MIN(J51,L48-'数据-取费表'!B24)))</f>
        <v>40.15</v>
      </c>
      <c r="K53" s="3488" t="s">
        <v>837</v>
      </c>
      <c r="L53" s="3489"/>
      <c r="O53" s="1324" t="s">
        <v>409</v>
      </c>
      <c r="P53" s="1325" t="s">
        <v>838</v>
      </c>
      <c r="Q53" s="1326">
        <f ca="1">Q47+Q48</f>
        <v>31800</v>
      </c>
      <c r="R53" s="1326" t="s">
        <v>410</v>
      </c>
    </row>
    <row r="54" spans="1:18" s="1291" customFormat="1" ht="13.8"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f ca="1">ROUND(IF(J47="钢混",J57/J50,1-(1-2%)*(J50-J57)/J50),3)</f>
        <v>0.16400000000000001</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203504</v>
      </c>
      <c r="D56" s="1351"/>
      <c r="E56" s="1352"/>
      <c r="F56" s="1344"/>
      <c r="I56" s="1353" t="s">
        <v>842</v>
      </c>
      <c r="J56" s="1354" t="s">
        <v>3485</v>
      </c>
      <c r="K56" s="1327" t="s">
        <v>843</v>
      </c>
      <c r="L56" s="1330" t="str">
        <f ca="1">IF(L48&lt;J51,"——",L48-J51)</f>
        <v>——</v>
      </c>
      <c r="O56" s="1324" t="s">
        <v>403</v>
      </c>
      <c r="P56" s="1325" t="s">
        <v>817</v>
      </c>
      <c r="Q56" s="1326">
        <f ca="1">C40+J29</f>
        <v>26423</v>
      </c>
      <c r="R56" s="1326" t="s">
        <v>818</v>
      </c>
    </row>
    <row r="57" spans="1:18" s="1291" customFormat="1" ht="24.6" thickBot="1">
      <c r="A57" s="1355"/>
      <c r="B57" s="896" t="s">
        <v>767</v>
      </c>
      <c r="C57" s="230">
        <f ca="1">C29</f>
        <v>245186</v>
      </c>
      <c r="D57" s="1356"/>
      <c r="E57" s="1357"/>
      <c r="F57" s="1358"/>
      <c r="I57" s="1359" t="s">
        <v>844</v>
      </c>
      <c r="J57" s="1360">
        <f ca="1">IF(OR(M47="住宅",J51&lt;L48,J56="是"),"——",J51-L48)</f>
        <v>9.8500000000000014</v>
      </c>
      <c r="K57" s="1327" t="s">
        <v>892</v>
      </c>
      <c r="L57" s="1330" t="str">
        <f ca="1">IF(L48&lt;J51,"——",IF(L55="比较法",L49,IF(L55="基准地价",L50,L51)))</f>
        <v>——</v>
      </c>
      <c r="O57" s="1324" t="s">
        <v>404</v>
      </c>
      <c r="P57" s="1325" t="s">
        <v>893</v>
      </c>
      <c r="Q57" s="1326">
        <f ca="1">L60</f>
        <v>0</v>
      </c>
      <c r="R57" s="1326" t="s">
        <v>894</v>
      </c>
    </row>
    <row r="58" spans="1:18" s="1291" customFormat="1" ht="24.6" thickBot="1">
      <c r="A58" s="307" t="s">
        <v>393</v>
      </c>
      <c r="B58" s="904" t="s">
        <v>714</v>
      </c>
      <c r="C58" s="308">
        <f ca="1">ROUND(C59+C64+C65+C66,0)</f>
        <v>2656</v>
      </c>
      <c r="D58" s="906" t="s">
        <v>715</v>
      </c>
      <c r="E58" s="907"/>
      <c r="F58" s="908"/>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6">
        <f ca="1">ROUND(IF(AND(项目基本情况!B11="自然人",项目基本情况!B10="北京市"),C49*F59/(1+'数据-取费表'!C42),C60+C61+C62),0)</f>
        <v>0</v>
      </c>
      <c r="D59" s="909" t="s">
        <v>720</v>
      </c>
      <c r="E59" s="910" t="s">
        <v>721</v>
      </c>
      <c r="F59" s="2135" t="str">
        <f>IF(项目基本情况!B11="企业","——",IF('数据-取费表'!B10="住宅",IF(F49*F50*F51/12/(1+'数据-取费表'!F30)&gt;100000,4%,2.5%),IF(F49*F50*F51/12/(1+'数据-取费表'!F30)&gt;100000,12%,7%)))</f>
        <v>——</v>
      </c>
      <c r="I59" s="1359" t="s">
        <v>851</v>
      </c>
      <c r="J59" s="1360">
        <f ca="1">IF(OR(M47="住宅",J51&lt;L48,J56="是"),"——",ROUND(C29*J58,0))</f>
        <v>98074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f ca="1">IF(OR(M47="住宅",J51&lt;L48,J56="是"),"0",ROUND(J59/(1+J52)^J53,0))</f>
        <v>5377</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IF(项目基本情况!B11="自然人","——",IF(D61="按租金收入计税",ROUND(C49*F61/(1+'数据-取费表'!C42),0),IF(D61="按房产原值计税",ROUND(C57*F61*0.7,0),INDIRECT("'数据-取费表'!Aj"&amp;$G$1))))</f>
        <v>0</v>
      </c>
      <c r="D61" s="1277" t="s">
        <v>3332</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IF(项目基本情况!B11="自然人","——",ROUND(F62*F63,0))</f>
        <v>0</v>
      </c>
      <c r="D62" s="911" t="s">
        <v>786</v>
      </c>
      <c r="E62" s="896" t="s">
        <v>787</v>
      </c>
      <c r="F62" s="317">
        <f t="shared" si="0"/>
        <v>1.5</v>
      </c>
      <c r="I62" s="1366" t="s">
        <v>858</v>
      </c>
      <c r="J62" s="610" t="s">
        <v>859</v>
      </c>
      <c r="K62" s="610" t="s">
        <v>860</v>
      </c>
      <c r="L62" s="610" t="s">
        <v>861</v>
      </c>
      <c r="M62" s="1367" t="s">
        <v>862</v>
      </c>
      <c r="O62" s="1324" t="s">
        <v>409</v>
      </c>
      <c r="P62" s="1325" t="s">
        <v>863</v>
      </c>
      <c r="Q62" s="1326">
        <f ca="1">Q56+Q57</f>
        <v>26423</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ROUND(C57*F64,0)</f>
        <v>2452</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ROUND(C56*F65,0)</f>
        <v>204</v>
      </c>
      <c r="D65" s="910" t="s">
        <v>743</v>
      </c>
      <c r="E65" s="896" t="s">
        <v>744</v>
      </c>
      <c r="F65" s="321">
        <f t="shared" ca="1" si="0"/>
        <v>1E-3</v>
      </c>
      <c r="I65" s="1366" t="s">
        <v>867</v>
      </c>
      <c r="J65" s="610">
        <v>40</v>
      </c>
      <c r="K65" s="610">
        <v>30</v>
      </c>
      <c r="L65" s="610">
        <v>50</v>
      </c>
      <c r="M65" s="1368">
        <v>0.02</v>
      </c>
      <c r="O65" s="1324" t="s">
        <v>403</v>
      </c>
      <c r="P65" s="1325" t="s">
        <v>868</v>
      </c>
      <c r="Q65" s="1326">
        <f ca="1">C40+J29</f>
        <v>26423</v>
      </c>
      <c r="R65" s="1326" t="s">
        <v>818</v>
      </c>
    </row>
    <row r="66" spans="1:18" s="1291" customFormat="1" ht="16.2"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24.6" thickBot="1">
      <c r="A67" s="903" t="s">
        <v>394</v>
      </c>
      <c r="B67" s="913" t="s">
        <v>752</v>
      </c>
      <c r="C67" s="308">
        <f ca="1">C48-C58</f>
        <v>-2656</v>
      </c>
      <c r="D67" s="909" t="s">
        <v>753</v>
      </c>
      <c r="E67" s="914"/>
      <c r="F67" s="915"/>
      <c r="O67" s="1333" t="s">
        <v>405</v>
      </c>
      <c r="P67" s="1325" t="s">
        <v>850</v>
      </c>
      <c r="Q67" s="1369">
        <f ca="1">L51</f>
        <v>-235580</v>
      </c>
      <c r="R67" s="1326" t="s">
        <v>870</v>
      </c>
    </row>
    <row r="68" spans="1:18" s="1291" customFormat="1" ht="16.2" thickBot="1">
      <c r="A68" s="893" t="s">
        <v>395</v>
      </c>
      <c r="B68" s="894" t="s">
        <v>774</v>
      </c>
      <c r="C68" s="293">
        <f ca="1">ROUND(C67*(1-((1+F70)/(1+F68))^F69)/(F68-F70),0)</f>
        <v>-42664</v>
      </c>
      <c r="D68" s="911" t="s">
        <v>758</v>
      </c>
      <c r="E68" s="896" t="s">
        <v>759</v>
      </c>
      <c r="F68" s="304">
        <f ca="1">F40</f>
        <v>5.5E-2</v>
      </c>
      <c r="O68" s="1333" t="s">
        <v>406</v>
      </c>
      <c r="P68" s="1370" t="s">
        <v>871</v>
      </c>
      <c r="Q68" s="1326">
        <f ca="1">ROUND(Q69-Q70*Q71,0)</f>
        <v>-12904</v>
      </c>
      <c r="R68" s="1326" t="s">
        <v>414</v>
      </c>
    </row>
    <row r="69" spans="1:18" s="1291" customFormat="1" ht="13.8" thickBot="1">
      <c r="A69" s="897"/>
      <c r="B69" s="898"/>
      <c r="C69" s="298"/>
      <c r="D69" s="916" t="s">
        <v>762</v>
      </c>
      <c r="E69" s="896" t="s">
        <v>763</v>
      </c>
      <c r="F69" s="324">
        <f ca="1">F41</f>
        <v>40.15</v>
      </c>
      <c r="O69" s="1333" t="s">
        <v>411</v>
      </c>
      <c r="P69" s="1370" t="s">
        <v>872</v>
      </c>
      <c r="Q69" s="1326">
        <f ca="1">C39</f>
        <v>1341</v>
      </c>
      <c r="R69" s="1326" t="s">
        <v>818</v>
      </c>
    </row>
    <row r="70" spans="1:18" s="1291" customFormat="1" ht="13.8" thickBot="1">
      <c r="A70" s="900"/>
      <c r="B70" s="901"/>
      <c r="C70" s="302"/>
      <c r="D70" s="912"/>
      <c r="E70" s="896" t="s">
        <v>766</v>
      </c>
      <c r="F70" s="991"/>
      <c r="O70" s="1333" t="s">
        <v>412</v>
      </c>
      <c r="P70" s="1370" t="s">
        <v>873</v>
      </c>
      <c r="Q70" s="1326">
        <f ca="1">C13</f>
        <v>203504</v>
      </c>
      <c r="R70" s="1326" t="s">
        <v>818</v>
      </c>
    </row>
    <row r="71" spans="1:18" s="1291" customFormat="1" ht="13.8" thickBot="1">
      <c r="A71" s="917" t="s">
        <v>396</v>
      </c>
      <c r="B71" s="918" t="s">
        <v>776</v>
      </c>
      <c r="C71" s="327">
        <f ca="1">ROUND(C68/F71,0)</f>
        <v>-1388</v>
      </c>
      <c r="D71" s="919" t="s">
        <v>777</v>
      </c>
      <c r="E71" s="920" t="s">
        <v>778</v>
      </c>
      <c r="F71" s="330">
        <f ca="1">F43</f>
        <v>30.74</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14245</v>
      </c>
      <c r="D75" s="1291"/>
      <c r="E75" s="1291"/>
      <c r="F75" s="1291"/>
      <c r="K75" s="1308"/>
      <c r="L75" s="1291"/>
      <c r="O75" s="1324" t="s">
        <v>409</v>
      </c>
      <c r="P75" s="1325" t="s">
        <v>838</v>
      </c>
      <c r="Q75" s="1326">
        <f ca="1">Q65+Q66</f>
        <v>26423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-9.6229999999999993</v>
      </c>
    </row>
    <row r="80" spans="1:18">
      <c r="B80" s="331" t="s">
        <v>800</v>
      </c>
      <c r="C80" s="266">
        <f ca="1">ROUND(C75/C39,3)</f>
        <v>10.622999999999999</v>
      </c>
    </row>
    <row r="81" spans="2:3">
      <c r="B81" s="262" t="s">
        <v>801</v>
      </c>
      <c r="C81" s="230"/>
    </row>
    <row r="82" spans="2:3">
      <c r="B82" s="265" t="s">
        <v>802</v>
      </c>
      <c r="C82" s="267">
        <f ca="1">1-C83</f>
        <v>-6.702</v>
      </c>
    </row>
    <row r="83" spans="2:3">
      <c r="B83" s="265" t="s">
        <v>803</v>
      </c>
      <c r="C83" s="266">
        <f ca="1">ROUND(C13/C40,3)</f>
        <v>7.702</v>
      </c>
    </row>
  </sheetData>
  <sheetProtection password="CEE9" sheet="1" objects="1" scenarios="1" formatCells="0" formatColumns="0" formatRows="0"/>
  <mergeCells count="3">
    <mergeCell ref="B6:B9"/>
    <mergeCell ref="I6:I9"/>
    <mergeCell ref="K53:L53"/>
  </mergeCells>
  <phoneticPr fontId="140" type="noConversion"/>
  <conditionalFormatting sqref="C11">
    <cfRule type="expression" dxfId="50" priority="3">
      <formula>$F$10="自定义"</formula>
    </cfRule>
  </conditionalFormatting>
  <conditionalFormatting sqref="C54">
    <cfRule type="expression" dxfId="49" priority="1">
      <formula>$F$53="自定义"</formula>
    </cfRule>
  </conditionalFormatting>
  <conditionalFormatting sqref="I55 I60">
    <cfRule type="expression" dxfId="48" priority="5">
      <formula>$J$51&gt;$L$48</formula>
    </cfRule>
  </conditionalFormatting>
  <conditionalFormatting sqref="J11">
    <cfRule type="expression" dxfId="47" priority="2">
      <formula>$M$10="自定义"</formula>
    </cfRule>
  </conditionalFormatting>
  <conditionalFormatting sqref="K55 K60">
    <cfRule type="expression" dxfId="46" priority="4">
      <formula>$L$48&gt;$J$51</formula>
    </cfRule>
  </conditionalFormatting>
  <dataValidations count="9">
    <dataValidation type="list" allowBlank="1" showInputMessage="1" showErrorMessage="1" sqref="L55" xr:uid="{00000000-0002-0000-1E00-000000000000}">
      <formula1>"比较法,基准地价,收益还原"</formula1>
    </dataValidation>
    <dataValidation type="list" allowBlank="1" showInputMessage="1" showErrorMessage="1" sqref="J56" xr:uid="{00000000-0002-0000-1E00-000001000000}">
      <formula1>估价范围判定</formula1>
    </dataValidation>
    <dataValidation type="list" allowBlank="1" showInputMessage="1" showErrorMessage="1" sqref="J48" xr:uid="{00000000-0002-0000-1E00-000002000000}">
      <formula1>"非生产用房,生产用房,受腐蚀的生产用房"</formula1>
    </dataValidation>
    <dataValidation type="list" allowBlank="1" showInputMessage="1" showErrorMessage="1" sqref="J47" xr:uid="{00000000-0002-0000-1E00-000003000000}">
      <formula1>"钢,钢混,砖混"</formula1>
    </dataValidation>
    <dataValidation type="list" allowBlank="1" showInputMessage="1" showErrorMessage="1" sqref="C1" xr:uid="{00000000-0002-0000-1E00-000004000000}">
      <formula1>项目类型</formula1>
    </dataValidation>
    <dataValidation type="list" allowBlank="1" showInputMessage="1" showErrorMessage="1" sqref="D33 D61" xr:uid="{00000000-0002-0000-1E00-000005000000}">
      <formula1>"按租金收入计税,按房产原值计税,按票据"</formula1>
    </dataValidation>
    <dataValidation type="list" allowBlank="1" showInputMessage="1" showErrorMessage="1" sqref="K19" xr:uid="{00000000-0002-0000-1E00-000006000000}">
      <formula1>"按租金收入计税,按房产原值计税"</formula1>
    </dataValidation>
    <dataValidation type="list" allowBlank="1" showInputMessage="1" showErrorMessage="1" sqref="F10 F53 M10"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83F46-049B-4357-B3CC-308397C4401A}">
  <sheetPr>
    <tabColor rgb="FF92D050"/>
  </sheetPr>
  <dimension ref="A1:AS1170"/>
  <sheetViews>
    <sheetView zoomScale="70" zoomScaleNormal="70" workbookViewId="0">
      <pane ySplit="24" topLeftCell="A1156" activePane="bottomLeft" state="frozen"/>
      <selection activeCell="C50" sqref="C50"/>
      <selection pane="bottomLeft" activeCell="T6" sqref="T6"/>
    </sheetView>
  </sheetViews>
  <sheetFormatPr defaultColWidth="9" defaultRowHeight="13.2"/>
  <cols>
    <col min="1" max="1" width="11.44140625" style="122" customWidth="1"/>
    <col min="2" max="2" width="11.5546875" style="24" customWidth="1"/>
    <col min="3" max="3" width="8.6640625" style="24" customWidth="1"/>
    <col min="4" max="4" width="9" style="24"/>
    <col min="5" max="5" width="9"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7.664062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5" t="s">
        <v>2084</v>
      </c>
      <c r="D1" s="3486"/>
      <c r="E1" s="3486"/>
      <c r="F1" s="3486"/>
      <c r="G1" s="3486"/>
      <c r="H1" s="3486"/>
      <c r="I1" s="3486"/>
      <c r="J1" s="3486"/>
      <c r="K1" s="3486"/>
      <c r="L1" s="3486"/>
      <c r="M1" s="3486"/>
      <c r="N1" s="3486"/>
      <c r="O1" s="3486"/>
      <c r="P1" s="3486"/>
      <c r="Q1" s="3486"/>
      <c r="R1" s="3486"/>
      <c r="S1" s="3487"/>
      <c r="T1" s="929" t="s">
        <v>1989</v>
      </c>
    </row>
    <row r="2" spans="1:45" s="625" customFormat="1" ht="26.4">
      <c r="A2" s="930"/>
      <c r="B2" s="622" t="s">
        <v>1065</v>
      </c>
      <c r="C2" s="14" t="str">
        <f t="shared" ref="C2:R2" si="0">C3&amp;"(含)"&amp;"-"&amp;D3</f>
        <v>0(含)-26.5</v>
      </c>
      <c r="D2" s="623" t="str">
        <f t="shared" si="0"/>
        <v>26.5(含)-40</v>
      </c>
      <c r="E2" s="623" t="str">
        <f t="shared" si="0"/>
        <v>40(含)-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'比较法-车位'!C91</f>
        <v>0</v>
      </c>
      <c r="D3" s="627">
        <f>'比较法-车位'!D91</f>
        <v>26.5</v>
      </c>
      <c r="E3" s="627">
        <f>'比较法-车位'!E91</f>
        <v>40</v>
      </c>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'比较法-车位'!C92</f>
        <v>98</v>
      </c>
      <c r="D4" s="627">
        <f>'比较法-车位'!D92</f>
        <v>100</v>
      </c>
      <c r="E4" s="627"/>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3173" t="s">
        <v>6338</v>
      </c>
      <c r="C5" s="3235" t="s">
        <v>6332</v>
      </c>
      <c r="D5" s="3236" t="s">
        <v>6331</v>
      </c>
      <c r="E5" s="941"/>
      <c r="F5" s="1226"/>
      <c r="G5" s="1226"/>
      <c r="H5" s="1226"/>
      <c r="I5" s="1226"/>
      <c r="J5" s="1226"/>
      <c r="K5" s="1226"/>
      <c r="L5" s="1227"/>
      <c r="M5" s="1228"/>
      <c r="N5" s="1228"/>
      <c r="O5" s="1226"/>
      <c r="P5" s="1226"/>
      <c r="Q5" s="1226"/>
      <c r="R5" s="1226"/>
      <c r="S5" s="1229"/>
      <c r="T5" s="943">
        <f>'比较法-车位'!K22</f>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98</v>
      </c>
      <c r="E6" s="849">
        <f t="shared" ref="E6:S6" si="1">D6-$T5</f>
        <v>96</v>
      </c>
      <c r="F6" s="1230">
        <f t="shared" si="1"/>
        <v>94</v>
      </c>
      <c r="G6" s="1230">
        <f t="shared" si="1"/>
        <v>92</v>
      </c>
      <c r="H6" s="1230">
        <f t="shared" si="1"/>
        <v>90</v>
      </c>
      <c r="I6" s="1230">
        <f t="shared" si="1"/>
        <v>88</v>
      </c>
      <c r="J6" s="1230">
        <f t="shared" si="1"/>
        <v>86</v>
      </c>
      <c r="K6" s="1230">
        <f t="shared" si="1"/>
        <v>84</v>
      </c>
      <c r="L6" s="1230">
        <f t="shared" si="1"/>
        <v>82</v>
      </c>
      <c r="M6" s="1230">
        <f t="shared" si="1"/>
        <v>80</v>
      </c>
      <c r="N6" s="1230">
        <f t="shared" si="1"/>
        <v>78</v>
      </c>
      <c r="O6" s="1230">
        <f t="shared" si="1"/>
        <v>76</v>
      </c>
      <c r="P6" s="1230">
        <f t="shared" si="1"/>
        <v>74</v>
      </c>
      <c r="Q6" s="1230">
        <f t="shared" si="1"/>
        <v>72</v>
      </c>
      <c r="R6" s="1230">
        <f t="shared" si="1"/>
        <v>70</v>
      </c>
      <c r="S6" s="1230">
        <f t="shared" si="1"/>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2087</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2">D8-$T7</f>
        <v>100</v>
      </c>
      <c r="F8" s="1230">
        <f t="shared" si="2"/>
        <v>100</v>
      </c>
      <c r="G8" s="1230">
        <f t="shared" si="2"/>
        <v>100</v>
      </c>
      <c r="H8" s="1230">
        <f t="shared" si="2"/>
        <v>100</v>
      </c>
      <c r="I8" s="1230">
        <f t="shared" si="2"/>
        <v>100</v>
      </c>
      <c r="J8" s="1230">
        <f t="shared" si="2"/>
        <v>100</v>
      </c>
      <c r="K8" s="1230">
        <f t="shared" si="2"/>
        <v>100</v>
      </c>
      <c r="L8" s="1230">
        <f t="shared" si="2"/>
        <v>100</v>
      </c>
      <c r="M8" s="1230">
        <f t="shared" si="2"/>
        <v>100</v>
      </c>
      <c r="N8" s="1230">
        <f t="shared" si="2"/>
        <v>100</v>
      </c>
      <c r="O8" s="1230">
        <f t="shared" si="2"/>
        <v>100</v>
      </c>
      <c r="P8" s="1230">
        <f t="shared" si="2"/>
        <v>100</v>
      </c>
      <c r="Q8" s="1230">
        <f t="shared" si="2"/>
        <v>100</v>
      </c>
      <c r="R8" s="1230">
        <f t="shared" si="2"/>
        <v>100</v>
      </c>
      <c r="S8" s="1230">
        <f t="shared" si="2"/>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2088</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3">D10-$T9</f>
        <v>100</v>
      </c>
      <c r="F10" s="1239">
        <f t="shared" si="3"/>
        <v>100</v>
      </c>
      <c r="G10" s="1239">
        <f t="shared" si="3"/>
        <v>100</v>
      </c>
      <c r="H10" s="1239">
        <f t="shared" si="3"/>
        <v>100</v>
      </c>
      <c r="I10" s="1239">
        <f t="shared" si="3"/>
        <v>100</v>
      </c>
      <c r="J10" s="1239">
        <f t="shared" si="3"/>
        <v>100</v>
      </c>
      <c r="K10" s="1239">
        <f t="shared" si="3"/>
        <v>100</v>
      </c>
      <c r="L10" s="1239">
        <f t="shared" si="3"/>
        <v>100</v>
      </c>
      <c r="M10" s="1239">
        <f t="shared" si="3"/>
        <v>100</v>
      </c>
      <c r="N10" s="1239">
        <f t="shared" si="3"/>
        <v>100</v>
      </c>
      <c r="O10" s="1239">
        <f t="shared" si="3"/>
        <v>100</v>
      </c>
      <c r="P10" s="1239">
        <f t="shared" si="3"/>
        <v>100</v>
      </c>
      <c r="Q10" s="1239">
        <f t="shared" si="3"/>
        <v>100</v>
      </c>
      <c r="R10" s="1239">
        <f t="shared" si="3"/>
        <v>100</v>
      </c>
      <c r="S10" s="1239">
        <f t="shared" si="3"/>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4">D12-$T11</f>
        <v>100</v>
      </c>
      <c r="F12" s="849">
        <f t="shared" si="4"/>
        <v>100</v>
      </c>
      <c r="G12" s="849">
        <f t="shared" si="4"/>
        <v>100</v>
      </c>
      <c r="H12" s="849">
        <f t="shared" si="4"/>
        <v>100</v>
      </c>
      <c r="I12" s="849">
        <f t="shared" si="4"/>
        <v>100</v>
      </c>
      <c r="J12" s="849">
        <f t="shared" si="4"/>
        <v>100</v>
      </c>
      <c r="K12" s="849">
        <f t="shared" si="4"/>
        <v>100</v>
      </c>
      <c r="L12" s="849">
        <f t="shared" si="4"/>
        <v>100</v>
      </c>
      <c r="M12" s="849">
        <f t="shared" si="4"/>
        <v>100</v>
      </c>
      <c r="N12" s="849">
        <f t="shared" si="4"/>
        <v>100</v>
      </c>
      <c r="O12" s="849">
        <f t="shared" si="4"/>
        <v>100</v>
      </c>
      <c r="P12" s="849">
        <f t="shared" si="4"/>
        <v>100</v>
      </c>
      <c r="Q12" s="849">
        <f t="shared" si="4"/>
        <v>100</v>
      </c>
      <c r="R12" s="849">
        <f>Q12-$T11</f>
        <v>100</v>
      </c>
      <c r="S12" s="849">
        <f t="shared" si="4"/>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3173"/>
      <c r="C13" s="3174"/>
      <c r="D13" s="3175"/>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2091</v>
      </c>
      <c r="B17" s="1983"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4" t="s">
        <v>2093</v>
      </c>
      <c r="E19" s="1252"/>
      <c r="F19" s="1252"/>
      <c r="G19" s="1252"/>
      <c r="H19" s="996"/>
      <c r="I19" s="151"/>
      <c r="J19" s="151"/>
      <c r="K19" s="151"/>
      <c r="L19" s="151"/>
      <c r="M19" s="151"/>
      <c r="N19" s="151"/>
      <c r="O19" s="151"/>
      <c r="P19" s="151"/>
      <c r="Q19" s="151"/>
      <c r="R19" s="151"/>
      <c r="S19" s="121"/>
    </row>
    <row r="20" spans="1:45" ht="16.2" thickBot="1">
      <c r="A20" s="632" t="s">
        <v>2094</v>
      </c>
      <c r="B20" s="286">
        <f ca="1">IF(D20="——",S22,S22-F20)</f>
        <v>19214</v>
      </c>
      <c r="C20" s="151"/>
      <c r="D20" s="1985" t="s">
        <v>43</v>
      </c>
      <c r="E20" s="1253"/>
      <c r="F20" s="929" t="e">
        <f ca="1">SUMIF(INDIRECT("'"&amp;H20&amp;"'"&amp;"!A:A"),"承租人权益价值",INDIRECT("'"&amp;H20&amp;"'"&amp;"!c:c"))</f>
        <v>#REF!</v>
      </c>
      <c r="G20" s="929" t="s">
        <v>2095</v>
      </c>
      <c r="H20" s="1986"/>
      <c r="I20" s="151"/>
      <c r="J20" s="151"/>
      <c r="K20" s="151"/>
      <c r="L20" s="151"/>
      <c r="M20" s="151"/>
      <c r="N20" s="151"/>
      <c r="O20" s="151"/>
      <c r="P20" s="151"/>
      <c r="Q20" s="151"/>
      <c r="R20" s="151"/>
      <c r="S20" s="121"/>
    </row>
    <row r="21" spans="1:45" ht="15.6">
      <c r="A21" s="632" t="s">
        <v>2096</v>
      </c>
      <c r="B21" s="286">
        <f ca="1">ROUND(B20*10000/B22,0)</f>
        <v>5094</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37717.379999999968</v>
      </c>
      <c r="C22" s="3482" t="s">
        <v>27</v>
      </c>
      <c r="D22" s="3483"/>
      <c r="E22" s="3483"/>
      <c r="F22" s="3483"/>
      <c r="G22" s="3483"/>
      <c r="H22" s="3483"/>
      <c r="I22" s="3483"/>
      <c r="J22" s="3483"/>
      <c r="K22" s="3483"/>
      <c r="L22" s="3483"/>
      <c r="M22" s="3483"/>
      <c r="N22" s="3483"/>
      <c r="O22" s="3483"/>
      <c r="P22" s="3483"/>
      <c r="Q22" s="3484"/>
      <c r="R22" s="21">
        <f ca="1">ROUND(S22*10000/B22,0)</f>
        <v>5094</v>
      </c>
      <c r="S22" s="21">
        <f ca="1">SUM(S24:S10000)</f>
        <v>19214</v>
      </c>
    </row>
    <row r="23" spans="1:45" s="9" customFormat="1" ht="24">
      <c r="A23" s="8" t="s">
        <v>2098</v>
      </c>
      <c r="B23" s="8" t="s">
        <v>2099</v>
      </c>
      <c r="C23" s="8" t="s">
        <v>2100</v>
      </c>
      <c r="D23" s="8" t="str">
        <f>B5</f>
        <v>楼层</v>
      </c>
      <c r="E23" s="8" t="s">
        <v>2100</v>
      </c>
      <c r="F23" s="8" t="str">
        <f>B7</f>
        <v>修正项3</v>
      </c>
      <c r="G23" s="8" t="s">
        <v>2100</v>
      </c>
      <c r="H23" s="8" t="str">
        <f>B9</f>
        <v>修正项4</v>
      </c>
      <c r="I23" s="8" t="s">
        <v>2100</v>
      </c>
      <c r="J23" s="8" t="str">
        <f>B11</f>
        <v>修正项5</v>
      </c>
      <c r="K23" s="8" t="s">
        <v>2100</v>
      </c>
      <c r="L23" s="8">
        <f>B13</f>
        <v>0</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64" t="s">
        <v>6337</v>
      </c>
      <c r="B24" s="633">
        <f>车位面积信息!J2</f>
        <v>30.74</v>
      </c>
      <c r="C24" s="2566">
        <v>1</v>
      </c>
      <c r="D24" s="3228" t="s">
        <v>5171</v>
      </c>
      <c r="E24" s="2566">
        <v>1</v>
      </c>
      <c r="F24" s="2567"/>
      <c r="G24" s="2566">
        <v>1</v>
      </c>
      <c r="H24" s="2567"/>
      <c r="I24" s="2566">
        <v>1</v>
      </c>
      <c r="J24" s="2567"/>
      <c r="K24" s="2566">
        <v>1</v>
      </c>
      <c r="L24" s="2567"/>
      <c r="M24" s="2566">
        <v>1</v>
      </c>
      <c r="N24" s="2567"/>
      <c r="O24" s="2566">
        <v>1</v>
      </c>
      <c r="P24" s="2567"/>
      <c r="Q24" s="2566">
        <v>1</v>
      </c>
      <c r="R24" s="633">
        <f ca="1">'结果表 -车位'!G20</f>
        <v>5044</v>
      </c>
      <c r="S24" s="634">
        <f t="shared" ref="S24:S87" ca="1" si="5">ROUND(R24*B24/10000,0)</f>
        <v>16</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3226" t="s">
        <v>4011</v>
      </c>
      <c r="B25" s="3228">
        <v>30.74</v>
      </c>
      <c r="C25" s="21">
        <f>IF(B25="",1,(LOOKUP(B25,$3:$3,$4:$4)-LOOKUP($B$24,$3:$3,$4:$4)+100)/100)</f>
        <v>1</v>
      </c>
      <c r="D25" s="3237" t="s">
        <v>4009</v>
      </c>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5044</v>
      </c>
      <c r="S25" s="308">
        <f t="shared" ca="1" si="5"/>
        <v>16</v>
      </c>
    </row>
    <row r="26" spans="1:45">
      <c r="A26" s="3227" t="s">
        <v>5176</v>
      </c>
      <c r="B26" s="3228">
        <v>32.67</v>
      </c>
      <c r="C26" s="21">
        <f t="shared" ref="C26:C89" si="6">IF(B26="",1,(LOOKUP(B26,$3:$3,$4:$4)-LOOKUP($B$24,$3:$3,$4:$4)+100)/100)</f>
        <v>1</v>
      </c>
      <c r="D26" s="3237" t="s">
        <v>5171</v>
      </c>
      <c r="E26" s="21">
        <f t="shared" ref="E26:E89" si="7">(SUMIF($5:$5,D26,$6:$6)-SUMIF($5:$5,$D$24,$6:$6)+100)/100</f>
        <v>1</v>
      </c>
      <c r="F26" s="635"/>
      <c r="G26" s="21">
        <f t="shared" ref="G26:G89" si="8">(SUMIF($7:$7,F26,$8:$8)-SUMIF($7:$7,$F$24,$8:$8)+100)/100</f>
        <v>1</v>
      </c>
      <c r="H26" s="635"/>
      <c r="I26" s="21">
        <f t="shared" ref="I26:I89" si="9">(SUMIF($9:$9,H26,$10:$10)-SUMIF($9:$9,$H$24,$10:$10)+100)/100</f>
        <v>1</v>
      </c>
      <c r="J26" s="635"/>
      <c r="K26" s="21">
        <f t="shared" ref="K26:K89" si="10">(SUMIF($11:$11,J26,$12:$12)-SUMIF($11:$11,$J$24,$12:$12)+100)/100</f>
        <v>1</v>
      </c>
      <c r="L26" s="635"/>
      <c r="M26" s="21">
        <f t="shared" ref="M26:M89" si="11">(SUMIF($13:$13,L26,$14:$14)-SUMIF($13:$13,$L$24,$14:$14)+100)/100</f>
        <v>1</v>
      </c>
      <c r="N26" s="635"/>
      <c r="O26" s="21">
        <f t="shared" ref="O26:O89" si="12">(SUMIF($15:$15,N26,$16:$16)-SUMIF($15:$15,$N$24,$16:$16)+100)/100</f>
        <v>1</v>
      </c>
      <c r="P26" s="635"/>
      <c r="Q26" s="21">
        <f t="shared" ref="Q26:Q89" si="13">(SUMIF($17:$17,P26,$18:$18)-SUMIF($17:$17,$P$24,$18:$18)+100)/100</f>
        <v>1</v>
      </c>
      <c r="R26" s="21">
        <f t="shared" ref="R26:R89" ca="1" si="14">IF(B26="",0,ROUND($R$24*C26*E26*G26*I26*K26*M26*O26*Q26,0))</f>
        <v>5044</v>
      </c>
      <c r="S26" s="308">
        <f t="shared" ca="1" si="5"/>
        <v>16</v>
      </c>
    </row>
    <row r="27" spans="1:45">
      <c r="A27" s="3227" t="s">
        <v>4013</v>
      </c>
      <c r="B27" s="3228">
        <v>32.67</v>
      </c>
      <c r="C27" s="21">
        <f t="shared" si="6"/>
        <v>1</v>
      </c>
      <c r="D27" s="3237" t="s">
        <v>4009</v>
      </c>
      <c r="E27" s="21">
        <f t="shared" si="7"/>
        <v>1</v>
      </c>
      <c r="F27" s="635"/>
      <c r="G27" s="21">
        <f t="shared" si="8"/>
        <v>1</v>
      </c>
      <c r="H27" s="635"/>
      <c r="I27" s="21">
        <f t="shared" si="9"/>
        <v>1</v>
      </c>
      <c r="J27" s="635"/>
      <c r="K27" s="21">
        <f t="shared" si="10"/>
        <v>1</v>
      </c>
      <c r="L27" s="635"/>
      <c r="M27" s="21">
        <f t="shared" si="11"/>
        <v>1</v>
      </c>
      <c r="N27" s="635"/>
      <c r="O27" s="21">
        <f t="shared" si="12"/>
        <v>1</v>
      </c>
      <c r="P27" s="635"/>
      <c r="Q27" s="21">
        <f t="shared" si="13"/>
        <v>1</v>
      </c>
      <c r="R27" s="21">
        <f t="shared" ca="1" si="14"/>
        <v>5044</v>
      </c>
      <c r="S27" s="308">
        <f t="shared" ca="1" si="5"/>
        <v>16</v>
      </c>
    </row>
    <row r="28" spans="1:45">
      <c r="A28" s="3228" t="s">
        <v>5178</v>
      </c>
      <c r="B28" s="3228">
        <v>32.67</v>
      </c>
      <c r="C28" s="21">
        <f t="shared" si="6"/>
        <v>1</v>
      </c>
      <c r="D28" s="3228" t="s">
        <v>5171</v>
      </c>
      <c r="E28" s="21">
        <f t="shared" si="7"/>
        <v>1</v>
      </c>
      <c r="F28" s="635"/>
      <c r="G28" s="21">
        <f t="shared" si="8"/>
        <v>1</v>
      </c>
      <c r="H28" s="635"/>
      <c r="I28" s="21">
        <f t="shared" si="9"/>
        <v>1</v>
      </c>
      <c r="J28" s="635"/>
      <c r="K28" s="21">
        <f t="shared" si="10"/>
        <v>1</v>
      </c>
      <c r="L28" s="635"/>
      <c r="M28" s="21">
        <f t="shared" si="11"/>
        <v>1</v>
      </c>
      <c r="N28" s="635"/>
      <c r="O28" s="21">
        <f t="shared" si="12"/>
        <v>1</v>
      </c>
      <c r="P28" s="635"/>
      <c r="Q28" s="21">
        <f t="shared" si="13"/>
        <v>1</v>
      </c>
      <c r="R28" s="21">
        <f t="shared" ca="1" si="14"/>
        <v>5044</v>
      </c>
      <c r="S28" s="308">
        <f t="shared" ca="1" si="5"/>
        <v>16</v>
      </c>
    </row>
    <row r="29" spans="1:45">
      <c r="A29" s="3228" t="s">
        <v>4015</v>
      </c>
      <c r="B29" s="3228">
        <v>30.74</v>
      </c>
      <c r="C29" s="21">
        <f t="shared" si="6"/>
        <v>1</v>
      </c>
      <c r="D29" s="3228" t="s">
        <v>4009</v>
      </c>
      <c r="E29" s="21">
        <f t="shared" si="7"/>
        <v>1</v>
      </c>
      <c r="F29" s="635"/>
      <c r="G29" s="21">
        <f t="shared" si="8"/>
        <v>1</v>
      </c>
      <c r="H29" s="635"/>
      <c r="I29" s="21">
        <f t="shared" si="9"/>
        <v>1</v>
      </c>
      <c r="J29" s="635"/>
      <c r="K29" s="21">
        <f t="shared" si="10"/>
        <v>1</v>
      </c>
      <c r="L29" s="635"/>
      <c r="M29" s="21">
        <f t="shared" si="11"/>
        <v>1</v>
      </c>
      <c r="N29" s="635"/>
      <c r="O29" s="21">
        <f t="shared" si="12"/>
        <v>1</v>
      </c>
      <c r="P29" s="635"/>
      <c r="Q29" s="21">
        <f t="shared" si="13"/>
        <v>1</v>
      </c>
      <c r="R29" s="21">
        <f t="shared" ca="1" si="14"/>
        <v>5044</v>
      </c>
      <c r="S29" s="308">
        <f t="shared" ca="1" si="5"/>
        <v>16</v>
      </c>
    </row>
    <row r="30" spans="1:45">
      <c r="A30" s="3228" t="s">
        <v>5180</v>
      </c>
      <c r="B30" s="3228">
        <v>30.74</v>
      </c>
      <c r="C30" s="21">
        <f t="shared" si="6"/>
        <v>1</v>
      </c>
      <c r="D30" s="3228" t="s">
        <v>5171</v>
      </c>
      <c r="E30" s="21">
        <f t="shared" si="7"/>
        <v>1</v>
      </c>
      <c r="F30" s="635"/>
      <c r="G30" s="21">
        <f t="shared" si="8"/>
        <v>1</v>
      </c>
      <c r="H30" s="635"/>
      <c r="I30" s="21">
        <f t="shared" si="9"/>
        <v>1</v>
      </c>
      <c r="J30" s="635"/>
      <c r="K30" s="21">
        <f t="shared" si="10"/>
        <v>1</v>
      </c>
      <c r="L30" s="635"/>
      <c r="M30" s="21">
        <f t="shared" si="11"/>
        <v>1</v>
      </c>
      <c r="N30" s="635"/>
      <c r="O30" s="21">
        <f t="shared" si="12"/>
        <v>1</v>
      </c>
      <c r="P30" s="635"/>
      <c r="Q30" s="21">
        <f t="shared" si="13"/>
        <v>1</v>
      </c>
      <c r="R30" s="21">
        <f t="shared" ca="1" si="14"/>
        <v>5044</v>
      </c>
      <c r="S30" s="308">
        <f t="shared" ca="1" si="5"/>
        <v>16</v>
      </c>
    </row>
    <row r="31" spans="1:45">
      <c r="A31" s="3228" t="s">
        <v>4017</v>
      </c>
      <c r="B31" s="3228">
        <v>30.74</v>
      </c>
      <c r="C31" s="21">
        <f t="shared" si="6"/>
        <v>1</v>
      </c>
      <c r="D31" s="3228" t="s">
        <v>4009</v>
      </c>
      <c r="E31" s="21">
        <f t="shared" si="7"/>
        <v>1</v>
      </c>
      <c r="F31" s="635"/>
      <c r="G31" s="21">
        <f t="shared" si="8"/>
        <v>1</v>
      </c>
      <c r="H31" s="635"/>
      <c r="I31" s="21">
        <f t="shared" si="9"/>
        <v>1</v>
      </c>
      <c r="J31" s="635"/>
      <c r="K31" s="21">
        <f t="shared" si="10"/>
        <v>1</v>
      </c>
      <c r="L31" s="635"/>
      <c r="M31" s="21">
        <f t="shared" si="11"/>
        <v>1</v>
      </c>
      <c r="N31" s="635"/>
      <c r="O31" s="21">
        <f t="shared" si="12"/>
        <v>1</v>
      </c>
      <c r="P31" s="635"/>
      <c r="Q31" s="21">
        <f t="shared" si="13"/>
        <v>1</v>
      </c>
      <c r="R31" s="21">
        <f t="shared" ca="1" si="14"/>
        <v>5044</v>
      </c>
      <c r="S31" s="308">
        <f t="shared" ca="1" si="5"/>
        <v>16</v>
      </c>
    </row>
    <row r="32" spans="1:45">
      <c r="A32" s="3228" t="s">
        <v>5182</v>
      </c>
      <c r="B32" s="3228">
        <v>30.74</v>
      </c>
      <c r="C32" s="21">
        <f t="shared" si="6"/>
        <v>1</v>
      </c>
      <c r="D32" s="3228" t="s">
        <v>5171</v>
      </c>
      <c r="E32" s="21">
        <f t="shared" si="7"/>
        <v>1</v>
      </c>
      <c r="F32" s="635"/>
      <c r="G32" s="21">
        <f t="shared" si="8"/>
        <v>1</v>
      </c>
      <c r="H32" s="635"/>
      <c r="I32" s="21">
        <f t="shared" si="9"/>
        <v>1</v>
      </c>
      <c r="J32" s="635"/>
      <c r="K32" s="21">
        <f t="shared" si="10"/>
        <v>1</v>
      </c>
      <c r="L32" s="635"/>
      <c r="M32" s="21">
        <f t="shared" si="11"/>
        <v>1</v>
      </c>
      <c r="N32" s="635"/>
      <c r="O32" s="21">
        <f t="shared" si="12"/>
        <v>1</v>
      </c>
      <c r="P32" s="635"/>
      <c r="Q32" s="21">
        <f t="shared" si="13"/>
        <v>1</v>
      </c>
      <c r="R32" s="21">
        <f t="shared" ca="1" si="14"/>
        <v>5044</v>
      </c>
      <c r="S32" s="308">
        <f t="shared" ca="1" si="5"/>
        <v>16</v>
      </c>
    </row>
    <row r="33" spans="1:19">
      <c r="A33" s="3228" t="s">
        <v>4019</v>
      </c>
      <c r="B33" s="3228">
        <v>30.74</v>
      </c>
      <c r="C33" s="21">
        <f t="shared" si="6"/>
        <v>1</v>
      </c>
      <c r="D33" s="3228" t="s">
        <v>4009</v>
      </c>
      <c r="E33" s="21">
        <f t="shared" si="7"/>
        <v>1</v>
      </c>
      <c r="F33" s="635"/>
      <c r="G33" s="21">
        <f t="shared" si="8"/>
        <v>1</v>
      </c>
      <c r="H33" s="635"/>
      <c r="I33" s="21">
        <f t="shared" si="9"/>
        <v>1</v>
      </c>
      <c r="J33" s="635"/>
      <c r="K33" s="21">
        <f t="shared" si="10"/>
        <v>1</v>
      </c>
      <c r="L33" s="635"/>
      <c r="M33" s="21">
        <f t="shared" si="11"/>
        <v>1</v>
      </c>
      <c r="N33" s="635"/>
      <c r="O33" s="21">
        <f t="shared" si="12"/>
        <v>1</v>
      </c>
      <c r="P33" s="635"/>
      <c r="Q33" s="21">
        <f t="shared" si="13"/>
        <v>1</v>
      </c>
      <c r="R33" s="21">
        <f t="shared" ca="1" si="14"/>
        <v>5044</v>
      </c>
      <c r="S33" s="308">
        <f t="shared" ca="1" si="5"/>
        <v>16</v>
      </c>
    </row>
    <row r="34" spans="1:19">
      <c r="A34" s="3228" t="s">
        <v>5184</v>
      </c>
      <c r="B34" s="3228">
        <v>30.74</v>
      </c>
      <c r="C34" s="21">
        <f t="shared" si="6"/>
        <v>1</v>
      </c>
      <c r="D34" s="3228" t="s">
        <v>5171</v>
      </c>
      <c r="E34" s="21">
        <f t="shared" si="7"/>
        <v>1</v>
      </c>
      <c r="F34" s="635"/>
      <c r="G34" s="21">
        <f t="shared" si="8"/>
        <v>1</v>
      </c>
      <c r="H34" s="635"/>
      <c r="I34" s="21">
        <f t="shared" si="9"/>
        <v>1</v>
      </c>
      <c r="J34" s="635"/>
      <c r="K34" s="21">
        <f t="shared" si="10"/>
        <v>1</v>
      </c>
      <c r="L34" s="635"/>
      <c r="M34" s="21">
        <f t="shared" si="11"/>
        <v>1</v>
      </c>
      <c r="N34" s="635"/>
      <c r="O34" s="21">
        <f t="shared" si="12"/>
        <v>1</v>
      </c>
      <c r="P34" s="635"/>
      <c r="Q34" s="21">
        <f t="shared" si="13"/>
        <v>1</v>
      </c>
      <c r="R34" s="21">
        <f t="shared" ca="1" si="14"/>
        <v>5044</v>
      </c>
      <c r="S34" s="308">
        <f t="shared" ca="1" si="5"/>
        <v>16</v>
      </c>
    </row>
    <row r="35" spans="1:19">
      <c r="A35" s="3228" t="s">
        <v>4021</v>
      </c>
      <c r="B35" s="3228">
        <v>30.74</v>
      </c>
      <c r="C35" s="21">
        <f t="shared" si="6"/>
        <v>1</v>
      </c>
      <c r="D35" s="3228" t="s">
        <v>4009</v>
      </c>
      <c r="E35" s="21">
        <f t="shared" si="7"/>
        <v>1</v>
      </c>
      <c r="F35" s="635"/>
      <c r="G35" s="21">
        <f t="shared" si="8"/>
        <v>1</v>
      </c>
      <c r="H35" s="635"/>
      <c r="I35" s="21">
        <f t="shared" si="9"/>
        <v>1</v>
      </c>
      <c r="J35" s="635"/>
      <c r="K35" s="21">
        <f t="shared" si="10"/>
        <v>1</v>
      </c>
      <c r="L35" s="635"/>
      <c r="M35" s="21">
        <f t="shared" si="11"/>
        <v>1</v>
      </c>
      <c r="N35" s="635"/>
      <c r="O35" s="21">
        <f t="shared" si="12"/>
        <v>1</v>
      </c>
      <c r="P35" s="635"/>
      <c r="Q35" s="21">
        <f t="shared" si="13"/>
        <v>1</v>
      </c>
      <c r="R35" s="21">
        <f t="shared" ca="1" si="14"/>
        <v>5044</v>
      </c>
      <c r="S35" s="308">
        <f t="shared" ca="1" si="5"/>
        <v>16</v>
      </c>
    </row>
    <row r="36" spans="1:19">
      <c r="A36" s="3228" t="s">
        <v>5186</v>
      </c>
      <c r="B36" s="3228">
        <v>30.74</v>
      </c>
      <c r="C36" s="21">
        <f t="shared" si="6"/>
        <v>1</v>
      </c>
      <c r="D36" s="3228" t="s">
        <v>5171</v>
      </c>
      <c r="E36" s="21">
        <f t="shared" si="7"/>
        <v>1</v>
      </c>
      <c r="F36" s="635"/>
      <c r="G36" s="21">
        <f t="shared" si="8"/>
        <v>1</v>
      </c>
      <c r="H36" s="635"/>
      <c r="I36" s="21">
        <f t="shared" si="9"/>
        <v>1</v>
      </c>
      <c r="J36" s="635"/>
      <c r="K36" s="21">
        <f t="shared" si="10"/>
        <v>1</v>
      </c>
      <c r="L36" s="635"/>
      <c r="M36" s="21">
        <f t="shared" si="11"/>
        <v>1</v>
      </c>
      <c r="N36" s="635"/>
      <c r="O36" s="21">
        <f t="shared" si="12"/>
        <v>1</v>
      </c>
      <c r="P36" s="635"/>
      <c r="Q36" s="21">
        <f t="shared" si="13"/>
        <v>1</v>
      </c>
      <c r="R36" s="21">
        <f t="shared" ca="1" si="14"/>
        <v>5044</v>
      </c>
      <c r="S36" s="308">
        <f t="shared" ca="1" si="5"/>
        <v>16</v>
      </c>
    </row>
    <row r="37" spans="1:19">
      <c r="A37" s="3228" t="s">
        <v>4023</v>
      </c>
      <c r="B37" s="3228">
        <v>30.74</v>
      </c>
      <c r="C37" s="21">
        <f t="shared" si="6"/>
        <v>1</v>
      </c>
      <c r="D37" s="3228" t="s">
        <v>4009</v>
      </c>
      <c r="E37" s="21">
        <f t="shared" si="7"/>
        <v>1</v>
      </c>
      <c r="F37" s="635"/>
      <c r="G37" s="21">
        <f t="shared" si="8"/>
        <v>1</v>
      </c>
      <c r="H37" s="635"/>
      <c r="I37" s="21">
        <f t="shared" si="9"/>
        <v>1</v>
      </c>
      <c r="J37" s="635"/>
      <c r="K37" s="21">
        <f t="shared" si="10"/>
        <v>1</v>
      </c>
      <c r="L37" s="635"/>
      <c r="M37" s="21">
        <f t="shared" si="11"/>
        <v>1</v>
      </c>
      <c r="N37" s="635"/>
      <c r="O37" s="21">
        <f t="shared" si="12"/>
        <v>1</v>
      </c>
      <c r="P37" s="635"/>
      <c r="Q37" s="21">
        <f t="shared" si="13"/>
        <v>1</v>
      </c>
      <c r="R37" s="21">
        <f t="shared" ca="1" si="14"/>
        <v>5044</v>
      </c>
      <c r="S37" s="308">
        <f t="shared" ca="1" si="5"/>
        <v>16</v>
      </c>
    </row>
    <row r="38" spans="1:19">
      <c r="A38" s="3228" t="s">
        <v>5188</v>
      </c>
      <c r="B38" s="3228">
        <v>30.74</v>
      </c>
      <c r="C38" s="21">
        <f t="shared" si="6"/>
        <v>1</v>
      </c>
      <c r="D38" s="3228" t="s">
        <v>5171</v>
      </c>
      <c r="E38" s="21">
        <f t="shared" si="7"/>
        <v>1</v>
      </c>
      <c r="F38" s="635"/>
      <c r="G38" s="21">
        <f t="shared" si="8"/>
        <v>1</v>
      </c>
      <c r="H38" s="635"/>
      <c r="I38" s="21">
        <f t="shared" si="9"/>
        <v>1</v>
      </c>
      <c r="J38" s="635"/>
      <c r="K38" s="21">
        <f t="shared" si="10"/>
        <v>1</v>
      </c>
      <c r="L38" s="635"/>
      <c r="M38" s="21">
        <f t="shared" si="11"/>
        <v>1</v>
      </c>
      <c r="N38" s="635"/>
      <c r="O38" s="21">
        <f t="shared" si="12"/>
        <v>1</v>
      </c>
      <c r="P38" s="635"/>
      <c r="Q38" s="21">
        <f t="shared" si="13"/>
        <v>1</v>
      </c>
      <c r="R38" s="21">
        <f t="shared" ca="1" si="14"/>
        <v>5044</v>
      </c>
      <c r="S38" s="308">
        <f t="shared" ca="1" si="5"/>
        <v>16</v>
      </c>
    </row>
    <row r="39" spans="1:19">
      <c r="A39" s="3228" t="s">
        <v>4025</v>
      </c>
      <c r="B39" s="3228">
        <v>30.74</v>
      </c>
      <c r="C39" s="21">
        <f t="shared" si="6"/>
        <v>1</v>
      </c>
      <c r="D39" s="3228" t="s">
        <v>4009</v>
      </c>
      <c r="E39" s="21">
        <f t="shared" si="7"/>
        <v>1</v>
      </c>
      <c r="F39" s="635"/>
      <c r="G39" s="21">
        <f t="shared" si="8"/>
        <v>1</v>
      </c>
      <c r="H39" s="635"/>
      <c r="I39" s="21">
        <f t="shared" si="9"/>
        <v>1</v>
      </c>
      <c r="J39" s="635"/>
      <c r="K39" s="21">
        <f t="shared" si="10"/>
        <v>1</v>
      </c>
      <c r="L39" s="635"/>
      <c r="M39" s="21">
        <f t="shared" si="11"/>
        <v>1</v>
      </c>
      <c r="N39" s="635"/>
      <c r="O39" s="21">
        <f t="shared" si="12"/>
        <v>1</v>
      </c>
      <c r="P39" s="635"/>
      <c r="Q39" s="21">
        <f t="shared" si="13"/>
        <v>1</v>
      </c>
      <c r="R39" s="21">
        <f t="shared" ca="1" si="14"/>
        <v>5044</v>
      </c>
      <c r="S39" s="308">
        <f t="shared" ca="1" si="5"/>
        <v>16</v>
      </c>
    </row>
    <row r="40" spans="1:19">
      <c r="A40" s="3228" t="s">
        <v>5190</v>
      </c>
      <c r="B40" s="3228">
        <v>30.74</v>
      </c>
      <c r="C40" s="21">
        <f t="shared" si="6"/>
        <v>1</v>
      </c>
      <c r="D40" s="3228" t="s">
        <v>5171</v>
      </c>
      <c r="E40" s="21">
        <f t="shared" si="7"/>
        <v>1</v>
      </c>
      <c r="F40" s="635"/>
      <c r="G40" s="21">
        <f t="shared" si="8"/>
        <v>1</v>
      </c>
      <c r="H40" s="635"/>
      <c r="I40" s="21">
        <f t="shared" si="9"/>
        <v>1</v>
      </c>
      <c r="J40" s="635"/>
      <c r="K40" s="21">
        <f t="shared" si="10"/>
        <v>1</v>
      </c>
      <c r="L40" s="635"/>
      <c r="M40" s="21">
        <f t="shared" si="11"/>
        <v>1</v>
      </c>
      <c r="N40" s="635"/>
      <c r="O40" s="21">
        <f t="shared" si="12"/>
        <v>1</v>
      </c>
      <c r="P40" s="635"/>
      <c r="Q40" s="21">
        <f t="shared" si="13"/>
        <v>1</v>
      </c>
      <c r="R40" s="21">
        <f t="shared" ca="1" si="14"/>
        <v>5044</v>
      </c>
      <c r="S40" s="308">
        <f t="shared" ca="1" si="5"/>
        <v>16</v>
      </c>
    </row>
    <row r="41" spans="1:19">
      <c r="A41" s="3228" t="s">
        <v>4027</v>
      </c>
      <c r="B41" s="3228">
        <v>30.74</v>
      </c>
      <c r="C41" s="21">
        <f t="shared" si="6"/>
        <v>1</v>
      </c>
      <c r="D41" s="3228" t="s">
        <v>4009</v>
      </c>
      <c r="E41" s="21">
        <f t="shared" si="7"/>
        <v>1</v>
      </c>
      <c r="F41" s="635"/>
      <c r="G41" s="21">
        <f t="shared" si="8"/>
        <v>1</v>
      </c>
      <c r="H41" s="635"/>
      <c r="I41" s="21">
        <f t="shared" si="9"/>
        <v>1</v>
      </c>
      <c r="J41" s="635"/>
      <c r="K41" s="21">
        <f t="shared" si="10"/>
        <v>1</v>
      </c>
      <c r="L41" s="635"/>
      <c r="M41" s="21">
        <f t="shared" si="11"/>
        <v>1</v>
      </c>
      <c r="N41" s="635"/>
      <c r="O41" s="21">
        <f t="shared" si="12"/>
        <v>1</v>
      </c>
      <c r="P41" s="635"/>
      <c r="Q41" s="21">
        <f t="shared" si="13"/>
        <v>1</v>
      </c>
      <c r="R41" s="21">
        <f t="shared" ca="1" si="14"/>
        <v>5044</v>
      </c>
      <c r="S41" s="308">
        <f t="shared" ca="1" si="5"/>
        <v>16</v>
      </c>
    </row>
    <row r="42" spans="1:19">
      <c r="A42" s="3228" t="s">
        <v>5192</v>
      </c>
      <c r="B42" s="3228">
        <v>30.74</v>
      </c>
      <c r="C42" s="21">
        <f t="shared" si="6"/>
        <v>1</v>
      </c>
      <c r="D42" s="3228" t="s">
        <v>5171</v>
      </c>
      <c r="E42" s="21">
        <f t="shared" si="7"/>
        <v>1</v>
      </c>
      <c r="F42" s="635"/>
      <c r="G42" s="21">
        <f t="shared" si="8"/>
        <v>1</v>
      </c>
      <c r="H42" s="635"/>
      <c r="I42" s="21">
        <f t="shared" si="9"/>
        <v>1</v>
      </c>
      <c r="J42" s="635"/>
      <c r="K42" s="21">
        <f t="shared" si="10"/>
        <v>1</v>
      </c>
      <c r="L42" s="635"/>
      <c r="M42" s="21">
        <f t="shared" si="11"/>
        <v>1</v>
      </c>
      <c r="N42" s="635"/>
      <c r="O42" s="21">
        <f t="shared" si="12"/>
        <v>1</v>
      </c>
      <c r="P42" s="635"/>
      <c r="Q42" s="21">
        <f t="shared" si="13"/>
        <v>1</v>
      </c>
      <c r="R42" s="21">
        <f t="shared" ca="1" si="14"/>
        <v>5044</v>
      </c>
      <c r="S42" s="308">
        <f t="shared" ca="1" si="5"/>
        <v>16</v>
      </c>
    </row>
    <row r="43" spans="1:19">
      <c r="A43" s="3228" t="s">
        <v>4029</v>
      </c>
      <c r="B43" s="3228">
        <v>30.74</v>
      </c>
      <c r="C43" s="21">
        <f t="shared" si="6"/>
        <v>1</v>
      </c>
      <c r="D43" s="3228" t="s">
        <v>4009</v>
      </c>
      <c r="E43" s="21">
        <f t="shared" si="7"/>
        <v>1</v>
      </c>
      <c r="F43" s="635"/>
      <c r="G43" s="21">
        <f t="shared" si="8"/>
        <v>1</v>
      </c>
      <c r="H43" s="635"/>
      <c r="I43" s="21">
        <f t="shared" si="9"/>
        <v>1</v>
      </c>
      <c r="J43" s="635"/>
      <c r="K43" s="21">
        <f t="shared" si="10"/>
        <v>1</v>
      </c>
      <c r="L43" s="635"/>
      <c r="M43" s="21">
        <f t="shared" si="11"/>
        <v>1</v>
      </c>
      <c r="N43" s="635"/>
      <c r="O43" s="21">
        <f t="shared" si="12"/>
        <v>1</v>
      </c>
      <c r="P43" s="635"/>
      <c r="Q43" s="21">
        <f t="shared" si="13"/>
        <v>1</v>
      </c>
      <c r="R43" s="21">
        <f t="shared" ca="1" si="14"/>
        <v>5044</v>
      </c>
      <c r="S43" s="308">
        <f t="shared" ca="1" si="5"/>
        <v>16</v>
      </c>
    </row>
    <row r="44" spans="1:19">
      <c r="A44" s="3228" t="s">
        <v>5194</v>
      </c>
      <c r="B44" s="3228">
        <v>30.74</v>
      </c>
      <c r="C44" s="21">
        <f t="shared" si="6"/>
        <v>1</v>
      </c>
      <c r="D44" s="3228" t="s">
        <v>5171</v>
      </c>
      <c r="E44" s="21">
        <f t="shared" si="7"/>
        <v>1</v>
      </c>
      <c r="F44" s="635"/>
      <c r="G44" s="21">
        <f t="shared" si="8"/>
        <v>1</v>
      </c>
      <c r="H44" s="635"/>
      <c r="I44" s="21">
        <f t="shared" si="9"/>
        <v>1</v>
      </c>
      <c r="J44" s="635"/>
      <c r="K44" s="21">
        <f t="shared" si="10"/>
        <v>1</v>
      </c>
      <c r="L44" s="635"/>
      <c r="M44" s="21">
        <f t="shared" si="11"/>
        <v>1</v>
      </c>
      <c r="N44" s="635"/>
      <c r="O44" s="21">
        <f t="shared" si="12"/>
        <v>1</v>
      </c>
      <c r="P44" s="635"/>
      <c r="Q44" s="21">
        <f t="shared" si="13"/>
        <v>1</v>
      </c>
      <c r="R44" s="21">
        <f t="shared" ca="1" si="14"/>
        <v>5044</v>
      </c>
      <c r="S44" s="308">
        <f t="shared" ca="1" si="5"/>
        <v>16</v>
      </c>
    </row>
    <row r="45" spans="1:19">
      <c r="A45" s="3228" t="s">
        <v>4031</v>
      </c>
      <c r="B45" s="3228">
        <v>30.74</v>
      </c>
      <c r="C45" s="21">
        <f t="shared" si="6"/>
        <v>1</v>
      </c>
      <c r="D45" s="3228" t="s">
        <v>4009</v>
      </c>
      <c r="E45" s="21">
        <f t="shared" si="7"/>
        <v>1</v>
      </c>
      <c r="F45" s="635"/>
      <c r="G45" s="21">
        <f t="shared" si="8"/>
        <v>1</v>
      </c>
      <c r="H45" s="635"/>
      <c r="I45" s="21">
        <f t="shared" si="9"/>
        <v>1</v>
      </c>
      <c r="J45" s="635"/>
      <c r="K45" s="21">
        <f t="shared" si="10"/>
        <v>1</v>
      </c>
      <c r="L45" s="635"/>
      <c r="M45" s="21">
        <f t="shared" si="11"/>
        <v>1</v>
      </c>
      <c r="N45" s="635"/>
      <c r="O45" s="21">
        <f t="shared" si="12"/>
        <v>1</v>
      </c>
      <c r="P45" s="635"/>
      <c r="Q45" s="21">
        <f t="shared" si="13"/>
        <v>1</v>
      </c>
      <c r="R45" s="21">
        <f t="shared" ca="1" si="14"/>
        <v>5044</v>
      </c>
      <c r="S45" s="308">
        <f t="shared" ca="1" si="5"/>
        <v>16</v>
      </c>
    </row>
    <row r="46" spans="1:19">
      <c r="A46" s="3228" t="s">
        <v>5196</v>
      </c>
      <c r="B46" s="3228">
        <v>30.74</v>
      </c>
      <c r="C46" s="21">
        <f t="shared" si="6"/>
        <v>1</v>
      </c>
      <c r="D46" s="3228" t="s">
        <v>5171</v>
      </c>
      <c r="E46" s="21">
        <f t="shared" si="7"/>
        <v>1</v>
      </c>
      <c r="F46" s="635"/>
      <c r="G46" s="21">
        <f t="shared" si="8"/>
        <v>1</v>
      </c>
      <c r="H46" s="635"/>
      <c r="I46" s="21">
        <f t="shared" si="9"/>
        <v>1</v>
      </c>
      <c r="J46" s="635"/>
      <c r="K46" s="21">
        <f t="shared" si="10"/>
        <v>1</v>
      </c>
      <c r="L46" s="635"/>
      <c r="M46" s="21">
        <f t="shared" si="11"/>
        <v>1</v>
      </c>
      <c r="N46" s="635"/>
      <c r="O46" s="21">
        <f t="shared" si="12"/>
        <v>1</v>
      </c>
      <c r="P46" s="635"/>
      <c r="Q46" s="21">
        <f t="shared" si="13"/>
        <v>1</v>
      </c>
      <c r="R46" s="21">
        <f t="shared" ca="1" si="14"/>
        <v>5044</v>
      </c>
      <c r="S46" s="308">
        <f t="shared" ca="1" si="5"/>
        <v>16</v>
      </c>
    </row>
    <row r="47" spans="1:19">
      <c r="A47" s="3228" t="s">
        <v>4033</v>
      </c>
      <c r="B47" s="3228">
        <v>30.74</v>
      </c>
      <c r="C47" s="21">
        <f t="shared" si="6"/>
        <v>1</v>
      </c>
      <c r="D47" s="3228" t="s">
        <v>4009</v>
      </c>
      <c r="E47" s="21">
        <f t="shared" si="7"/>
        <v>1</v>
      </c>
      <c r="F47" s="635"/>
      <c r="G47" s="21">
        <f t="shared" si="8"/>
        <v>1</v>
      </c>
      <c r="H47" s="635"/>
      <c r="I47" s="21">
        <f t="shared" si="9"/>
        <v>1</v>
      </c>
      <c r="J47" s="635"/>
      <c r="K47" s="21">
        <f t="shared" si="10"/>
        <v>1</v>
      </c>
      <c r="L47" s="635"/>
      <c r="M47" s="21">
        <f t="shared" si="11"/>
        <v>1</v>
      </c>
      <c r="N47" s="635"/>
      <c r="O47" s="21">
        <f t="shared" si="12"/>
        <v>1</v>
      </c>
      <c r="P47" s="635"/>
      <c r="Q47" s="21">
        <f t="shared" si="13"/>
        <v>1</v>
      </c>
      <c r="R47" s="21">
        <f t="shared" ca="1" si="14"/>
        <v>5044</v>
      </c>
      <c r="S47" s="308">
        <f t="shared" ca="1" si="5"/>
        <v>16</v>
      </c>
    </row>
    <row r="48" spans="1:19">
      <c r="A48" s="3228" t="s">
        <v>5198</v>
      </c>
      <c r="B48" s="3228">
        <v>30.74</v>
      </c>
      <c r="C48" s="21">
        <f t="shared" si="6"/>
        <v>1</v>
      </c>
      <c r="D48" s="3228" t="s">
        <v>5171</v>
      </c>
      <c r="E48" s="21">
        <f t="shared" si="7"/>
        <v>1</v>
      </c>
      <c r="F48" s="635"/>
      <c r="G48" s="21">
        <f t="shared" si="8"/>
        <v>1</v>
      </c>
      <c r="H48" s="635"/>
      <c r="I48" s="21">
        <f t="shared" si="9"/>
        <v>1</v>
      </c>
      <c r="J48" s="635"/>
      <c r="K48" s="21">
        <f t="shared" si="10"/>
        <v>1</v>
      </c>
      <c r="L48" s="635"/>
      <c r="M48" s="21">
        <f t="shared" si="11"/>
        <v>1</v>
      </c>
      <c r="N48" s="635"/>
      <c r="O48" s="21">
        <f t="shared" si="12"/>
        <v>1</v>
      </c>
      <c r="P48" s="635"/>
      <c r="Q48" s="21">
        <f t="shared" si="13"/>
        <v>1</v>
      </c>
      <c r="R48" s="21">
        <f t="shared" ca="1" si="14"/>
        <v>5044</v>
      </c>
      <c r="S48" s="308">
        <f t="shared" ca="1" si="5"/>
        <v>16</v>
      </c>
    </row>
    <row r="49" spans="1:19">
      <c r="A49" s="3228" t="s">
        <v>4035</v>
      </c>
      <c r="B49" s="3228">
        <v>30.74</v>
      </c>
      <c r="C49" s="21">
        <f t="shared" si="6"/>
        <v>1</v>
      </c>
      <c r="D49" s="3228" t="s">
        <v>4009</v>
      </c>
      <c r="E49" s="21">
        <f t="shared" si="7"/>
        <v>1</v>
      </c>
      <c r="F49" s="635"/>
      <c r="G49" s="21">
        <f t="shared" si="8"/>
        <v>1</v>
      </c>
      <c r="H49" s="635"/>
      <c r="I49" s="21">
        <f t="shared" si="9"/>
        <v>1</v>
      </c>
      <c r="J49" s="635"/>
      <c r="K49" s="21">
        <f t="shared" si="10"/>
        <v>1</v>
      </c>
      <c r="L49" s="635"/>
      <c r="M49" s="21">
        <f t="shared" si="11"/>
        <v>1</v>
      </c>
      <c r="N49" s="635"/>
      <c r="O49" s="21">
        <f t="shared" si="12"/>
        <v>1</v>
      </c>
      <c r="P49" s="635"/>
      <c r="Q49" s="21">
        <f t="shared" si="13"/>
        <v>1</v>
      </c>
      <c r="R49" s="21">
        <f t="shared" ca="1" si="14"/>
        <v>5044</v>
      </c>
      <c r="S49" s="308">
        <f t="shared" ca="1" si="5"/>
        <v>16</v>
      </c>
    </row>
    <row r="50" spans="1:19">
      <c r="A50" s="3228" t="s">
        <v>5200</v>
      </c>
      <c r="B50" s="3228">
        <v>30.74</v>
      </c>
      <c r="C50" s="21">
        <f t="shared" si="6"/>
        <v>1</v>
      </c>
      <c r="D50" s="3228" t="s">
        <v>5171</v>
      </c>
      <c r="E50" s="21">
        <f t="shared" si="7"/>
        <v>1</v>
      </c>
      <c r="F50" s="635"/>
      <c r="G50" s="21">
        <f t="shared" si="8"/>
        <v>1</v>
      </c>
      <c r="H50" s="635"/>
      <c r="I50" s="21">
        <f t="shared" si="9"/>
        <v>1</v>
      </c>
      <c r="J50" s="635"/>
      <c r="K50" s="21">
        <f t="shared" si="10"/>
        <v>1</v>
      </c>
      <c r="L50" s="635"/>
      <c r="M50" s="21">
        <f t="shared" si="11"/>
        <v>1</v>
      </c>
      <c r="N50" s="635"/>
      <c r="O50" s="21">
        <f t="shared" si="12"/>
        <v>1</v>
      </c>
      <c r="P50" s="635"/>
      <c r="Q50" s="21">
        <f t="shared" si="13"/>
        <v>1</v>
      </c>
      <c r="R50" s="21">
        <f t="shared" ca="1" si="14"/>
        <v>5044</v>
      </c>
      <c r="S50" s="308">
        <f t="shared" ca="1" si="5"/>
        <v>16</v>
      </c>
    </row>
    <row r="51" spans="1:19">
      <c r="A51" s="3228" t="s">
        <v>4037</v>
      </c>
      <c r="B51" s="3228">
        <v>30.74</v>
      </c>
      <c r="C51" s="21">
        <f t="shared" si="6"/>
        <v>1</v>
      </c>
      <c r="D51" s="3228" t="s">
        <v>4009</v>
      </c>
      <c r="E51" s="21">
        <f t="shared" si="7"/>
        <v>1</v>
      </c>
      <c r="F51" s="635"/>
      <c r="G51" s="21">
        <f t="shared" si="8"/>
        <v>1</v>
      </c>
      <c r="H51" s="635"/>
      <c r="I51" s="21">
        <f t="shared" si="9"/>
        <v>1</v>
      </c>
      <c r="J51" s="635"/>
      <c r="K51" s="21">
        <f t="shared" si="10"/>
        <v>1</v>
      </c>
      <c r="L51" s="635"/>
      <c r="M51" s="21">
        <f t="shared" si="11"/>
        <v>1</v>
      </c>
      <c r="N51" s="635"/>
      <c r="O51" s="21">
        <f t="shared" si="12"/>
        <v>1</v>
      </c>
      <c r="P51" s="635"/>
      <c r="Q51" s="21">
        <f t="shared" si="13"/>
        <v>1</v>
      </c>
      <c r="R51" s="21">
        <f t="shared" ca="1" si="14"/>
        <v>5044</v>
      </c>
      <c r="S51" s="308">
        <f t="shared" ca="1" si="5"/>
        <v>16</v>
      </c>
    </row>
    <row r="52" spans="1:19">
      <c r="A52" s="3228" t="s">
        <v>5202</v>
      </c>
      <c r="B52" s="3228">
        <v>30.74</v>
      </c>
      <c r="C52" s="21">
        <f t="shared" si="6"/>
        <v>1</v>
      </c>
      <c r="D52" s="3228" t="s">
        <v>5171</v>
      </c>
      <c r="E52" s="21">
        <f t="shared" si="7"/>
        <v>1</v>
      </c>
      <c r="F52" s="635"/>
      <c r="G52" s="21">
        <f t="shared" si="8"/>
        <v>1</v>
      </c>
      <c r="H52" s="635"/>
      <c r="I52" s="21">
        <f t="shared" si="9"/>
        <v>1</v>
      </c>
      <c r="J52" s="635"/>
      <c r="K52" s="21">
        <f t="shared" si="10"/>
        <v>1</v>
      </c>
      <c r="L52" s="635"/>
      <c r="M52" s="21">
        <f t="shared" si="11"/>
        <v>1</v>
      </c>
      <c r="N52" s="635"/>
      <c r="O52" s="21">
        <f t="shared" si="12"/>
        <v>1</v>
      </c>
      <c r="P52" s="635"/>
      <c r="Q52" s="21">
        <f t="shared" si="13"/>
        <v>1</v>
      </c>
      <c r="R52" s="21">
        <f t="shared" ca="1" si="14"/>
        <v>5044</v>
      </c>
      <c r="S52" s="308">
        <f t="shared" ca="1" si="5"/>
        <v>16</v>
      </c>
    </row>
    <row r="53" spans="1:19">
      <c r="A53" s="3228" t="s">
        <v>4039</v>
      </c>
      <c r="B53" s="3228">
        <v>33.299999999999997</v>
      </c>
      <c r="C53" s="21">
        <f t="shared" si="6"/>
        <v>1</v>
      </c>
      <c r="D53" s="3228" t="s">
        <v>4009</v>
      </c>
      <c r="E53" s="21">
        <f t="shared" si="7"/>
        <v>1</v>
      </c>
      <c r="F53" s="635"/>
      <c r="G53" s="21">
        <f t="shared" si="8"/>
        <v>1</v>
      </c>
      <c r="H53" s="635"/>
      <c r="I53" s="21">
        <f t="shared" si="9"/>
        <v>1</v>
      </c>
      <c r="J53" s="635"/>
      <c r="K53" s="21">
        <f t="shared" si="10"/>
        <v>1</v>
      </c>
      <c r="L53" s="635"/>
      <c r="M53" s="21">
        <f t="shared" si="11"/>
        <v>1</v>
      </c>
      <c r="N53" s="635"/>
      <c r="O53" s="21">
        <f t="shared" si="12"/>
        <v>1</v>
      </c>
      <c r="P53" s="635"/>
      <c r="Q53" s="21">
        <f t="shared" si="13"/>
        <v>1</v>
      </c>
      <c r="R53" s="21">
        <f t="shared" ca="1" si="14"/>
        <v>5044</v>
      </c>
      <c r="S53" s="308">
        <f t="shared" ca="1" si="5"/>
        <v>17</v>
      </c>
    </row>
    <row r="54" spans="1:19">
      <c r="A54" s="3228" t="s">
        <v>5204</v>
      </c>
      <c r="B54" s="3228">
        <v>33.299999999999997</v>
      </c>
      <c r="C54" s="21">
        <f t="shared" si="6"/>
        <v>1</v>
      </c>
      <c r="D54" s="3228" t="s">
        <v>5171</v>
      </c>
      <c r="E54" s="21">
        <f t="shared" si="7"/>
        <v>1</v>
      </c>
      <c r="F54" s="635"/>
      <c r="G54" s="21">
        <f t="shared" si="8"/>
        <v>1</v>
      </c>
      <c r="H54" s="635"/>
      <c r="I54" s="21">
        <f t="shared" si="9"/>
        <v>1</v>
      </c>
      <c r="J54" s="635"/>
      <c r="K54" s="21">
        <f t="shared" si="10"/>
        <v>1</v>
      </c>
      <c r="L54" s="635"/>
      <c r="M54" s="21">
        <f t="shared" si="11"/>
        <v>1</v>
      </c>
      <c r="N54" s="635"/>
      <c r="O54" s="21">
        <f t="shared" si="12"/>
        <v>1</v>
      </c>
      <c r="P54" s="635"/>
      <c r="Q54" s="21">
        <f t="shared" si="13"/>
        <v>1</v>
      </c>
      <c r="R54" s="21">
        <f t="shared" ca="1" si="14"/>
        <v>5044</v>
      </c>
      <c r="S54" s="308">
        <f t="shared" ca="1" si="5"/>
        <v>17</v>
      </c>
    </row>
    <row r="55" spans="1:19">
      <c r="A55" s="3228" t="s">
        <v>4042</v>
      </c>
      <c r="B55" s="3228">
        <v>33.299999999999997</v>
      </c>
      <c r="C55" s="21">
        <f t="shared" si="6"/>
        <v>1</v>
      </c>
      <c r="D55" s="3237" t="s">
        <v>4041</v>
      </c>
      <c r="E55" s="21">
        <f t="shared" si="7"/>
        <v>1</v>
      </c>
      <c r="F55" s="635"/>
      <c r="G55" s="21">
        <f t="shared" si="8"/>
        <v>1</v>
      </c>
      <c r="H55" s="635"/>
      <c r="I55" s="21">
        <f t="shared" si="9"/>
        <v>1</v>
      </c>
      <c r="J55" s="635"/>
      <c r="K55" s="21">
        <f t="shared" si="10"/>
        <v>1</v>
      </c>
      <c r="L55" s="635"/>
      <c r="M55" s="21">
        <f t="shared" si="11"/>
        <v>1</v>
      </c>
      <c r="N55" s="635"/>
      <c r="O55" s="21">
        <f t="shared" si="12"/>
        <v>1</v>
      </c>
      <c r="P55" s="635"/>
      <c r="Q55" s="21">
        <f t="shared" si="13"/>
        <v>1</v>
      </c>
      <c r="R55" s="21">
        <f t="shared" ca="1" si="14"/>
        <v>5044</v>
      </c>
      <c r="S55" s="308">
        <f t="shared" ca="1" si="5"/>
        <v>17</v>
      </c>
    </row>
    <row r="56" spans="1:19">
      <c r="A56" s="3228" t="s">
        <v>5206</v>
      </c>
      <c r="B56" s="3228">
        <v>30.74</v>
      </c>
      <c r="C56" s="21">
        <f t="shared" si="6"/>
        <v>1</v>
      </c>
      <c r="D56" s="3228" t="s">
        <v>5171</v>
      </c>
      <c r="E56" s="21">
        <f t="shared" si="7"/>
        <v>1</v>
      </c>
      <c r="F56" s="635"/>
      <c r="G56" s="21">
        <f t="shared" si="8"/>
        <v>1</v>
      </c>
      <c r="H56" s="635"/>
      <c r="I56" s="21">
        <f t="shared" si="9"/>
        <v>1</v>
      </c>
      <c r="J56" s="635"/>
      <c r="K56" s="21">
        <f t="shared" si="10"/>
        <v>1</v>
      </c>
      <c r="L56" s="635"/>
      <c r="M56" s="21">
        <f t="shared" si="11"/>
        <v>1</v>
      </c>
      <c r="N56" s="635"/>
      <c r="O56" s="21">
        <f t="shared" si="12"/>
        <v>1</v>
      </c>
      <c r="P56" s="635"/>
      <c r="Q56" s="21">
        <f t="shared" si="13"/>
        <v>1</v>
      </c>
      <c r="R56" s="21">
        <f t="shared" ca="1" si="14"/>
        <v>5044</v>
      </c>
      <c r="S56" s="308">
        <f t="shared" ca="1" si="5"/>
        <v>16</v>
      </c>
    </row>
    <row r="57" spans="1:19">
      <c r="A57" s="3228" t="s">
        <v>4044</v>
      </c>
      <c r="B57" s="3228">
        <v>30.74</v>
      </c>
      <c r="C57" s="21">
        <f t="shared" si="6"/>
        <v>1</v>
      </c>
      <c r="D57" s="3228" t="s">
        <v>4009</v>
      </c>
      <c r="E57" s="21">
        <f t="shared" si="7"/>
        <v>1</v>
      </c>
      <c r="F57" s="635"/>
      <c r="G57" s="21">
        <f t="shared" si="8"/>
        <v>1</v>
      </c>
      <c r="H57" s="635"/>
      <c r="I57" s="21">
        <f t="shared" si="9"/>
        <v>1</v>
      </c>
      <c r="J57" s="635"/>
      <c r="K57" s="21">
        <f t="shared" si="10"/>
        <v>1</v>
      </c>
      <c r="L57" s="635"/>
      <c r="M57" s="21">
        <f t="shared" si="11"/>
        <v>1</v>
      </c>
      <c r="N57" s="635"/>
      <c r="O57" s="21">
        <f t="shared" si="12"/>
        <v>1</v>
      </c>
      <c r="P57" s="635"/>
      <c r="Q57" s="21">
        <f t="shared" si="13"/>
        <v>1</v>
      </c>
      <c r="R57" s="21">
        <f t="shared" ca="1" si="14"/>
        <v>5044</v>
      </c>
      <c r="S57" s="308">
        <f t="shared" ca="1" si="5"/>
        <v>16</v>
      </c>
    </row>
    <row r="58" spans="1:19">
      <c r="A58" s="3228" t="s">
        <v>5209</v>
      </c>
      <c r="B58" s="3228">
        <v>30.74</v>
      </c>
      <c r="C58" s="21">
        <f t="shared" si="6"/>
        <v>1</v>
      </c>
      <c r="D58" s="3237" t="s">
        <v>5208</v>
      </c>
      <c r="E58" s="21">
        <f t="shared" si="7"/>
        <v>1</v>
      </c>
      <c r="F58" s="635"/>
      <c r="G58" s="21">
        <f t="shared" si="8"/>
        <v>1</v>
      </c>
      <c r="H58" s="635"/>
      <c r="I58" s="21">
        <f t="shared" si="9"/>
        <v>1</v>
      </c>
      <c r="J58" s="635"/>
      <c r="K58" s="21">
        <f t="shared" si="10"/>
        <v>1</v>
      </c>
      <c r="L58" s="635"/>
      <c r="M58" s="21">
        <f t="shared" si="11"/>
        <v>1</v>
      </c>
      <c r="N58" s="635"/>
      <c r="O58" s="21">
        <f t="shared" si="12"/>
        <v>1</v>
      </c>
      <c r="P58" s="635"/>
      <c r="Q58" s="21">
        <f t="shared" si="13"/>
        <v>1</v>
      </c>
      <c r="R58" s="21">
        <f t="shared" ca="1" si="14"/>
        <v>5044</v>
      </c>
      <c r="S58" s="308">
        <f t="shared" ca="1" si="5"/>
        <v>16</v>
      </c>
    </row>
    <row r="59" spans="1:19">
      <c r="A59" s="3228" t="s">
        <v>4046</v>
      </c>
      <c r="B59" s="3228">
        <v>30.74</v>
      </c>
      <c r="C59" s="21">
        <f t="shared" si="6"/>
        <v>1</v>
      </c>
      <c r="D59" s="3228" t="s">
        <v>4009</v>
      </c>
      <c r="E59" s="21">
        <f t="shared" si="7"/>
        <v>1</v>
      </c>
      <c r="F59" s="635"/>
      <c r="G59" s="21">
        <f t="shared" si="8"/>
        <v>1</v>
      </c>
      <c r="H59" s="635"/>
      <c r="I59" s="21">
        <f t="shared" si="9"/>
        <v>1</v>
      </c>
      <c r="J59" s="635"/>
      <c r="K59" s="21">
        <f t="shared" si="10"/>
        <v>1</v>
      </c>
      <c r="L59" s="635"/>
      <c r="M59" s="21">
        <f t="shared" si="11"/>
        <v>1</v>
      </c>
      <c r="N59" s="635"/>
      <c r="O59" s="21">
        <f t="shared" si="12"/>
        <v>1</v>
      </c>
      <c r="P59" s="635"/>
      <c r="Q59" s="21">
        <f t="shared" si="13"/>
        <v>1</v>
      </c>
      <c r="R59" s="21">
        <f t="shared" ca="1" si="14"/>
        <v>5044</v>
      </c>
      <c r="S59" s="308">
        <f t="shared" ca="1" si="5"/>
        <v>16</v>
      </c>
    </row>
    <row r="60" spans="1:19">
      <c r="A60" s="3228" t="s">
        <v>5211</v>
      </c>
      <c r="B60" s="3228">
        <v>30.74</v>
      </c>
      <c r="C60" s="21">
        <f t="shared" si="6"/>
        <v>1</v>
      </c>
      <c r="D60" s="3228" t="s">
        <v>5171</v>
      </c>
      <c r="E60" s="21">
        <f t="shared" si="7"/>
        <v>1</v>
      </c>
      <c r="F60" s="635"/>
      <c r="G60" s="21">
        <f t="shared" si="8"/>
        <v>1</v>
      </c>
      <c r="H60" s="635"/>
      <c r="I60" s="21">
        <f t="shared" si="9"/>
        <v>1</v>
      </c>
      <c r="J60" s="635"/>
      <c r="K60" s="21">
        <f t="shared" si="10"/>
        <v>1</v>
      </c>
      <c r="L60" s="635"/>
      <c r="M60" s="21">
        <f t="shared" si="11"/>
        <v>1</v>
      </c>
      <c r="N60" s="635"/>
      <c r="O60" s="21">
        <f t="shared" si="12"/>
        <v>1</v>
      </c>
      <c r="P60" s="635"/>
      <c r="Q60" s="21">
        <f t="shared" si="13"/>
        <v>1</v>
      </c>
      <c r="R60" s="21">
        <f t="shared" ca="1" si="14"/>
        <v>5044</v>
      </c>
      <c r="S60" s="308">
        <f t="shared" ca="1" si="5"/>
        <v>16</v>
      </c>
    </row>
    <row r="61" spans="1:19">
      <c r="A61" s="3228" t="s">
        <v>4048</v>
      </c>
      <c r="B61" s="3228">
        <v>30.74</v>
      </c>
      <c r="C61" s="21">
        <f t="shared" si="6"/>
        <v>1</v>
      </c>
      <c r="D61" s="3228" t="s">
        <v>4009</v>
      </c>
      <c r="E61" s="21">
        <f t="shared" si="7"/>
        <v>1</v>
      </c>
      <c r="F61" s="635"/>
      <c r="G61" s="21">
        <f t="shared" si="8"/>
        <v>1</v>
      </c>
      <c r="H61" s="635"/>
      <c r="I61" s="21">
        <f t="shared" si="9"/>
        <v>1</v>
      </c>
      <c r="J61" s="635"/>
      <c r="K61" s="21">
        <f t="shared" si="10"/>
        <v>1</v>
      </c>
      <c r="L61" s="635"/>
      <c r="M61" s="21">
        <f t="shared" si="11"/>
        <v>1</v>
      </c>
      <c r="N61" s="635"/>
      <c r="O61" s="21">
        <f t="shared" si="12"/>
        <v>1</v>
      </c>
      <c r="P61" s="635"/>
      <c r="Q61" s="21">
        <f t="shared" si="13"/>
        <v>1</v>
      </c>
      <c r="R61" s="21">
        <f t="shared" ca="1" si="14"/>
        <v>5044</v>
      </c>
      <c r="S61" s="308">
        <f t="shared" ca="1" si="5"/>
        <v>16</v>
      </c>
    </row>
    <row r="62" spans="1:19">
      <c r="A62" s="3228" t="s">
        <v>5213</v>
      </c>
      <c r="B62" s="3228">
        <v>31.06</v>
      </c>
      <c r="C62" s="21">
        <f t="shared" si="6"/>
        <v>1</v>
      </c>
      <c r="D62" s="3228" t="s">
        <v>5171</v>
      </c>
      <c r="E62" s="21">
        <f t="shared" si="7"/>
        <v>1</v>
      </c>
      <c r="F62" s="635"/>
      <c r="G62" s="21">
        <f t="shared" si="8"/>
        <v>1</v>
      </c>
      <c r="H62" s="635"/>
      <c r="I62" s="21">
        <f t="shared" si="9"/>
        <v>1</v>
      </c>
      <c r="J62" s="635"/>
      <c r="K62" s="21">
        <f t="shared" si="10"/>
        <v>1</v>
      </c>
      <c r="L62" s="635"/>
      <c r="M62" s="21">
        <f t="shared" si="11"/>
        <v>1</v>
      </c>
      <c r="N62" s="635"/>
      <c r="O62" s="21">
        <f t="shared" si="12"/>
        <v>1</v>
      </c>
      <c r="P62" s="635"/>
      <c r="Q62" s="21">
        <f t="shared" si="13"/>
        <v>1</v>
      </c>
      <c r="R62" s="21">
        <f t="shared" ca="1" si="14"/>
        <v>5044</v>
      </c>
      <c r="S62" s="308">
        <f t="shared" ca="1" si="5"/>
        <v>16</v>
      </c>
    </row>
    <row r="63" spans="1:19">
      <c r="A63" s="3229" t="s">
        <v>4050</v>
      </c>
      <c r="B63" s="3228">
        <v>31.06</v>
      </c>
      <c r="C63" s="21">
        <f t="shared" si="6"/>
        <v>1</v>
      </c>
      <c r="D63" s="3228" t="s">
        <v>4009</v>
      </c>
      <c r="E63" s="21">
        <f t="shared" si="7"/>
        <v>1</v>
      </c>
      <c r="F63" s="635"/>
      <c r="G63" s="21">
        <f t="shared" si="8"/>
        <v>1</v>
      </c>
      <c r="H63" s="635"/>
      <c r="I63" s="21">
        <f t="shared" si="9"/>
        <v>1</v>
      </c>
      <c r="J63" s="635"/>
      <c r="K63" s="21">
        <f t="shared" si="10"/>
        <v>1</v>
      </c>
      <c r="L63" s="635"/>
      <c r="M63" s="21">
        <f t="shared" si="11"/>
        <v>1</v>
      </c>
      <c r="N63" s="635"/>
      <c r="O63" s="21">
        <f t="shared" si="12"/>
        <v>1</v>
      </c>
      <c r="P63" s="635"/>
      <c r="Q63" s="21">
        <f t="shared" si="13"/>
        <v>1</v>
      </c>
      <c r="R63" s="21">
        <f t="shared" ca="1" si="14"/>
        <v>5044</v>
      </c>
      <c r="S63" s="308">
        <f t="shared" ca="1" si="5"/>
        <v>16</v>
      </c>
    </row>
    <row r="64" spans="1:19">
      <c r="A64" s="3228" t="s">
        <v>5215</v>
      </c>
      <c r="B64" s="3228">
        <v>31.06</v>
      </c>
      <c r="C64" s="21">
        <f t="shared" si="6"/>
        <v>1</v>
      </c>
      <c r="D64" s="3228" t="s">
        <v>5171</v>
      </c>
      <c r="E64" s="21">
        <f t="shared" si="7"/>
        <v>1</v>
      </c>
      <c r="F64" s="635"/>
      <c r="G64" s="21">
        <f t="shared" si="8"/>
        <v>1</v>
      </c>
      <c r="H64" s="635"/>
      <c r="I64" s="21">
        <f t="shared" si="9"/>
        <v>1</v>
      </c>
      <c r="J64" s="635"/>
      <c r="K64" s="21">
        <f t="shared" si="10"/>
        <v>1</v>
      </c>
      <c r="L64" s="635"/>
      <c r="M64" s="21">
        <f t="shared" si="11"/>
        <v>1</v>
      </c>
      <c r="N64" s="635"/>
      <c r="O64" s="21">
        <f t="shared" si="12"/>
        <v>1</v>
      </c>
      <c r="P64" s="635"/>
      <c r="Q64" s="21">
        <f t="shared" si="13"/>
        <v>1</v>
      </c>
      <c r="R64" s="21">
        <f t="shared" ca="1" si="14"/>
        <v>5044</v>
      </c>
      <c r="S64" s="308">
        <f t="shared" ca="1" si="5"/>
        <v>16</v>
      </c>
    </row>
    <row r="65" spans="1:19">
      <c r="A65" s="3228" t="s">
        <v>4052</v>
      </c>
      <c r="B65" s="3228">
        <v>31.06</v>
      </c>
      <c r="C65" s="21">
        <f t="shared" si="6"/>
        <v>1</v>
      </c>
      <c r="D65" s="3228" t="s">
        <v>4009</v>
      </c>
      <c r="E65" s="21">
        <f t="shared" si="7"/>
        <v>1</v>
      </c>
      <c r="F65" s="635"/>
      <c r="G65" s="21">
        <f t="shared" si="8"/>
        <v>1</v>
      </c>
      <c r="H65" s="635"/>
      <c r="I65" s="21">
        <f t="shared" si="9"/>
        <v>1</v>
      </c>
      <c r="J65" s="635"/>
      <c r="K65" s="21">
        <f t="shared" si="10"/>
        <v>1</v>
      </c>
      <c r="L65" s="635"/>
      <c r="M65" s="21">
        <f t="shared" si="11"/>
        <v>1</v>
      </c>
      <c r="N65" s="635"/>
      <c r="O65" s="21">
        <f t="shared" si="12"/>
        <v>1</v>
      </c>
      <c r="P65" s="635"/>
      <c r="Q65" s="21">
        <f t="shared" si="13"/>
        <v>1</v>
      </c>
      <c r="R65" s="21">
        <f t="shared" ca="1" si="14"/>
        <v>5044</v>
      </c>
      <c r="S65" s="308">
        <f t="shared" ca="1" si="5"/>
        <v>16</v>
      </c>
    </row>
    <row r="66" spans="1:19">
      <c r="A66" s="3228" t="s">
        <v>5217</v>
      </c>
      <c r="B66" s="3228">
        <v>31.06</v>
      </c>
      <c r="C66" s="21">
        <f t="shared" si="6"/>
        <v>1</v>
      </c>
      <c r="D66" s="3228" t="s">
        <v>5171</v>
      </c>
      <c r="E66" s="21">
        <f t="shared" si="7"/>
        <v>1</v>
      </c>
      <c r="F66" s="635"/>
      <c r="G66" s="21">
        <f t="shared" si="8"/>
        <v>1</v>
      </c>
      <c r="H66" s="635"/>
      <c r="I66" s="21">
        <f t="shared" si="9"/>
        <v>1</v>
      </c>
      <c r="J66" s="635"/>
      <c r="K66" s="21">
        <f t="shared" si="10"/>
        <v>1</v>
      </c>
      <c r="L66" s="635"/>
      <c r="M66" s="21">
        <f t="shared" si="11"/>
        <v>1</v>
      </c>
      <c r="N66" s="635"/>
      <c r="O66" s="21">
        <f t="shared" si="12"/>
        <v>1</v>
      </c>
      <c r="P66" s="635"/>
      <c r="Q66" s="21">
        <f t="shared" si="13"/>
        <v>1</v>
      </c>
      <c r="R66" s="21">
        <f t="shared" ca="1" si="14"/>
        <v>5044</v>
      </c>
      <c r="S66" s="308">
        <f t="shared" ca="1" si="5"/>
        <v>16</v>
      </c>
    </row>
    <row r="67" spans="1:19">
      <c r="A67" s="3228" t="s">
        <v>4054</v>
      </c>
      <c r="B67" s="3228">
        <v>31.06</v>
      </c>
      <c r="C67" s="21">
        <f t="shared" si="6"/>
        <v>1</v>
      </c>
      <c r="D67" s="3228" t="s">
        <v>4009</v>
      </c>
      <c r="E67" s="21">
        <f t="shared" si="7"/>
        <v>1</v>
      </c>
      <c r="F67" s="635"/>
      <c r="G67" s="21">
        <f t="shared" si="8"/>
        <v>1</v>
      </c>
      <c r="H67" s="635"/>
      <c r="I67" s="21">
        <f t="shared" si="9"/>
        <v>1</v>
      </c>
      <c r="J67" s="635"/>
      <c r="K67" s="21">
        <f t="shared" si="10"/>
        <v>1</v>
      </c>
      <c r="L67" s="635"/>
      <c r="M67" s="21">
        <f t="shared" si="11"/>
        <v>1</v>
      </c>
      <c r="N67" s="635"/>
      <c r="O67" s="21">
        <f t="shared" si="12"/>
        <v>1</v>
      </c>
      <c r="P67" s="635"/>
      <c r="Q67" s="21">
        <f t="shared" si="13"/>
        <v>1</v>
      </c>
      <c r="R67" s="21">
        <f t="shared" ca="1" si="14"/>
        <v>5044</v>
      </c>
      <c r="S67" s="308">
        <f t="shared" ca="1" si="5"/>
        <v>16</v>
      </c>
    </row>
    <row r="68" spans="1:19">
      <c r="A68" s="3228" t="s">
        <v>5219</v>
      </c>
      <c r="B68" s="3228">
        <v>31.06</v>
      </c>
      <c r="C68" s="21">
        <f t="shared" si="6"/>
        <v>1</v>
      </c>
      <c r="D68" s="3228" t="s">
        <v>5171</v>
      </c>
      <c r="E68" s="21">
        <f t="shared" si="7"/>
        <v>1</v>
      </c>
      <c r="F68" s="635"/>
      <c r="G68" s="21">
        <f t="shared" si="8"/>
        <v>1</v>
      </c>
      <c r="H68" s="635"/>
      <c r="I68" s="21">
        <f t="shared" si="9"/>
        <v>1</v>
      </c>
      <c r="J68" s="635"/>
      <c r="K68" s="21">
        <f t="shared" si="10"/>
        <v>1</v>
      </c>
      <c r="L68" s="635"/>
      <c r="M68" s="21">
        <f t="shared" si="11"/>
        <v>1</v>
      </c>
      <c r="N68" s="635"/>
      <c r="O68" s="21">
        <f t="shared" si="12"/>
        <v>1</v>
      </c>
      <c r="P68" s="635"/>
      <c r="Q68" s="21">
        <f t="shared" si="13"/>
        <v>1</v>
      </c>
      <c r="R68" s="21">
        <f t="shared" ca="1" si="14"/>
        <v>5044</v>
      </c>
      <c r="S68" s="308">
        <f t="shared" ca="1" si="5"/>
        <v>16</v>
      </c>
    </row>
    <row r="69" spans="1:19">
      <c r="A69" s="3228" t="s">
        <v>4056</v>
      </c>
      <c r="B69" s="3228">
        <v>31.06</v>
      </c>
      <c r="C69" s="21">
        <f t="shared" si="6"/>
        <v>1</v>
      </c>
      <c r="D69" s="3228" t="s">
        <v>4009</v>
      </c>
      <c r="E69" s="21">
        <f t="shared" si="7"/>
        <v>1</v>
      </c>
      <c r="F69" s="635"/>
      <c r="G69" s="21">
        <f t="shared" si="8"/>
        <v>1</v>
      </c>
      <c r="H69" s="635"/>
      <c r="I69" s="21">
        <f t="shared" si="9"/>
        <v>1</v>
      </c>
      <c r="J69" s="635"/>
      <c r="K69" s="21">
        <f t="shared" si="10"/>
        <v>1</v>
      </c>
      <c r="L69" s="635"/>
      <c r="M69" s="21">
        <f t="shared" si="11"/>
        <v>1</v>
      </c>
      <c r="N69" s="635"/>
      <c r="O69" s="21">
        <f t="shared" si="12"/>
        <v>1</v>
      </c>
      <c r="P69" s="635"/>
      <c r="Q69" s="21">
        <f t="shared" si="13"/>
        <v>1</v>
      </c>
      <c r="R69" s="21">
        <f t="shared" ca="1" si="14"/>
        <v>5044</v>
      </c>
      <c r="S69" s="308">
        <f t="shared" ca="1" si="5"/>
        <v>16</v>
      </c>
    </row>
    <row r="70" spans="1:19">
      <c r="A70" s="3228" t="s">
        <v>5221</v>
      </c>
      <c r="B70" s="3228">
        <v>31.06</v>
      </c>
      <c r="C70" s="21">
        <f t="shared" si="6"/>
        <v>1</v>
      </c>
      <c r="D70" s="3228" t="s">
        <v>5171</v>
      </c>
      <c r="E70" s="21">
        <f t="shared" si="7"/>
        <v>1</v>
      </c>
      <c r="F70" s="635"/>
      <c r="G70" s="21">
        <f t="shared" si="8"/>
        <v>1</v>
      </c>
      <c r="H70" s="635"/>
      <c r="I70" s="21">
        <f t="shared" si="9"/>
        <v>1</v>
      </c>
      <c r="J70" s="635"/>
      <c r="K70" s="21">
        <f t="shared" si="10"/>
        <v>1</v>
      </c>
      <c r="L70" s="635"/>
      <c r="M70" s="21">
        <f t="shared" si="11"/>
        <v>1</v>
      </c>
      <c r="N70" s="635"/>
      <c r="O70" s="21">
        <f t="shared" si="12"/>
        <v>1</v>
      </c>
      <c r="P70" s="635"/>
      <c r="Q70" s="21">
        <f t="shared" si="13"/>
        <v>1</v>
      </c>
      <c r="R70" s="21">
        <f t="shared" ca="1" si="14"/>
        <v>5044</v>
      </c>
      <c r="S70" s="308">
        <f t="shared" ca="1" si="5"/>
        <v>16</v>
      </c>
    </row>
    <row r="71" spans="1:19">
      <c r="A71" s="3228" t="s">
        <v>4058</v>
      </c>
      <c r="B71" s="3228">
        <v>31.06</v>
      </c>
      <c r="C71" s="21">
        <f t="shared" si="6"/>
        <v>1</v>
      </c>
      <c r="D71" s="3228" t="s">
        <v>4009</v>
      </c>
      <c r="E71" s="21">
        <f t="shared" si="7"/>
        <v>1</v>
      </c>
      <c r="F71" s="635"/>
      <c r="G71" s="21">
        <f t="shared" si="8"/>
        <v>1</v>
      </c>
      <c r="H71" s="635"/>
      <c r="I71" s="21">
        <f t="shared" si="9"/>
        <v>1</v>
      </c>
      <c r="J71" s="635"/>
      <c r="K71" s="21">
        <f t="shared" si="10"/>
        <v>1</v>
      </c>
      <c r="L71" s="635"/>
      <c r="M71" s="21">
        <f t="shared" si="11"/>
        <v>1</v>
      </c>
      <c r="N71" s="635"/>
      <c r="O71" s="21">
        <f t="shared" si="12"/>
        <v>1</v>
      </c>
      <c r="P71" s="635"/>
      <c r="Q71" s="21">
        <f t="shared" si="13"/>
        <v>1</v>
      </c>
      <c r="R71" s="21">
        <f t="shared" ca="1" si="14"/>
        <v>5044</v>
      </c>
      <c r="S71" s="308">
        <f t="shared" ca="1" si="5"/>
        <v>16</v>
      </c>
    </row>
    <row r="72" spans="1:19">
      <c r="A72" s="3228" t="s">
        <v>5223</v>
      </c>
      <c r="B72" s="3228">
        <v>31.06</v>
      </c>
      <c r="C72" s="21">
        <f t="shared" si="6"/>
        <v>1</v>
      </c>
      <c r="D72" s="3237" t="s">
        <v>5208</v>
      </c>
      <c r="E72" s="21">
        <f t="shared" si="7"/>
        <v>1</v>
      </c>
      <c r="F72" s="635"/>
      <c r="G72" s="21">
        <f t="shared" si="8"/>
        <v>1</v>
      </c>
      <c r="H72" s="635"/>
      <c r="I72" s="21">
        <f t="shared" si="9"/>
        <v>1</v>
      </c>
      <c r="J72" s="635"/>
      <c r="K72" s="21">
        <f t="shared" si="10"/>
        <v>1</v>
      </c>
      <c r="L72" s="635"/>
      <c r="M72" s="21">
        <f t="shared" si="11"/>
        <v>1</v>
      </c>
      <c r="N72" s="635"/>
      <c r="O72" s="21">
        <f t="shared" si="12"/>
        <v>1</v>
      </c>
      <c r="P72" s="635"/>
      <c r="Q72" s="21">
        <f t="shared" si="13"/>
        <v>1</v>
      </c>
      <c r="R72" s="21">
        <f t="shared" ca="1" si="14"/>
        <v>5044</v>
      </c>
      <c r="S72" s="308">
        <f t="shared" ca="1" si="5"/>
        <v>16</v>
      </c>
    </row>
    <row r="73" spans="1:19">
      <c r="A73" s="3228" t="s">
        <v>4060</v>
      </c>
      <c r="B73" s="3228">
        <v>31.06</v>
      </c>
      <c r="C73" s="21">
        <f t="shared" si="6"/>
        <v>1</v>
      </c>
      <c r="D73" s="3228" t="s">
        <v>4009</v>
      </c>
      <c r="E73" s="21">
        <f t="shared" si="7"/>
        <v>1</v>
      </c>
      <c r="F73" s="635"/>
      <c r="G73" s="21">
        <f t="shared" si="8"/>
        <v>1</v>
      </c>
      <c r="H73" s="635"/>
      <c r="I73" s="21">
        <f t="shared" si="9"/>
        <v>1</v>
      </c>
      <c r="J73" s="635"/>
      <c r="K73" s="21">
        <f t="shared" si="10"/>
        <v>1</v>
      </c>
      <c r="L73" s="635"/>
      <c r="M73" s="21">
        <f t="shared" si="11"/>
        <v>1</v>
      </c>
      <c r="N73" s="635"/>
      <c r="O73" s="21">
        <f t="shared" si="12"/>
        <v>1</v>
      </c>
      <c r="P73" s="635"/>
      <c r="Q73" s="21">
        <f t="shared" si="13"/>
        <v>1</v>
      </c>
      <c r="R73" s="21">
        <f t="shared" ca="1" si="14"/>
        <v>5044</v>
      </c>
      <c r="S73" s="308">
        <f t="shared" ca="1" si="5"/>
        <v>16</v>
      </c>
    </row>
    <row r="74" spans="1:19">
      <c r="A74" s="3228" t="s">
        <v>5225</v>
      </c>
      <c r="B74" s="3228">
        <v>33.01</v>
      </c>
      <c r="C74" s="21">
        <f t="shared" si="6"/>
        <v>1</v>
      </c>
      <c r="D74" s="3237" t="s">
        <v>5208</v>
      </c>
      <c r="E74" s="21">
        <f t="shared" si="7"/>
        <v>1</v>
      </c>
      <c r="F74" s="635"/>
      <c r="G74" s="21">
        <f t="shared" si="8"/>
        <v>1</v>
      </c>
      <c r="H74" s="635"/>
      <c r="I74" s="21">
        <f t="shared" si="9"/>
        <v>1</v>
      </c>
      <c r="J74" s="635"/>
      <c r="K74" s="21">
        <f t="shared" si="10"/>
        <v>1</v>
      </c>
      <c r="L74" s="635"/>
      <c r="M74" s="21">
        <f t="shared" si="11"/>
        <v>1</v>
      </c>
      <c r="N74" s="635"/>
      <c r="O74" s="21">
        <f t="shared" si="12"/>
        <v>1</v>
      </c>
      <c r="P74" s="635"/>
      <c r="Q74" s="21">
        <f t="shared" si="13"/>
        <v>1</v>
      </c>
      <c r="R74" s="21">
        <f t="shared" ca="1" si="14"/>
        <v>5044</v>
      </c>
      <c r="S74" s="308">
        <f t="shared" ca="1" si="5"/>
        <v>17</v>
      </c>
    </row>
    <row r="75" spans="1:19">
      <c r="A75" s="3228" t="s">
        <v>4062</v>
      </c>
      <c r="B75" s="3228">
        <v>33.01</v>
      </c>
      <c r="C75" s="21">
        <f t="shared" si="6"/>
        <v>1</v>
      </c>
      <c r="D75" s="3228" t="s">
        <v>4009</v>
      </c>
      <c r="E75" s="21">
        <f t="shared" si="7"/>
        <v>1</v>
      </c>
      <c r="F75" s="635"/>
      <c r="G75" s="21">
        <f t="shared" si="8"/>
        <v>1</v>
      </c>
      <c r="H75" s="635"/>
      <c r="I75" s="21">
        <f t="shared" si="9"/>
        <v>1</v>
      </c>
      <c r="J75" s="635"/>
      <c r="K75" s="21">
        <f t="shared" si="10"/>
        <v>1</v>
      </c>
      <c r="L75" s="635"/>
      <c r="M75" s="21">
        <f t="shared" si="11"/>
        <v>1</v>
      </c>
      <c r="N75" s="635"/>
      <c r="O75" s="21">
        <f t="shared" si="12"/>
        <v>1</v>
      </c>
      <c r="P75" s="635"/>
      <c r="Q75" s="21">
        <f t="shared" si="13"/>
        <v>1</v>
      </c>
      <c r="R75" s="21">
        <f t="shared" ca="1" si="14"/>
        <v>5044</v>
      </c>
      <c r="S75" s="308">
        <f t="shared" ca="1" si="5"/>
        <v>17</v>
      </c>
    </row>
    <row r="76" spans="1:19">
      <c r="A76" s="3228" t="s">
        <v>5227</v>
      </c>
      <c r="B76" s="3228">
        <v>33.01</v>
      </c>
      <c r="C76" s="21">
        <f t="shared" si="6"/>
        <v>1</v>
      </c>
      <c r="D76" s="3228" t="s">
        <v>5171</v>
      </c>
      <c r="E76" s="21">
        <f t="shared" si="7"/>
        <v>1</v>
      </c>
      <c r="F76" s="635"/>
      <c r="G76" s="21">
        <f t="shared" si="8"/>
        <v>1</v>
      </c>
      <c r="H76" s="635"/>
      <c r="I76" s="21">
        <f t="shared" si="9"/>
        <v>1</v>
      </c>
      <c r="J76" s="635"/>
      <c r="K76" s="21">
        <f t="shared" si="10"/>
        <v>1</v>
      </c>
      <c r="L76" s="635"/>
      <c r="M76" s="21">
        <f t="shared" si="11"/>
        <v>1</v>
      </c>
      <c r="N76" s="635"/>
      <c r="O76" s="21">
        <f t="shared" si="12"/>
        <v>1</v>
      </c>
      <c r="P76" s="635"/>
      <c r="Q76" s="21">
        <f t="shared" si="13"/>
        <v>1</v>
      </c>
      <c r="R76" s="21">
        <f t="shared" ca="1" si="14"/>
        <v>5044</v>
      </c>
      <c r="S76" s="308">
        <f t="shared" ca="1" si="5"/>
        <v>17</v>
      </c>
    </row>
    <row r="77" spans="1:19">
      <c r="A77" s="3228" t="s">
        <v>4064</v>
      </c>
      <c r="B77" s="3228">
        <v>31.06</v>
      </c>
      <c r="C77" s="21">
        <f t="shared" si="6"/>
        <v>1</v>
      </c>
      <c r="D77" s="3228" t="s">
        <v>4009</v>
      </c>
      <c r="E77" s="21">
        <f t="shared" si="7"/>
        <v>1</v>
      </c>
      <c r="F77" s="635"/>
      <c r="G77" s="21">
        <f t="shared" si="8"/>
        <v>1</v>
      </c>
      <c r="H77" s="635"/>
      <c r="I77" s="21">
        <f t="shared" si="9"/>
        <v>1</v>
      </c>
      <c r="J77" s="635"/>
      <c r="K77" s="21">
        <f t="shared" si="10"/>
        <v>1</v>
      </c>
      <c r="L77" s="635"/>
      <c r="M77" s="21">
        <f t="shared" si="11"/>
        <v>1</v>
      </c>
      <c r="N77" s="635"/>
      <c r="O77" s="21">
        <f t="shared" si="12"/>
        <v>1</v>
      </c>
      <c r="P77" s="635"/>
      <c r="Q77" s="21">
        <f t="shared" si="13"/>
        <v>1</v>
      </c>
      <c r="R77" s="21">
        <f t="shared" ca="1" si="14"/>
        <v>5044</v>
      </c>
      <c r="S77" s="308">
        <f t="shared" ca="1" si="5"/>
        <v>16</v>
      </c>
    </row>
    <row r="78" spans="1:19">
      <c r="A78" s="3228" t="s">
        <v>5229</v>
      </c>
      <c r="B78" s="3228">
        <v>31.06</v>
      </c>
      <c r="C78" s="21">
        <f t="shared" si="6"/>
        <v>1</v>
      </c>
      <c r="D78" s="3228" t="s">
        <v>5171</v>
      </c>
      <c r="E78" s="21">
        <f t="shared" si="7"/>
        <v>1</v>
      </c>
      <c r="F78" s="635"/>
      <c r="G78" s="21">
        <f t="shared" si="8"/>
        <v>1</v>
      </c>
      <c r="H78" s="635"/>
      <c r="I78" s="21">
        <f t="shared" si="9"/>
        <v>1</v>
      </c>
      <c r="J78" s="635"/>
      <c r="K78" s="21">
        <f t="shared" si="10"/>
        <v>1</v>
      </c>
      <c r="L78" s="635"/>
      <c r="M78" s="21">
        <f t="shared" si="11"/>
        <v>1</v>
      </c>
      <c r="N78" s="635"/>
      <c r="O78" s="21">
        <f t="shared" si="12"/>
        <v>1</v>
      </c>
      <c r="P78" s="635"/>
      <c r="Q78" s="21">
        <f t="shared" si="13"/>
        <v>1</v>
      </c>
      <c r="R78" s="21">
        <f t="shared" ca="1" si="14"/>
        <v>5044</v>
      </c>
      <c r="S78" s="308">
        <f t="shared" ca="1" si="5"/>
        <v>16</v>
      </c>
    </row>
    <row r="79" spans="1:19">
      <c r="A79" s="3228" t="s">
        <v>4066</v>
      </c>
      <c r="B79" s="3228">
        <v>31.06</v>
      </c>
      <c r="C79" s="21">
        <f t="shared" si="6"/>
        <v>1</v>
      </c>
      <c r="D79" s="3228" t="s">
        <v>4009</v>
      </c>
      <c r="E79" s="21">
        <f t="shared" si="7"/>
        <v>1</v>
      </c>
      <c r="F79" s="635"/>
      <c r="G79" s="21">
        <f t="shared" si="8"/>
        <v>1</v>
      </c>
      <c r="H79" s="635"/>
      <c r="I79" s="21">
        <f t="shared" si="9"/>
        <v>1</v>
      </c>
      <c r="J79" s="635"/>
      <c r="K79" s="21">
        <f t="shared" si="10"/>
        <v>1</v>
      </c>
      <c r="L79" s="635"/>
      <c r="M79" s="21">
        <f t="shared" si="11"/>
        <v>1</v>
      </c>
      <c r="N79" s="635"/>
      <c r="O79" s="21">
        <f t="shared" si="12"/>
        <v>1</v>
      </c>
      <c r="P79" s="635"/>
      <c r="Q79" s="21">
        <f t="shared" si="13"/>
        <v>1</v>
      </c>
      <c r="R79" s="21">
        <f t="shared" ca="1" si="14"/>
        <v>5044</v>
      </c>
      <c r="S79" s="308">
        <f t="shared" ca="1" si="5"/>
        <v>16</v>
      </c>
    </row>
    <row r="80" spans="1:19">
      <c r="A80" s="3228" t="s">
        <v>5231</v>
      </c>
      <c r="B80" s="3228">
        <v>29.76</v>
      </c>
      <c r="C80" s="21">
        <f t="shared" si="6"/>
        <v>1</v>
      </c>
      <c r="D80" s="3228" t="s">
        <v>5171</v>
      </c>
      <c r="E80" s="21">
        <f t="shared" si="7"/>
        <v>1</v>
      </c>
      <c r="F80" s="635"/>
      <c r="G80" s="21">
        <f t="shared" si="8"/>
        <v>1</v>
      </c>
      <c r="H80" s="635"/>
      <c r="I80" s="21">
        <f t="shared" si="9"/>
        <v>1</v>
      </c>
      <c r="J80" s="635"/>
      <c r="K80" s="21">
        <f t="shared" si="10"/>
        <v>1</v>
      </c>
      <c r="L80" s="635"/>
      <c r="M80" s="21">
        <f t="shared" si="11"/>
        <v>1</v>
      </c>
      <c r="N80" s="635"/>
      <c r="O80" s="21">
        <f t="shared" si="12"/>
        <v>1</v>
      </c>
      <c r="P80" s="635"/>
      <c r="Q80" s="21">
        <f t="shared" si="13"/>
        <v>1</v>
      </c>
      <c r="R80" s="21">
        <f t="shared" ca="1" si="14"/>
        <v>5044</v>
      </c>
      <c r="S80" s="308">
        <f t="shared" ca="1" si="5"/>
        <v>15</v>
      </c>
    </row>
    <row r="81" spans="1:19">
      <c r="A81" s="3228" t="s">
        <v>4068</v>
      </c>
      <c r="B81" s="3228">
        <v>29.76</v>
      </c>
      <c r="C81" s="21">
        <f t="shared" si="6"/>
        <v>1</v>
      </c>
      <c r="D81" s="3228" t="s">
        <v>4009</v>
      </c>
      <c r="E81" s="21">
        <f t="shared" si="7"/>
        <v>1</v>
      </c>
      <c r="F81" s="635"/>
      <c r="G81" s="21">
        <f t="shared" si="8"/>
        <v>1</v>
      </c>
      <c r="H81" s="635"/>
      <c r="I81" s="21">
        <f t="shared" si="9"/>
        <v>1</v>
      </c>
      <c r="J81" s="635"/>
      <c r="K81" s="21">
        <f t="shared" si="10"/>
        <v>1</v>
      </c>
      <c r="L81" s="635"/>
      <c r="M81" s="21">
        <f t="shared" si="11"/>
        <v>1</v>
      </c>
      <c r="N81" s="635"/>
      <c r="O81" s="21">
        <f t="shared" si="12"/>
        <v>1</v>
      </c>
      <c r="P81" s="635"/>
      <c r="Q81" s="21">
        <f t="shared" si="13"/>
        <v>1</v>
      </c>
      <c r="R81" s="21">
        <f t="shared" ca="1" si="14"/>
        <v>5044</v>
      </c>
      <c r="S81" s="308">
        <f t="shared" ca="1" si="5"/>
        <v>15</v>
      </c>
    </row>
    <row r="82" spans="1:19">
      <c r="A82" s="3228" t="s">
        <v>5233</v>
      </c>
      <c r="B82" s="3228">
        <v>31.06</v>
      </c>
      <c r="C82" s="21">
        <f t="shared" si="6"/>
        <v>1</v>
      </c>
      <c r="D82" s="3228" t="s">
        <v>5171</v>
      </c>
      <c r="E82" s="21">
        <f t="shared" si="7"/>
        <v>1</v>
      </c>
      <c r="F82" s="635"/>
      <c r="G82" s="21">
        <f t="shared" si="8"/>
        <v>1</v>
      </c>
      <c r="H82" s="635"/>
      <c r="I82" s="21">
        <f t="shared" si="9"/>
        <v>1</v>
      </c>
      <c r="J82" s="635"/>
      <c r="K82" s="21">
        <f t="shared" si="10"/>
        <v>1</v>
      </c>
      <c r="L82" s="635"/>
      <c r="M82" s="21">
        <f t="shared" si="11"/>
        <v>1</v>
      </c>
      <c r="N82" s="635"/>
      <c r="O82" s="21">
        <f t="shared" si="12"/>
        <v>1</v>
      </c>
      <c r="P82" s="635"/>
      <c r="Q82" s="21">
        <f t="shared" si="13"/>
        <v>1</v>
      </c>
      <c r="R82" s="21">
        <f t="shared" ca="1" si="14"/>
        <v>5044</v>
      </c>
      <c r="S82" s="308">
        <f t="shared" ca="1" si="5"/>
        <v>16</v>
      </c>
    </row>
    <row r="83" spans="1:19">
      <c r="A83" s="3228" t="s">
        <v>4070</v>
      </c>
      <c r="B83" s="3228">
        <v>31.06</v>
      </c>
      <c r="C83" s="21">
        <f t="shared" si="6"/>
        <v>1</v>
      </c>
      <c r="D83" s="3228" t="s">
        <v>4009</v>
      </c>
      <c r="E83" s="21">
        <f t="shared" si="7"/>
        <v>1</v>
      </c>
      <c r="F83" s="635"/>
      <c r="G83" s="21">
        <f t="shared" si="8"/>
        <v>1</v>
      </c>
      <c r="H83" s="635"/>
      <c r="I83" s="21">
        <f t="shared" si="9"/>
        <v>1</v>
      </c>
      <c r="J83" s="635"/>
      <c r="K83" s="21">
        <f t="shared" si="10"/>
        <v>1</v>
      </c>
      <c r="L83" s="635"/>
      <c r="M83" s="21">
        <f t="shared" si="11"/>
        <v>1</v>
      </c>
      <c r="N83" s="635"/>
      <c r="O83" s="21">
        <f t="shared" si="12"/>
        <v>1</v>
      </c>
      <c r="P83" s="635"/>
      <c r="Q83" s="21">
        <f t="shared" si="13"/>
        <v>1</v>
      </c>
      <c r="R83" s="21">
        <f t="shared" ca="1" si="14"/>
        <v>5044</v>
      </c>
      <c r="S83" s="308">
        <f t="shared" ca="1" si="5"/>
        <v>16</v>
      </c>
    </row>
    <row r="84" spans="1:19">
      <c r="A84" s="3228" t="s">
        <v>5235</v>
      </c>
      <c r="B84" s="3228">
        <v>31.06</v>
      </c>
      <c r="C84" s="21">
        <f t="shared" si="6"/>
        <v>1</v>
      </c>
      <c r="D84" s="3228" t="s">
        <v>5171</v>
      </c>
      <c r="E84" s="21">
        <f t="shared" si="7"/>
        <v>1</v>
      </c>
      <c r="F84" s="635"/>
      <c r="G84" s="21">
        <f t="shared" si="8"/>
        <v>1</v>
      </c>
      <c r="H84" s="635"/>
      <c r="I84" s="21">
        <f t="shared" si="9"/>
        <v>1</v>
      </c>
      <c r="J84" s="635"/>
      <c r="K84" s="21">
        <f t="shared" si="10"/>
        <v>1</v>
      </c>
      <c r="L84" s="635"/>
      <c r="M84" s="21">
        <f t="shared" si="11"/>
        <v>1</v>
      </c>
      <c r="N84" s="635"/>
      <c r="O84" s="21">
        <f t="shared" si="12"/>
        <v>1</v>
      </c>
      <c r="P84" s="635"/>
      <c r="Q84" s="21">
        <f t="shared" si="13"/>
        <v>1</v>
      </c>
      <c r="R84" s="21">
        <f t="shared" ca="1" si="14"/>
        <v>5044</v>
      </c>
      <c r="S84" s="308">
        <f t="shared" ca="1" si="5"/>
        <v>16</v>
      </c>
    </row>
    <row r="85" spans="1:19">
      <c r="A85" s="3228" t="s">
        <v>4072</v>
      </c>
      <c r="B85" s="3228">
        <v>33.01</v>
      </c>
      <c r="C85" s="21">
        <f t="shared" si="6"/>
        <v>1</v>
      </c>
      <c r="D85" s="3228" t="s">
        <v>4009</v>
      </c>
      <c r="E85" s="21">
        <f t="shared" si="7"/>
        <v>1</v>
      </c>
      <c r="F85" s="635"/>
      <c r="G85" s="21">
        <f t="shared" si="8"/>
        <v>1</v>
      </c>
      <c r="H85" s="635"/>
      <c r="I85" s="21">
        <f t="shared" si="9"/>
        <v>1</v>
      </c>
      <c r="J85" s="635"/>
      <c r="K85" s="21">
        <f t="shared" si="10"/>
        <v>1</v>
      </c>
      <c r="L85" s="635"/>
      <c r="M85" s="21">
        <f t="shared" si="11"/>
        <v>1</v>
      </c>
      <c r="N85" s="635"/>
      <c r="O85" s="21">
        <f t="shared" si="12"/>
        <v>1</v>
      </c>
      <c r="P85" s="635"/>
      <c r="Q85" s="21">
        <f t="shared" si="13"/>
        <v>1</v>
      </c>
      <c r="R85" s="21">
        <f t="shared" ca="1" si="14"/>
        <v>5044</v>
      </c>
      <c r="S85" s="308">
        <f t="shared" ca="1" si="5"/>
        <v>17</v>
      </c>
    </row>
    <row r="86" spans="1:19">
      <c r="A86" s="3228" t="s">
        <v>5237</v>
      </c>
      <c r="B86" s="3228">
        <v>33.01</v>
      </c>
      <c r="C86" s="21">
        <f t="shared" si="6"/>
        <v>1</v>
      </c>
      <c r="D86" s="3228" t="s">
        <v>5171</v>
      </c>
      <c r="E86" s="21">
        <f t="shared" si="7"/>
        <v>1</v>
      </c>
      <c r="F86" s="635"/>
      <c r="G86" s="21">
        <f t="shared" si="8"/>
        <v>1</v>
      </c>
      <c r="H86" s="635"/>
      <c r="I86" s="21">
        <f t="shared" si="9"/>
        <v>1</v>
      </c>
      <c r="J86" s="635"/>
      <c r="K86" s="21">
        <f t="shared" si="10"/>
        <v>1</v>
      </c>
      <c r="L86" s="635"/>
      <c r="M86" s="21">
        <f t="shared" si="11"/>
        <v>1</v>
      </c>
      <c r="N86" s="635"/>
      <c r="O86" s="21">
        <f t="shared" si="12"/>
        <v>1</v>
      </c>
      <c r="P86" s="635"/>
      <c r="Q86" s="21">
        <f t="shared" si="13"/>
        <v>1</v>
      </c>
      <c r="R86" s="21">
        <f t="shared" ca="1" si="14"/>
        <v>5044</v>
      </c>
      <c r="S86" s="308">
        <f t="shared" ca="1" si="5"/>
        <v>17</v>
      </c>
    </row>
    <row r="87" spans="1:19">
      <c r="A87" s="3228" t="s">
        <v>4074</v>
      </c>
      <c r="B87" s="3228">
        <v>33.01</v>
      </c>
      <c r="C87" s="21">
        <f t="shared" si="6"/>
        <v>1</v>
      </c>
      <c r="D87" s="3237" t="s">
        <v>4041</v>
      </c>
      <c r="E87" s="21">
        <f t="shared" si="7"/>
        <v>1</v>
      </c>
      <c r="F87" s="635"/>
      <c r="G87" s="21">
        <f t="shared" si="8"/>
        <v>1</v>
      </c>
      <c r="H87" s="635"/>
      <c r="I87" s="21">
        <f t="shared" si="9"/>
        <v>1</v>
      </c>
      <c r="J87" s="635"/>
      <c r="K87" s="21">
        <f t="shared" si="10"/>
        <v>1</v>
      </c>
      <c r="L87" s="635"/>
      <c r="M87" s="21">
        <f t="shared" si="11"/>
        <v>1</v>
      </c>
      <c r="N87" s="635"/>
      <c r="O87" s="21">
        <f t="shared" si="12"/>
        <v>1</v>
      </c>
      <c r="P87" s="635"/>
      <c r="Q87" s="21">
        <f t="shared" si="13"/>
        <v>1</v>
      </c>
      <c r="R87" s="21">
        <f t="shared" ca="1" si="14"/>
        <v>5044</v>
      </c>
      <c r="S87" s="308">
        <f t="shared" ca="1" si="5"/>
        <v>17</v>
      </c>
    </row>
    <row r="88" spans="1:19">
      <c r="A88" s="3228" t="s">
        <v>5239</v>
      </c>
      <c r="B88" s="3228">
        <v>31.06</v>
      </c>
      <c r="C88" s="21">
        <f t="shared" si="6"/>
        <v>1</v>
      </c>
      <c r="D88" s="3228" t="s">
        <v>5171</v>
      </c>
      <c r="E88" s="21">
        <f t="shared" si="7"/>
        <v>1</v>
      </c>
      <c r="F88" s="635"/>
      <c r="G88" s="21">
        <f t="shared" si="8"/>
        <v>1</v>
      </c>
      <c r="H88" s="635"/>
      <c r="I88" s="21">
        <f t="shared" si="9"/>
        <v>1</v>
      </c>
      <c r="J88" s="635"/>
      <c r="K88" s="21">
        <f t="shared" si="10"/>
        <v>1</v>
      </c>
      <c r="L88" s="635"/>
      <c r="M88" s="21">
        <f t="shared" si="11"/>
        <v>1</v>
      </c>
      <c r="N88" s="635"/>
      <c r="O88" s="21">
        <f t="shared" si="12"/>
        <v>1</v>
      </c>
      <c r="P88" s="635"/>
      <c r="Q88" s="21">
        <f t="shared" si="13"/>
        <v>1</v>
      </c>
      <c r="R88" s="21">
        <f t="shared" ca="1" si="14"/>
        <v>5044</v>
      </c>
      <c r="S88" s="308">
        <f t="shared" ref="S88:S151" ca="1" si="15">ROUND(R88*B88/10000,0)</f>
        <v>16</v>
      </c>
    </row>
    <row r="89" spans="1:19">
      <c r="A89" s="3228" t="s">
        <v>4076</v>
      </c>
      <c r="B89" s="3228">
        <v>31.06</v>
      </c>
      <c r="C89" s="21">
        <f t="shared" si="6"/>
        <v>1</v>
      </c>
      <c r="D89" s="3237" t="s">
        <v>4041</v>
      </c>
      <c r="E89" s="21">
        <f t="shared" si="7"/>
        <v>1</v>
      </c>
      <c r="F89" s="635"/>
      <c r="G89" s="21">
        <f t="shared" si="8"/>
        <v>1</v>
      </c>
      <c r="H89" s="635"/>
      <c r="I89" s="21">
        <f t="shared" si="9"/>
        <v>1</v>
      </c>
      <c r="J89" s="635"/>
      <c r="K89" s="21">
        <f t="shared" si="10"/>
        <v>1</v>
      </c>
      <c r="L89" s="635"/>
      <c r="M89" s="21">
        <f t="shared" si="11"/>
        <v>1</v>
      </c>
      <c r="N89" s="635"/>
      <c r="O89" s="21">
        <f t="shared" si="12"/>
        <v>1</v>
      </c>
      <c r="P89" s="635"/>
      <c r="Q89" s="21">
        <f t="shared" si="13"/>
        <v>1</v>
      </c>
      <c r="R89" s="21">
        <f t="shared" ca="1" si="14"/>
        <v>5044</v>
      </c>
      <c r="S89" s="308">
        <f t="shared" ca="1" si="15"/>
        <v>16</v>
      </c>
    </row>
    <row r="90" spans="1:19">
      <c r="A90" s="3228" t="s">
        <v>5241</v>
      </c>
      <c r="B90" s="3228">
        <v>31.06</v>
      </c>
      <c r="C90" s="21">
        <f t="shared" ref="C90:C153" si="16">IF(B90="",1,(LOOKUP(B90,$3:$3,$4:$4)-LOOKUP($B$24,$3:$3,$4:$4)+100)/100)</f>
        <v>1</v>
      </c>
      <c r="D90" s="3228" t="s">
        <v>5171</v>
      </c>
      <c r="E90" s="21">
        <f t="shared" ref="E90:E153" si="17">(SUMIF($5:$5,D90,$6:$6)-SUMIF($5:$5,$D$24,$6:$6)+100)/100</f>
        <v>1</v>
      </c>
      <c r="F90" s="635"/>
      <c r="G90" s="21">
        <f t="shared" ref="G90:G153" si="18">(SUMIF($7:$7,F90,$8:$8)-SUMIF($7:$7,$F$24,$8:$8)+100)/100</f>
        <v>1</v>
      </c>
      <c r="H90" s="635"/>
      <c r="I90" s="21">
        <f t="shared" ref="I90:I153" si="19">(SUMIF($9:$9,H90,$10:$10)-SUMIF($9:$9,$H$24,$10:$10)+100)/100</f>
        <v>1</v>
      </c>
      <c r="J90" s="635"/>
      <c r="K90" s="21">
        <f t="shared" ref="K90:K153" si="20">(SUMIF($11:$11,J90,$12:$12)-SUMIF($11:$11,$J$24,$12:$12)+100)/100</f>
        <v>1</v>
      </c>
      <c r="L90" s="635"/>
      <c r="M90" s="21">
        <f t="shared" ref="M90:M153" si="21">(SUMIF($13:$13,L90,$14:$14)-SUMIF($13:$13,$L$24,$14:$14)+100)/100</f>
        <v>1</v>
      </c>
      <c r="N90" s="635"/>
      <c r="O90" s="21">
        <f t="shared" ref="O90:O153" si="22">(SUMIF($15:$15,N90,$16:$16)-SUMIF($15:$15,$N$24,$16:$16)+100)/100</f>
        <v>1</v>
      </c>
      <c r="P90" s="635"/>
      <c r="Q90" s="21">
        <f t="shared" ref="Q90:Q153" si="23">(SUMIF($17:$17,P90,$18:$18)-SUMIF($17:$17,$P$24,$18:$18)+100)/100</f>
        <v>1</v>
      </c>
      <c r="R90" s="21">
        <f t="shared" ref="R90:R153" ca="1" si="24">IF(B90="",0,ROUND($R$24*C90*E90*G90*I90*K90*M90*O90*Q90,0))</f>
        <v>5044</v>
      </c>
      <c r="S90" s="308">
        <f t="shared" ca="1" si="15"/>
        <v>16</v>
      </c>
    </row>
    <row r="91" spans="1:19">
      <c r="A91" s="3228" t="s">
        <v>4078</v>
      </c>
      <c r="B91" s="3228">
        <v>31.06</v>
      </c>
      <c r="C91" s="21">
        <f t="shared" si="16"/>
        <v>1</v>
      </c>
      <c r="D91" s="3228" t="s">
        <v>4009</v>
      </c>
      <c r="E91" s="21">
        <f t="shared" si="17"/>
        <v>1</v>
      </c>
      <c r="F91" s="635"/>
      <c r="G91" s="21">
        <f t="shared" si="18"/>
        <v>1</v>
      </c>
      <c r="H91" s="635"/>
      <c r="I91" s="21">
        <f t="shared" si="19"/>
        <v>1</v>
      </c>
      <c r="J91" s="635"/>
      <c r="K91" s="21">
        <f t="shared" si="20"/>
        <v>1</v>
      </c>
      <c r="L91" s="635"/>
      <c r="M91" s="21">
        <f t="shared" si="21"/>
        <v>1</v>
      </c>
      <c r="N91" s="635"/>
      <c r="O91" s="21">
        <f t="shared" si="22"/>
        <v>1</v>
      </c>
      <c r="P91" s="635"/>
      <c r="Q91" s="21">
        <f t="shared" si="23"/>
        <v>1</v>
      </c>
      <c r="R91" s="21">
        <f t="shared" ca="1" si="24"/>
        <v>5044</v>
      </c>
      <c r="S91" s="308">
        <f t="shared" ca="1" si="15"/>
        <v>16</v>
      </c>
    </row>
    <row r="92" spans="1:19">
      <c r="A92" s="3228" t="s">
        <v>5243</v>
      </c>
      <c r="B92" s="3228">
        <v>31.06</v>
      </c>
      <c r="C92" s="21">
        <f t="shared" si="16"/>
        <v>1</v>
      </c>
      <c r="D92" s="3228" t="s">
        <v>5171</v>
      </c>
      <c r="E92" s="21">
        <f t="shared" si="17"/>
        <v>1</v>
      </c>
      <c r="F92" s="635"/>
      <c r="G92" s="21">
        <f t="shared" si="18"/>
        <v>1</v>
      </c>
      <c r="H92" s="635"/>
      <c r="I92" s="21">
        <f t="shared" si="19"/>
        <v>1</v>
      </c>
      <c r="J92" s="635"/>
      <c r="K92" s="21">
        <f t="shared" si="20"/>
        <v>1</v>
      </c>
      <c r="L92" s="635"/>
      <c r="M92" s="21">
        <f t="shared" si="21"/>
        <v>1</v>
      </c>
      <c r="N92" s="635"/>
      <c r="O92" s="21">
        <f t="shared" si="22"/>
        <v>1</v>
      </c>
      <c r="P92" s="635"/>
      <c r="Q92" s="21">
        <f t="shared" si="23"/>
        <v>1</v>
      </c>
      <c r="R92" s="21">
        <f t="shared" ca="1" si="24"/>
        <v>5044</v>
      </c>
      <c r="S92" s="308">
        <f t="shared" ca="1" si="15"/>
        <v>16</v>
      </c>
    </row>
    <row r="93" spans="1:19">
      <c r="A93" s="3228" t="s">
        <v>4080</v>
      </c>
      <c r="B93" s="3228">
        <v>31.06</v>
      </c>
      <c r="C93" s="21">
        <f t="shared" si="16"/>
        <v>1</v>
      </c>
      <c r="D93" s="3228" t="s">
        <v>4009</v>
      </c>
      <c r="E93" s="21">
        <f t="shared" si="17"/>
        <v>1</v>
      </c>
      <c r="F93" s="635"/>
      <c r="G93" s="21">
        <f t="shared" si="18"/>
        <v>1</v>
      </c>
      <c r="H93" s="635"/>
      <c r="I93" s="21">
        <f t="shared" si="19"/>
        <v>1</v>
      </c>
      <c r="J93" s="635"/>
      <c r="K93" s="21">
        <f t="shared" si="20"/>
        <v>1</v>
      </c>
      <c r="L93" s="635"/>
      <c r="M93" s="21">
        <f t="shared" si="21"/>
        <v>1</v>
      </c>
      <c r="N93" s="635"/>
      <c r="O93" s="21">
        <f t="shared" si="22"/>
        <v>1</v>
      </c>
      <c r="P93" s="635"/>
      <c r="Q93" s="21">
        <f t="shared" si="23"/>
        <v>1</v>
      </c>
      <c r="R93" s="21">
        <f t="shared" ca="1" si="24"/>
        <v>5044</v>
      </c>
      <c r="S93" s="308">
        <f t="shared" ca="1" si="15"/>
        <v>16</v>
      </c>
    </row>
    <row r="94" spans="1:19">
      <c r="A94" s="3228" t="s">
        <v>5245</v>
      </c>
      <c r="B94" s="3228">
        <v>31.06</v>
      </c>
      <c r="C94" s="21">
        <f t="shared" si="16"/>
        <v>1</v>
      </c>
      <c r="D94" s="3228" t="s">
        <v>5171</v>
      </c>
      <c r="E94" s="21">
        <f t="shared" si="17"/>
        <v>1</v>
      </c>
      <c r="F94" s="635"/>
      <c r="G94" s="21">
        <f t="shared" si="18"/>
        <v>1</v>
      </c>
      <c r="H94" s="635"/>
      <c r="I94" s="21">
        <f t="shared" si="19"/>
        <v>1</v>
      </c>
      <c r="J94" s="635"/>
      <c r="K94" s="21">
        <f t="shared" si="20"/>
        <v>1</v>
      </c>
      <c r="L94" s="635"/>
      <c r="M94" s="21">
        <f t="shared" si="21"/>
        <v>1</v>
      </c>
      <c r="N94" s="635"/>
      <c r="O94" s="21">
        <f t="shared" si="22"/>
        <v>1</v>
      </c>
      <c r="P94" s="635"/>
      <c r="Q94" s="21">
        <f t="shared" si="23"/>
        <v>1</v>
      </c>
      <c r="R94" s="21">
        <f t="shared" ca="1" si="24"/>
        <v>5044</v>
      </c>
      <c r="S94" s="308">
        <f t="shared" ca="1" si="15"/>
        <v>16</v>
      </c>
    </row>
    <row r="95" spans="1:19">
      <c r="A95" s="3228" t="s">
        <v>4082</v>
      </c>
      <c r="B95" s="3228">
        <v>31.06</v>
      </c>
      <c r="C95" s="21">
        <f t="shared" si="16"/>
        <v>1</v>
      </c>
      <c r="D95" s="3228" t="s">
        <v>4009</v>
      </c>
      <c r="E95" s="21">
        <f t="shared" si="17"/>
        <v>1</v>
      </c>
      <c r="F95" s="635"/>
      <c r="G95" s="21">
        <f t="shared" si="18"/>
        <v>1</v>
      </c>
      <c r="H95" s="635"/>
      <c r="I95" s="21">
        <f t="shared" si="19"/>
        <v>1</v>
      </c>
      <c r="J95" s="635"/>
      <c r="K95" s="21">
        <f t="shared" si="20"/>
        <v>1</v>
      </c>
      <c r="L95" s="635"/>
      <c r="M95" s="21">
        <f t="shared" si="21"/>
        <v>1</v>
      </c>
      <c r="N95" s="635"/>
      <c r="O95" s="21">
        <f t="shared" si="22"/>
        <v>1</v>
      </c>
      <c r="P95" s="635"/>
      <c r="Q95" s="21">
        <f t="shared" si="23"/>
        <v>1</v>
      </c>
      <c r="R95" s="21">
        <f t="shared" ca="1" si="24"/>
        <v>5044</v>
      </c>
      <c r="S95" s="308">
        <f t="shared" ca="1" si="15"/>
        <v>16</v>
      </c>
    </row>
    <row r="96" spans="1:19">
      <c r="A96" s="3228" t="s">
        <v>5247</v>
      </c>
      <c r="B96" s="3228">
        <v>31.06</v>
      </c>
      <c r="C96" s="21">
        <f t="shared" si="16"/>
        <v>1</v>
      </c>
      <c r="D96" s="3228" t="s">
        <v>5171</v>
      </c>
      <c r="E96" s="21">
        <f t="shared" si="17"/>
        <v>1</v>
      </c>
      <c r="F96" s="635"/>
      <c r="G96" s="21">
        <f t="shared" si="18"/>
        <v>1</v>
      </c>
      <c r="H96" s="635"/>
      <c r="I96" s="21">
        <f t="shared" si="19"/>
        <v>1</v>
      </c>
      <c r="J96" s="635"/>
      <c r="K96" s="21">
        <f t="shared" si="20"/>
        <v>1</v>
      </c>
      <c r="L96" s="635"/>
      <c r="M96" s="21">
        <f t="shared" si="21"/>
        <v>1</v>
      </c>
      <c r="N96" s="635"/>
      <c r="O96" s="21">
        <f t="shared" si="22"/>
        <v>1</v>
      </c>
      <c r="P96" s="635"/>
      <c r="Q96" s="21">
        <f t="shared" si="23"/>
        <v>1</v>
      </c>
      <c r="R96" s="21">
        <f t="shared" ca="1" si="24"/>
        <v>5044</v>
      </c>
      <c r="S96" s="308">
        <f t="shared" ca="1" si="15"/>
        <v>16</v>
      </c>
    </row>
    <row r="97" spans="1:19">
      <c r="A97" s="3228" t="s">
        <v>4084</v>
      </c>
      <c r="B97" s="3228">
        <v>31.06</v>
      </c>
      <c r="C97" s="21">
        <f t="shared" si="16"/>
        <v>1</v>
      </c>
      <c r="D97" s="3228" t="s">
        <v>4009</v>
      </c>
      <c r="E97" s="21">
        <f t="shared" si="17"/>
        <v>1</v>
      </c>
      <c r="F97" s="635"/>
      <c r="G97" s="21">
        <f t="shared" si="18"/>
        <v>1</v>
      </c>
      <c r="H97" s="635"/>
      <c r="I97" s="21">
        <f t="shared" si="19"/>
        <v>1</v>
      </c>
      <c r="J97" s="635"/>
      <c r="K97" s="21">
        <f t="shared" si="20"/>
        <v>1</v>
      </c>
      <c r="L97" s="635"/>
      <c r="M97" s="21">
        <f t="shared" si="21"/>
        <v>1</v>
      </c>
      <c r="N97" s="635"/>
      <c r="O97" s="21">
        <f t="shared" si="22"/>
        <v>1</v>
      </c>
      <c r="P97" s="635"/>
      <c r="Q97" s="21">
        <f t="shared" si="23"/>
        <v>1</v>
      </c>
      <c r="R97" s="21">
        <f t="shared" ca="1" si="24"/>
        <v>5044</v>
      </c>
      <c r="S97" s="308">
        <f t="shared" ca="1" si="15"/>
        <v>16</v>
      </c>
    </row>
    <row r="98" spans="1:19">
      <c r="A98" s="3228" t="s">
        <v>5249</v>
      </c>
      <c r="B98" s="3228">
        <v>31.06</v>
      </c>
      <c r="C98" s="21">
        <f t="shared" si="16"/>
        <v>1</v>
      </c>
      <c r="D98" s="3228" t="s">
        <v>5171</v>
      </c>
      <c r="E98" s="21">
        <f t="shared" si="17"/>
        <v>1</v>
      </c>
      <c r="F98" s="635"/>
      <c r="G98" s="21">
        <f t="shared" si="18"/>
        <v>1</v>
      </c>
      <c r="H98" s="635"/>
      <c r="I98" s="21">
        <f t="shared" si="19"/>
        <v>1</v>
      </c>
      <c r="J98" s="635"/>
      <c r="K98" s="21">
        <f t="shared" si="20"/>
        <v>1</v>
      </c>
      <c r="L98" s="635"/>
      <c r="M98" s="21">
        <f t="shared" si="21"/>
        <v>1</v>
      </c>
      <c r="N98" s="635"/>
      <c r="O98" s="21">
        <f t="shared" si="22"/>
        <v>1</v>
      </c>
      <c r="P98" s="635"/>
      <c r="Q98" s="21">
        <f t="shared" si="23"/>
        <v>1</v>
      </c>
      <c r="R98" s="21">
        <f t="shared" ca="1" si="24"/>
        <v>5044</v>
      </c>
      <c r="S98" s="308">
        <f t="shared" ca="1" si="15"/>
        <v>16</v>
      </c>
    </row>
    <row r="99" spans="1:19">
      <c r="A99" s="3228" t="s">
        <v>4086</v>
      </c>
      <c r="B99" s="3228">
        <v>31.06</v>
      </c>
      <c r="C99" s="21">
        <f t="shared" si="16"/>
        <v>1</v>
      </c>
      <c r="D99" s="3228" t="s">
        <v>4009</v>
      </c>
      <c r="E99" s="21">
        <f t="shared" si="17"/>
        <v>1</v>
      </c>
      <c r="F99" s="635"/>
      <c r="G99" s="21">
        <f t="shared" si="18"/>
        <v>1</v>
      </c>
      <c r="H99" s="635"/>
      <c r="I99" s="21">
        <f t="shared" si="19"/>
        <v>1</v>
      </c>
      <c r="J99" s="635"/>
      <c r="K99" s="21">
        <f t="shared" si="20"/>
        <v>1</v>
      </c>
      <c r="L99" s="635"/>
      <c r="M99" s="21">
        <f t="shared" si="21"/>
        <v>1</v>
      </c>
      <c r="N99" s="635"/>
      <c r="O99" s="21">
        <f t="shared" si="22"/>
        <v>1</v>
      </c>
      <c r="P99" s="635"/>
      <c r="Q99" s="21">
        <f t="shared" si="23"/>
        <v>1</v>
      </c>
      <c r="R99" s="21">
        <f t="shared" ca="1" si="24"/>
        <v>5044</v>
      </c>
      <c r="S99" s="308">
        <f t="shared" ca="1" si="15"/>
        <v>16</v>
      </c>
    </row>
    <row r="100" spans="1:19">
      <c r="A100" s="3230" t="s">
        <v>5251</v>
      </c>
      <c r="B100" s="3230">
        <v>25.88</v>
      </c>
      <c r="C100" s="21">
        <f t="shared" si="16"/>
        <v>0.98</v>
      </c>
      <c r="D100" s="3230" t="s">
        <v>5171</v>
      </c>
      <c r="E100" s="21">
        <f t="shared" si="17"/>
        <v>1</v>
      </c>
      <c r="F100" s="635"/>
      <c r="G100" s="21">
        <f t="shared" si="18"/>
        <v>1</v>
      </c>
      <c r="H100" s="635"/>
      <c r="I100" s="21">
        <f t="shared" si="19"/>
        <v>1</v>
      </c>
      <c r="J100" s="635"/>
      <c r="K100" s="21">
        <f t="shared" si="20"/>
        <v>1</v>
      </c>
      <c r="L100" s="635"/>
      <c r="M100" s="21">
        <f t="shared" si="21"/>
        <v>1</v>
      </c>
      <c r="N100" s="635"/>
      <c r="O100" s="21">
        <f t="shared" si="22"/>
        <v>1</v>
      </c>
      <c r="P100" s="635"/>
      <c r="Q100" s="21">
        <f t="shared" si="23"/>
        <v>1</v>
      </c>
      <c r="R100" s="21">
        <f t="shared" ca="1" si="24"/>
        <v>4943</v>
      </c>
      <c r="S100" s="308">
        <f t="shared" ca="1" si="15"/>
        <v>13</v>
      </c>
    </row>
    <row r="101" spans="1:19">
      <c r="A101" s="3228" t="s">
        <v>4088</v>
      </c>
      <c r="B101" s="3228">
        <v>31.06</v>
      </c>
      <c r="C101" s="21">
        <f t="shared" si="16"/>
        <v>1</v>
      </c>
      <c r="D101" s="3228" t="s">
        <v>4009</v>
      </c>
      <c r="E101" s="21">
        <f t="shared" si="17"/>
        <v>1</v>
      </c>
      <c r="F101" s="635"/>
      <c r="G101" s="21">
        <f t="shared" si="18"/>
        <v>1</v>
      </c>
      <c r="H101" s="635"/>
      <c r="I101" s="21">
        <f t="shared" si="19"/>
        <v>1</v>
      </c>
      <c r="J101" s="635"/>
      <c r="K101" s="21">
        <f t="shared" si="20"/>
        <v>1</v>
      </c>
      <c r="L101" s="635"/>
      <c r="M101" s="21">
        <f t="shared" si="21"/>
        <v>1</v>
      </c>
      <c r="N101" s="635"/>
      <c r="O101" s="21">
        <f t="shared" si="22"/>
        <v>1</v>
      </c>
      <c r="P101" s="635"/>
      <c r="Q101" s="21">
        <f t="shared" si="23"/>
        <v>1</v>
      </c>
      <c r="R101" s="21">
        <f t="shared" ca="1" si="24"/>
        <v>5044</v>
      </c>
      <c r="S101" s="308">
        <f t="shared" ca="1" si="15"/>
        <v>16</v>
      </c>
    </row>
    <row r="102" spans="1:19">
      <c r="A102" s="3228" t="s">
        <v>5253</v>
      </c>
      <c r="B102" s="3228">
        <v>31.06</v>
      </c>
      <c r="C102" s="21">
        <f t="shared" si="16"/>
        <v>1</v>
      </c>
      <c r="D102" s="3228" t="s">
        <v>5171</v>
      </c>
      <c r="E102" s="21">
        <f t="shared" si="17"/>
        <v>1</v>
      </c>
      <c r="F102" s="635"/>
      <c r="G102" s="21">
        <f t="shared" si="18"/>
        <v>1</v>
      </c>
      <c r="H102" s="635"/>
      <c r="I102" s="21">
        <f t="shared" si="19"/>
        <v>1</v>
      </c>
      <c r="J102" s="635"/>
      <c r="K102" s="21">
        <f t="shared" si="20"/>
        <v>1</v>
      </c>
      <c r="L102" s="635"/>
      <c r="M102" s="21">
        <f t="shared" si="21"/>
        <v>1</v>
      </c>
      <c r="N102" s="635"/>
      <c r="O102" s="21">
        <f t="shared" si="22"/>
        <v>1</v>
      </c>
      <c r="P102" s="635"/>
      <c r="Q102" s="21">
        <f t="shared" si="23"/>
        <v>1</v>
      </c>
      <c r="R102" s="21">
        <f t="shared" ca="1" si="24"/>
        <v>5044</v>
      </c>
      <c r="S102" s="308">
        <f t="shared" ca="1" si="15"/>
        <v>16</v>
      </c>
    </row>
    <row r="103" spans="1:19">
      <c r="A103" s="3228" t="s">
        <v>4090</v>
      </c>
      <c r="B103" s="3228">
        <v>31.06</v>
      </c>
      <c r="C103" s="21">
        <f t="shared" si="16"/>
        <v>1</v>
      </c>
      <c r="D103" s="3228" t="s">
        <v>4009</v>
      </c>
      <c r="E103" s="21">
        <f t="shared" si="17"/>
        <v>1</v>
      </c>
      <c r="F103" s="635"/>
      <c r="G103" s="21">
        <f t="shared" si="18"/>
        <v>1</v>
      </c>
      <c r="H103" s="635"/>
      <c r="I103" s="21">
        <f t="shared" si="19"/>
        <v>1</v>
      </c>
      <c r="J103" s="635"/>
      <c r="K103" s="21">
        <f t="shared" si="20"/>
        <v>1</v>
      </c>
      <c r="L103" s="635"/>
      <c r="M103" s="21">
        <f t="shared" si="21"/>
        <v>1</v>
      </c>
      <c r="N103" s="635"/>
      <c r="O103" s="21">
        <f t="shared" si="22"/>
        <v>1</v>
      </c>
      <c r="P103" s="635"/>
      <c r="Q103" s="21">
        <f t="shared" si="23"/>
        <v>1</v>
      </c>
      <c r="R103" s="21">
        <f t="shared" ca="1" si="24"/>
        <v>5044</v>
      </c>
      <c r="S103" s="308">
        <f t="shared" ca="1" si="15"/>
        <v>16</v>
      </c>
    </row>
    <row r="104" spans="1:19">
      <c r="A104" s="3228" t="s">
        <v>5255</v>
      </c>
      <c r="B104" s="3228">
        <v>31.06</v>
      </c>
      <c r="C104" s="21">
        <f t="shared" si="16"/>
        <v>1</v>
      </c>
      <c r="D104" s="3228" t="s">
        <v>5171</v>
      </c>
      <c r="E104" s="21">
        <f t="shared" si="17"/>
        <v>1</v>
      </c>
      <c r="F104" s="635"/>
      <c r="G104" s="21">
        <f t="shared" si="18"/>
        <v>1</v>
      </c>
      <c r="H104" s="635"/>
      <c r="I104" s="21">
        <f t="shared" si="19"/>
        <v>1</v>
      </c>
      <c r="J104" s="635"/>
      <c r="K104" s="21">
        <f t="shared" si="20"/>
        <v>1</v>
      </c>
      <c r="L104" s="635"/>
      <c r="M104" s="21">
        <f t="shared" si="21"/>
        <v>1</v>
      </c>
      <c r="N104" s="635"/>
      <c r="O104" s="21">
        <f t="shared" si="22"/>
        <v>1</v>
      </c>
      <c r="P104" s="635"/>
      <c r="Q104" s="21">
        <f t="shared" si="23"/>
        <v>1</v>
      </c>
      <c r="R104" s="21">
        <f t="shared" ca="1" si="24"/>
        <v>5044</v>
      </c>
      <c r="S104" s="308">
        <f t="shared" ca="1" si="15"/>
        <v>16</v>
      </c>
    </row>
    <row r="105" spans="1:19">
      <c r="A105" s="3228" t="s">
        <v>4092</v>
      </c>
      <c r="B105" s="3228">
        <v>31.06</v>
      </c>
      <c r="C105" s="21">
        <f t="shared" si="16"/>
        <v>1</v>
      </c>
      <c r="D105" s="3228" t="s">
        <v>4009</v>
      </c>
      <c r="E105" s="21">
        <f t="shared" si="17"/>
        <v>1</v>
      </c>
      <c r="F105" s="635"/>
      <c r="G105" s="21">
        <f t="shared" si="18"/>
        <v>1</v>
      </c>
      <c r="H105" s="635"/>
      <c r="I105" s="21">
        <f t="shared" si="19"/>
        <v>1</v>
      </c>
      <c r="J105" s="635"/>
      <c r="K105" s="21">
        <f t="shared" si="20"/>
        <v>1</v>
      </c>
      <c r="L105" s="635"/>
      <c r="M105" s="21">
        <f t="shared" si="21"/>
        <v>1</v>
      </c>
      <c r="N105" s="635"/>
      <c r="O105" s="21">
        <f t="shared" si="22"/>
        <v>1</v>
      </c>
      <c r="P105" s="635"/>
      <c r="Q105" s="21">
        <f t="shared" si="23"/>
        <v>1</v>
      </c>
      <c r="R105" s="21">
        <f t="shared" ca="1" si="24"/>
        <v>5044</v>
      </c>
      <c r="S105" s="308">
        <f t="shared" ca="1" si="15"/>
        <v>16</v>
      </c>
    </row>
    <row r="106" spans="1:19">
      <c r="A106" s="3228" t="s">
        <v>5257</v>
      </c>
      <c r="B106" s="3228">
        <v>31.06</v>
      </c>
      <c r="C106" s="21">
        <f t="shared" si="16"/>
        <v>1</v>
      </c>
      <c r="D106" s="3228" t="s">
        <v>5171</v>
      </c>
      <c r="E106" s="21">
        <f t="shared" si="17"/>
        <v>1</v>
      </c>
      <c r="F106" s="635"/>
      <c r="G106" s="21">
        <f t="shared" si="18"/>
        <v>1</v>
      </c>
      <c r="H106" s="635"/>
      <c r="I106" s="21">
        <f t="shared" si="19"/>
        <v>1</v>
      </c>
      <c r="J106" s="635"/>
      <c r="K106" s="21">
        <f t="shared" si="20"/>
        <v>1</v>
      </c>
      <c r="L106" s="635"/>
      <c r="M106" s="21">
        <f t="shared" si="21"/>
        <v>1</v>
      </c>
      <c r="N106" s="635"/>
      <c r="O106" s="21">
        <f t="shared" si="22"/>
        <v>1</v>
      </c>
      <c r="P106" s="635"/>
      <c r="Q106" s="21">
        <f t="shared" si="23"/>
        <v>1</v>
      </c>
      <c r="R106" s="21">
        <f t="shared" ca="1" si="24"/>
        <v>5044</v>
      </c>
      <c r="S106" s="308">
        <f t="shared" ca="1" si="15"/>
        <v>16</v>
      </c>
    </row>
    <row r="107" spans="1:19">
      <c r="A107" s="3228" t="s">
        <v>4094</v>
      </c>
      <c r="B107" s="3228">
        <v>31.06</v>
      </c>
      <c r="C107" s="21">
        <f t="shared" si="16"/>
        <v>1</v>
      </c>
      <c r="D107" s="3228" t="s">
        <v>4009</v>
      </c>
      <c r="E107" s="21">
        <f t="shared" si="17"/>
        <v>1</v>
      </c>
      <c r="F107" s="635"/>
      <c r="G107" s="21">
        <f t="shared" si="18"/>
        <v>1</v>
      </c>
      <c r="H107" s="635"/>
      <c r="I107" s="21">
        <f t="shared" si="19"/>
        <v>1</v>
      </c>
      <c r="J107" s="635"/>
      <c r="K107" s="21">
        <f t="shared" si="20"/>
        <v>1</v>
      </c>
      <c r="L107" s="635"/>
      <c r="M107" s="21">
        <f t="shared" si="21"/>
        <v>1</v>
      </c>
      <c r="N107" s="635"/>
      <c r="O107" s="21">
        <f t="shared" si="22"/>
        <v>1</v>
      </c>
      <c r="P107" s="635"/>
      <c r="Q107" s="21">
        <f t="shared" si="23"/>
        <v>1</v>
      </c>
      <c r="R107" s="21">
        <f t="shared" ca="1" si="24"/>
        <v>5044</v>
      </c>
      <c r="S107" s="308">
        <f t="shared" ca="1" si="15"/>
        <v>16</v>
      </c>
    </row>
    <row r="108" spans="1:19">
      <c r="A108" s="3228" t="s">
        <v>5259</v>
      </c>
      <c r="B108" s="3228">
        <v>31.06</v>
      </c>
      <c r="C108" s="21">
        <f t="shared" si="16"/>
        <v>1</v>
      </c>
      <c r="D108" s="3228" t="s">
        <v>5171</v>
      </c>
      <c r="E108" s="21">
        <f t="shared" si="17"/>
        <v>1</v>
      </c>
      <c r="F108" s="635"/>
      <c r="G108" s="21">
        <f t="shared" si="18"/>
        <v>1</v>
      </c>
      <c r="H108" s="635"/>
      <c r="I108" s="21">
        <f t="shared" si="19"/>
        <v>1</v>
      </c>
      <c r="J108" s="635"/>
      <c r="K108" s="21">
        <f t="shared" si="20"/>
        <v>1</v>
      </c>
      <c r="L108" s="635"/>
      <c r="M108" s="21">
        <f t="shared" si="21"/>
        <v>1</v>
      </c>
      <c r="N108" s="635"/>
      <c r="O108" s="21">
        <f t="shared" si="22"/>
        <v>1</v>
      </c>
      <c r="P108" s="635"/>
      <c r="Q108" s="21">
        <f t="shared" si="23"/>
        <v>1</v>
      </c>
      <c r="R108" s="21">
        <f t="shared" ca="1" si="24"/>
        <v>5044</v>
      </c>
      <c r="S108" s="308">
        <f t="shared" ca="1" si="15"/>
        <v>16</v>
      </c>
    </row>
    <row r="109" spans="1:19">
      <c r="A109" s="3228" t="s">
        <v>4096</v>
      </c>
      <c r="B109" s="3228">
        <v>31.06</v>
      </c>
      <c r="C109" s="21">
        <f t="shared" si="16"/>
        <v>1</v>
      </c>
      <c r="D109" s="3228" t="s">
        <v>4009</v>
      </c>
      <c r="E109" s="21">
        <f t="shared" si="17"/>
        <v>1</v>
      </c>
      <c r="F109" s="635"/>
      <c r="G109" s="21">
        <f t="shared" si="18"/>
        <v>1</v>
      </c>
      <c r="H109" s="635"/>
      <c r="I109" s="21">
        <f t="shared" si="19"/>
        <v>1</v>
      </c>
      <c r="J109" s="635"/>
      <c r="K109" s="21">
        <f t="shared" si="20"/>
        <v>1</v>
      </c>
      <c r="L109" s="635"/>
      <c r="M109" s="21">
        <f t="shared" si="21"/>
        <v>1</v>
      </c>
      <c r="N109" s="635"/>
      <c r="O109" s="21">
        <f t="shared" si="22"/>
        <v>1</v>
      </c>
      <c r="P109" s="635"/>
      <c r="Q109" s="21">
        <f t="shared" si="23"/>
        <v>1</v>
      </c>
      <c r="R109" s="21">
        <f t="shared" ca="1" si="24"/>
        <v>5044</v>
      </c>
      <c r="S109" s="308">
        <f t="shared" ca="1" si="15"/>
        <v>16</v>
      </c>
    </row>
    <row r="110" spans="1:19">
      <c r="A110" s="3228" t="s">
        <v>5261</v>
      </c>
      <c r="B110" s="3228">
        <v>33.01</v>
      </c>
      <c r="C110" s="21">
        <f t="shared" si="16"/>
        <v>1</v>
      </c>
      <c r="D110" s="3228" t="s">
        <v>5171</v>
      </c>
      <c r="E110" s="21">
        <f t="shared" si="17"/>
        <v>1</v>
      </c>
      <c r="F110" s="635"/>
      <c r="G110" s="21">
        <f t="shared" si="18"/>
        <v>1</v>
      </c>
      <c r="H110" s="635"/>
      <c r="I110" s="21">
        <f t="shared" si="19"/>
        <v>1</v>
      </c>
      <c r="J110" s="635"/>
      <c r="K110" s="21">
        <f t="shared" si="20"/>
        <v>1</v>
      </c>
      <c r="L110" s="635"/>
      <c r="M110" s="21">
        <f t="shared" si="21"/>
        <v>1</v>
      </c>
      <c r="N110" s="635"/>
      <c r="O110" s="21">
        <f t="shared" si="22"/>
        <v>1</v>
      </c>
      <c r="P110" s="635"/>
      <c r="Q110" s="21">
        <f t="shared" si="23"/>
        <v>1</v>
      </c>
      <c r="R110" s="21">
        <f t="shared" ca="1" si="24"/>
        <v>5044</v>
      </c>
      <c r="S110" s="308">
        <f t="shared" ca="1" si="15"/>
        <v>17</v>
      </c>
    </row>
    <row r="111" spans="1:19">
      <c r="A111" s="3228" t="s">
        <v>4098</v>
      </c>
      <c r="B111" s="3228">
        <v>33.01</v>
      </c>
      <c r="C111" s="21">
        <f t="shared" si="16"/>
        <v>1</v>
      </c>
      <c r="D111" s="3228" t="s">
        <v>4009</v>
      </c>
      <c r="E111" s="21">
        <f t="shared" si="17"/>
        <v>1</v>
      </c>
      <c r="F111" s="635"/>
      <c r="G111" s="21">
        <f t="shared" si="18"/>
        <v>1</v>
      </c>
      <c r="H111" s="635"/>
      <c r="I111" s="21">
        <f t="shared" si="19"/>
        <v>1</v>
      </c>
      <c r="J111" s="635"/>
      <c r="K111" s="21">
        <f t="shared" si="20"/>
        <v>1</v>
      </c>
      <c r="L111" s="635"/>
      <c r="M111" s="21">
        <f t="shared" si="21"/>
        <v>1</v>
      </c>
      <c r="N111" s="635"/>
      <c r="O111" s="21">
        <f t="shared" si="22"/>
        <v>1</v>
      </c>
      <c r="P111" s="635"/>
      <c r="Q111" s="21">
        <f t="shared" si="23"/>
        <v>1</v>
      </c>
      <c r="R111" s="21">
        <f t="shared" ca="1" si="24"/>
        <v>5044</v>
      </c>
      <c r="S111" s="308">
        <f t="shared" ca="1" si="15"/>
        <v>17</v>
      </c>
    </row>
    <row r="112" spans="1:19">
      <c r="A112" s="3228" t="s">
        <v>5263</v>
      </c>
      <c r="B112" s="3228">
        <v>33.01</v>
      </c>
      <c r="C112" s="21">
        <f t="shared" si="16"/>
        <v>1</v>
      </c>
      <c r="D112" s="3228" t="s">
        <v>5171</v>
      </c>
      <c r="E112" s="21">
        <f t="shared" si="17"/>
        <v>1</v>
      </c>
      <c r="F112" s="635"/>
      <c r="G112" s="21">
        <f t="shared" si="18"/>
        <v>1</v>
      </c>
      <c r="H112" s="635"/>
      <c r="I112" s="21">
        <f t="shared" si="19"/>
        <v>1</v>
      </c>
      <c r="J112" s="635"/>
      <c r="K112" s="21">
        <f t="shared" si="20"/>
        <v>1</v>
      </c>
      <c r="L112" s="635"/>
      <c r="M112" s="21">
        <f t="shared" si="21"/>
        <v>1</v>
      </c>
      <c r="N112" s="635"/>
      <c r="O112" s="21">
        <f t="shared" si="22"/>
        <v>1</v>
      </c>
      <c r="P112" s="635"/>
      <c r="Q112" s="21">
        <f t="shared" si="23"/>
        <v>1</v>
      </c>
      <c r="R112" s="21">
        <f t="shared" ca="1" si="24"/>
        <v>5044</v>
      </c>
      <c r="S112" s="308">
        <f t="shared" ca="1" si="15"/>
        <v>17</v>
      </c>
    </row>
    <row r="113" spans="1:19">
      <c r="A113" s="3229" t="s">
        <v>4100</v>
      </c>
      <c r="B113" s="3228">
        <v>31.06</v>
      </c>
      <c r="C113" s="21">
        <f t="shared" si="16"/>
        <v>1</v>
      </c>
      <c r="D113" s="3228" t="s">
        <v>4009</v>
      </c>
      <c r="E113" s="21">
        <f t="shared" si="17"/>
        <v>1</v>
      </c>
      <c r="F113" s="635"/>
      <c r="G113" s="21">
        <f t="shared" si="18"/>
        <v>1</v>
      </c>
      <c r="H113" s="635"/>
      <c r="I113" s="21">
        <f t="shared" si="19"/>
        <v>1</v>
      </c>
      <c r="J113" s="635"/>
      <c r="K113" s="21">
        <f t="shared" si="20"/>
        <v>1</v>
      </c>
      <c r="L113" s="635"/>
      <c r="M113" s="21">
        <f t="shared" si="21"/>
        <v>1</v>
      </c>
      <c r="N113" s="635"/>
      <c r="O113" s="21">
        <f t="shared" si="22"/>
        <v>1</v>
      </c>
      <c r="P113" s="635"/>
      <c r="Q113" s="21">
        <f t="shared" si="23"/>
        <v>1</v>
      </c>
      <c r="R113" s="21">
        <f t="shared" ca="1" si="24"/>
        <v>5044</v>
      </c>
      <c r="S113" s="308">
        <f t="shared" ca="1" si="15"/>
        <v>16</v>
      </c>
    </row>
    <row r="114" spans="1:19">
      <c r="A114" s="3228" t="s">
        <v>5265</v>
      </c>
      <c r="B114" s="3228">
        <v>31.06</v>
      </c>
      <c r="C114" s="21">
        <f t="shared" si="16"/>
        <v>1</v>
      </c>
      <c r="D114" s="3228" t="s">
        <v>5171</v>
      </c>
      <c r="E114" s="21">
        <f t="shared" si="17"/>
        <v>1</v>
      </c>
      <c r="F114" s="635"/>
      <c r="G114" s="21">
        <f t="shared" si="18"/>
        <v>1</v>
      </c>
      <c r="H114" s="635"/>
      <c r="I114" s="21">
        <f t="shared" si="19"/>
        <v>1</v>
      </c>
      <c r="J114" s="635"/>
      <c r="K114" s="21">
        <f t="shared" si="20"/>
        <v>1</v>
      </c>
      <c r="L114" s="635"/>
      <c r="M114" s="21">
        <f t="shared" si="21"/>
        <v>1</v>
      </c>
      <c r="N114" s="635"/>
      <c r="O114" s="21">
        <f t="shared" si="22"/>
        <v>1</v>
      </c>
      <c r="P114" s="635"/>
      <c r="Q114" s="21">
        <f t="shared" si="23"/>
        <v>1</v>
      </c>
      <c r="R114" s="21">
        <f t="shared" ca="1" si="24"/>
        <v>5044</v>
      </c>
      <c r="S114" s="308">
        <f t="shared" ca="1" si="15"/>
        <v>16</v>
      </c>
    </row>
    <row r="115" spans="1:19">
      <c r="A115" s="3228" t="s">
        <v>4102</v>
      </c>
      <c r="B115" s="3228">
        <v>31.06</v>
      </c>
      <c r="C115" s="21">
        <f t="shared" si="16"/>
        <v>1</v>
      </c>
      <c r="D115" s="3228" t="s">
        <v>4009</v>
      </c>
      <c r="E115" s="21">
        <f t="shared" si="17"/>
        <v>1</v>
      </c>
      <c r="F115" s="635"/>
      <c r="G115" s="21">
        <f t="shared" si="18"/>
        <v>1</v>
      </c>
      <c r="H115" s="635"/>
      <c r="I115" s="21">
        <f t="shared" si="19"/>
        <v>1</v>
      </c>
      <c r="J115" s="635"/>
      <c r="K115" s="21">
        <f t="shared" si="20"/>
        <v>1</v>
      </c>
      <c r="L115" s="635"/>
      <c r="M115" s="21">
        <f t="shared" si="21"/>
        <v>1</v>
      </c>
      <c r="N115" s="635"/>
      <c r="O115" s="21">
        <f t="shared" si="22"/>
        <v>1</v>
      </c>
      <c r="P115" s="635"/>
      <c r="Q115" s="21">
        <f t="shared" si="23"/>
        <v>1</v>
      </c>
      <c r="R115" s="21">
        <f t="shared" ca="1" si="24"/>
        <v>5044</v>
      </c>
      <c r="S115" s="308">
        <f t="shared" ca="1" si="15"/>
        <v>16</v>
      </c>
    </row>
    <row r="116" spans="1:19">
      <c r="A116" s="3228" t="s">
        <v>5267</v>
      </c>
      <c r="B116" s="3228">
        <v>29.76</v>
      </c>
      <c r="C116" s="21">
        <f t="shared" si="16"/>
        <v>1</v>
      </c>
      <c r="D116" s="3228" t="s">
        <v>5171</v>
      </c>
      <c r="E116" s="21">
        <f t="shared" si="17"/>
        <v>1</v>
      </c>
      <c r="F116" s="635"/>
      <c r="G116" s="21">
        <f t="shared" si="18"/>
        <v>1</v>
      </c>
      <c r="H116" s="635"/>
      <c r="I116" s="21">
        <f t="shared" si="19"/>
        <v>1</v>
      </c>
      <c r="J116" s="635"/>
      <c r="K116" s="21">
        <f t="shared" si="20"/>
        <v>1</v>
      </c>
      <c r="L116" s="635"/>
      <c r="M116" s="21">
        <f t="shared" si="21"/>
        <v>1</v>
      </c>
      <c r="N116" s="635"/>
      <c r="O116" s="21">
        <f t="shared" si="22"/>
        <v>1</v>
      </c>
      <c r="P116" s="635"/>
      <c r="Q116" s="21">
        <f t="shared" si="23"/>
        <v>1</v>
      </c>
      <c r="R116" s="21">
        <f t="shared" ca="1" si="24"/>
        <v>5044</v>
      </c>
      <c r="S116" s="308">
        <f t="shared" ca="1" si="15"/>
        <v>15</v>
      </c>
    </row>
    <row r="117" spans="1:19">
      <c r="A117" s="3228" t="s">
        <v>4104</v>
      </c>
      <c r="B117" s="3228">
        <v>29.76</v>
      </c>
      <c r="C117" s="21">
        <f t="shared" si="16"/>
        <v>1</v>
      </c>
      <c r="D117" s="3228" t="s">
        <v>4009</v>
      </c>
      <c r="E117" s="21">
        <f t="shared" si="17"/>
        <v>1</v>
      </c>
      <c r="F117" s="635"/>
      <c r="G117" s="21">
        <f t="shared" si="18"/>
        <v>1</v>
      </c>
      <c r="H117" s="635"/>
      <c r="I117" s="21">
        <f t="shared" si="19"/>
        <v>1</v>
      </c>
      <c r="J117" s="635"/>
      <c r="K117" s="21">
        <f t="shared" si="20"/>
        <v>1</v>
      </c>
      <c r="L117" s="635"/>
      <c r="M117" s="21">
        <f t="shared" si="21"/>
        <v>1</v>
      </c>
      <c r="N117" s="635"/>
      <c r="O117" s="21">
        <f t="shared" si="22"/>
        <v>1</v>
      </c>
      <c r="P117" s="635"/>
      <c r="Q117" s="21">
        <f t="shared" si="23"/>
        <v>1</v>
      </c>
      <c r="R117" s="21">
        <f t="shared" ca="1" si="24"/>
        <v>5044</v>
      </c>
      <c r="S117" s="308">
        <f t="shared" ca="1" si="15"/>
        <v>15</v>
      </c>
    </row>
    <row r="118" spans="1:19">
      <c r="A118" s="3228" t="s">
        <v>5269</v>
      </c>
      <c r="B118" s="3228">
        <v>31.06</v>
      </c>
      <c r="C118" s="21">
        <f t="shared" si="16"/>
        <v>1</v>
      </c>
      <c r="D118" s="3228" t="s">
        <v>5171</v>
      </c>
      <c r="E118" s="21">
        <f t="shared" si="17"/>
        <v>1</v>
      </c>
      <c r="F118" s="635"/>
      <c r="G118" s="21">
        <f t="shared" si="18"/>
        <v>1</v>
      </c>
      <c r="H118" s="635"/>
      <c r="I118" s="21">
        <f t="shared" si="19"/>
        <v>1</v>
      </c>
      <c r="J118" s="635"/>
      <c r="K118" s="21">
        <f t="shared" si="20"/>
        <v>1</v>
      </c>
      <c r="L118" s="635"/>
      <c r="M118" s="21">
        <f t="shared" si="21"/>
        <v>1</v>
      </c>
      <c r="N118" s="635"/>
      <c r="O118" s="21">
        <f t="shared" si="22"/>
        <v>1</v>
      </c>
      <c r="P118" s="635"/>
      <c r="Q118" s="21">
        <f t="shared" si="23"/>
        <v>1</v>
      </c>
      <c r="R118" s="21">
        <f t="shared" ca="1" si="24"/>
        <v>5044</v>
      </c>
      <c r="S118" s="308">
        <f t="shared" ca="1" si="15"/>
        <v>16</v>
      </c>
    </row>
    <row r="119" spans="1:19">
      <c r="A119" s="3228" t="s">
        <v>4106</v>
      </c>
      <c r="B119" s="3228">
        <v>31.06</v>
      </c>
      <c r="C119" s="21">
        <f t="shared" si="16"/>
        <v>1</v>
      </c>
      <c r="D119" s="3228" t="s">
        <v>4009</v>
      </c>
      <c r="E119" s="21">
        <f t="shared" si="17"/>
        <v>1</v>
      </c>
      <c r="F119" s="635"/>
      <c r="G119" s="21">
        <f t="shared" si="18"/>
        <v>1</v>
      </c>
      <c r="H119" s="635"/>
      <c r="I119" s="21">
        <f t="shared" si="19"/>
        <v>1</v>
      </c>
      <c r="J119" s="635"/>
      <c r="K119" s="21">
        <f t="shared" si="20"/>
        <v>1</v>
      </c>
      <c r="L119" s="635"/>
      <c r="M119" s="21">
        <f t="shared" si="21"/>
        <v>1</v>
      </c>
      <c r="N119" s="635"/>
      <c r="O119" s="21">
        <f t="shared" si="22"/>
        <v>1</v>
      </c>
      <c r="P119" s="635"/>
      <c r="Q119" s="21">
        <f t="shared" si="23"/>
        <v>1</v>
      </c>
      <c r="R119" s="21">
        <f t="shared" ca="1" si="24"/>
        <v>5044</v>
      </c>
      <c r="S119" s="308">
        <f t="shared" ca="1" si="15"/>
        <v>16</v>
      </c>
    </row>
    <row r="120" spans="1:19">
      <c r="A120" s="3228" t="s">
        <v>5271</v>
      </c>
      <c r="B120" s="3228">
        <v>31.06</v>
      </c>
      <c r="C120" s="21">
        <f t="shared" si="16"/>
        <v>1</v>
      </c>
      <c r="D120" s="3228" t="s">
        <v>5171</v>
      </c>
      <c r="E120" s="21">
        <f t="shared" si="17"/>
        <v>1</v>
      </c>
      <c r="F120" s="635"/>
      <c r="G120" s="21">
        <f t="shared" si="18"/>
        <v>1</v>
      </c>
      <c r="H120" s="635"/>
      <c r="I120" s="21">
        <f t="shared" si="19"/>
        <v>1</v>
      </c>
      <c r="J120" s="635"/>
      <c r="K120" s="21">
        <f t="shared" si="20"/>
        <v>1</v>
      </c>
      <c r="L120" s="635"/>
      <c r="M120" s="21">
        <f t="shared" si="21"/>
        <v>1</v>
      </c>
      <c r="N120" s="635"/>
      <c r="O120" s="21">
        <f t="shared" si="22"/>
        <v>1</v>
      </c>
      <c r="P120" s="635"/>
      <c r="Q120" s="21">
        <f t="shared" si="23"/>
        <v>1</v>
      </c>
      <c r="R120" s="21">
        <f t="shared" ca="1" si="24"/>
        <v>5044</v>
      </c>
      <c r="S120" s="308">
        <f t="shared" ca="1" si="15"/>
        <v>16</v>
      </c>
    </row>
    <row r="121" spans="1:19">
      <c r="A121" s="3228" t="s">
        <v>4108</v>
      </c>
      <c r="B121" s="3228">
        <v>33.01</v>
      </c>
      <c r="C121" s="21">
        <f t="shared" si="16"/>
        <v>1</v>
      </c>
      <c r="D121" s="3228" t="s">
        <v>4009</v>
      </c>
      <c r="E121" s="21">
        <f t="shared" si="17"/>
        <v>1</v>
      </c>
      <c r="F121" s="635"/>
      <c r="G121" s="21">
        <f t="shared" si="18"/>
        <v>1</v>
      </c>
      <c r="H121" s="635"/>
      <c r="I121" s="21">
        <f t="shared" si="19"/>
        <v>1</v>
      </c>
      <c r="J121" s="635"/>
      <c r="K121" s="21">
        <f t="shared" si="20"/>
        <v>1</v>
      </c>
      <c r="L121" s="635"/>
      <c r="M121" s="21">
        <f t="shared" si="21"/>
        <v>1</v>
      </c>
      <c r="N121" s="635"/>
      <c r="O121" s="21">
        <f t="shared" si="22"/>
        <v>1</v>
      </c>
      <c r="P121" s="635"/>
      <c r="Q121" s="21">
        <f t="shared" si="23"/>
        <v>1</v>
      </c>
      <c r="R121" s="21">
        <f t="shared" ca="1" si="24"/>
        <v>5044</v>
      </c>
      <c r="S121" s="308">
        <f t="shared" ca="1" si="15"/>
        <v>17</v>
      </c>
    </row>
    <row r="122" spans="1:19">
      <c r="A122" s="3228" t="s">
        <v>5273</v>
      </c>
      <c r="B122" s="3228">
        <v>33.01</v>
      </c>
      <c r="C122" s="21">
        <f t="shared" si="16"/>
        <v>1</v>
      </c>
      <c r="D122" s="3228" t="s">
        <v>5171</v>
      </c>
      <c r="E122" s="21">
        <f t="shared" si="17"/>
        <v>1</v>
      </c>
      <c r="F122" s="635"/>
      <c r="G122" s="21">
        <f t="shared" si="18"/>
        <v>1</v>
      </c>
      <c r="H122" s="635"/>
      <c r="I122" s="21">
        <f t="shared" si="19"/>
        <v>1</v>
      </c>
      <c r="J122" s="635"/>
      <c r="K122" s="21">
        <f t="shared" si="20"/>
        <v>1</v>
      </c>
      <c r="L122" s="635"/>
      <c r="M122" s="21">
        <f t="shared" si="21"/>
        <v>1</v>
      </c>
      <c r="N122" s="635"/>
      <c r="O122" s="21">
        <f t="shared" si="22"/>
        <v>1</v>
      </c>
      <c r="P122" s="635"/>
      <c r="Q122" s="21">
        <f t="shared" si="23"/>
        <v>1</v>
      </c>
      <c r="R122" s="21">
        <f t="shared" ca="1" si="24"/>
        <v>5044</v>
      </c>
      <c r="S122" s="308">
        <f t="shared" ca="1" si="15"/>
        <v>17</v>
      </c>
    </row>
    <row r="123" spans="1:19">
      <c r="A123" s="3228" t="s">
        <v>4110</v>
      </c>
      <c r="B123" s="3228">
        <v>33.01</v>
      </c>
      <c r="C123" s="21">
        <f t="shared" si="16"/>
        <v>1</v>
      </c>
      <c r="D123" s="3228" t="s">
        <v>4009</v>
      </c>
      <c r="E123" s="21">
        <f t="shared" si="17"/>
        <v>1</v>
      </c>
      <c r="F123" s="635"/>
      <c r="G123" s="21">
        <f t="shared" si="18"/>
        <v>1</v>
      </c>
      <c r="H123" s="635"/>
      <c r="I123" s="21">
        <f t="shared" si="19"/>
        <v>1</v>
      </c>
      <c r="J123" s="635"/>
      <c r="K123" s="21">
        <f t="shared" si="20"/>
        <v>1</v>
      </c>
      <c r="L123" s="635"/>
      <c r="M123" s="21">
        <f t="shared" si="21"/>
        <v>1</v>
      </c>
      <c r="N123" s="635"/>
      <c r="O123" s="21">
        <f t="shared" si="22"/>
        <v>1</v>
      </c>
      <c r="P123" s="635"/>
      <c r="Q123" s="21">
        <f t="shared" si="23"/>
        <v>1</v>
      </c>
      <c r="R123" s="21">
        <f t="shared" ca="1" si="24"/>
        <v>5044</v>
      </c>
      <c r="S123" s="308">
        <f t="shared" ca="1" si="15"/>
        <v>17</v>
      </c>
    </row>
    <row r="124" spans="1:19">
      <c r="A124" s="3228" t="s">
        <v>5275</v>
      </c>
      <c r="B124" s="3228">
        <v>31.06</v>
      </c>
      <c r="C124" s="21">
        <f t="shared" si="16"/>
        <v>1</v>
      </c>
      <c r="D124" s="3228" t="s">
        <v>5171</v>
      </c>
      <c r="E124" s="21">
        <f t="shared" si="17"/>
        <v>1</v>
      </c>
      <c r="F124" s="635"/>
      <c r="G124" s="21">
        <f t="shared" si="18"/>
        <v>1</v>
      </c>
      <c r="H124" s="635"/>
      <c r="I124" s="21">
        <f t="shared" si="19"/>
        <v>1</v>
      </c>
      <c r="J124" s="635"/>
      <c r="K124" s="21">
        <f t="shared" si="20"/>
        <v>1</v>
      </c>
      <c r="L124" s="635"/>
      <c r="M124" s="21">
        <f t="shared" si="21"/>
        <v>1</v>
      </c>
      <c r="N124" s="635"/>
      <c r="O124" s="21">
        <f t="shared" si="22"/>
        <v>1</v>
      </c>
      <c r="P124" s="635"/>
      <c r="Q124" s="21">
        <f t="shared" si="23"/>
        <v>1</v>
      </c>
      <c r="R124" s="21">
        <f t="shared" ca="1" si="24"/>
        <v>5044</v>
      </c>
      <c r="S124" s="308">
        <f t="shared" ca="1" si="15"/>
        <v>16</v>
      </c>
    </row>
    <row r="125" spans="1:19">
      <c r="A125" s="3228" t="s">
        <v>4112</v>
      </c>
      <c r="B125" s="3228">
        <v>31.06</v>
      </c>
      <c r="C125" s="21">
        <f t="shared" si="16"/>
        <v>1</v>
      </c>
      <c r="D125" s="3228" t="s">
        <v>4009</v>
      </c>
      <c r="E125" s="21">
        <f t="shared" si="17"/>
        <v>1</v>
      </c>
      <c r="F125" s="635"/>
      <c r="G125" s="21">
        <f t="shared" si="18"/>
        <v>1</v>
      </c>
      <c r="H125" s="635"/>
      <c r="I125" s="21">
        <f t="shared" si="19"/>
        <v>1</v>
      </c>
      <c r="J125" s="635"/>
      <c r="K125" s="21">
        <f t="shared" si="20"/>
        <v>1</v>
      </c>
      <c r="L125" s="635"/>
      <c r="M125" s="21">
        <f t="shared" si="21"/>
        <v>1</v>
      </c>
      <c r="N125" s="635"/>
      <c r="O125" s="21">
        <f t="shared" si="22"/>
        <v>1</v>
      </c>
      <c r="P125" s="635"/>
      <c r="Q125" s="21">
        <f t="shared" si="23"/>
        <v>1</v>
      </c>
      <c r="R125" s="21">
        <f t="shared" ca="1" si="24"/>
        <v>5044</v>
      </c>
      <c r="S125" s="308">
        <f t="shared" ca="1" si="15"/>
        <v>16</v>
      </c>
    </row>
    <row r="126" spans="1:19">
      <c r="A126" s="3228" t="s">
        <v>5277</v>
      </c>
      <c r="B126" s="3228">
        <v>31.06</v>
      </c>
      <c r="C126" s="21">
        <f t="shared" si="16"/>
        <v>1</v>
      </c>
      <c r="D126" s="3228" t="s">
        <v>5171</v>
      </c>
      <c r="E126" s="21">
        <f t="shared" si="17"/>
        <v>1</v>
      </c>
      <c r="F126" s="635"/>
      <c r="G126" s="21">
        <f t="shared" si="18"/>
        <v>1</v>
      </c>
      <c r="H126" s="635"/>
      <c r="I126" s="21">
        <f t="shared" si="19"/>
        <v>1</v>
      </c>
      <c r="J126" s="635"/>
      <c r="K126" s="21">
        <f t="shared" si="20"/>
        <v>1</v>
      </c>
      <c r="L126" s="635"/>
      <c r="M126" s="21">
        <f t="shared" si="21"/>
        <v>1</v>
      </c>
      <c r="N126" s="635"/>
      <c r="O126" s="21">
        <f t="shared" si="22"/>
        <v>1</v>
      </c>
      <c r="P126" s="635"/>
      <c r="Q126" s="21">
        <f t="shared" si="23"/>
        <v>1</v>
      </c>
      <c r="R126" s="21">
        <f t="shared" ca="1" si="24"/>
        <v>5044</v>
      </c>
      <c r="S126" s="308">
        <f t="shared" ca="1" si="15"/>
        <v>16</v>
      </c>
    </row>
    <row r="127" spans="1:19">
      <c r="A127" s="3228" t="s">
        <v>4114</v>
      </c>
      <c r="B127" s="3228">
        <v>31.06</v>
      </c>
      <c r="C127" s="21">
        <f t="shared" si="16"/>
        <v>1</v>
      </c>
      <c r="D127" s="3228" t="s">
        <v>4009</v>
      </c>
      <c r="E127" s="21">
        <f t="shared" si="17"/>
        <v>1</v>
      </c>
      <c r="F127" s="635"/>
      <c r="G127" s="21">
        <f t="shared" si="18"/>
        <v>1</v>
      </c>
      <c r="H127" s="635"/>
      <c r="I127" s="21">
        <f t="shared" si="19"/>
        <v>1</v>
      </c>
      <c r="J127" s="635"/>
      <c r="K127" s="21">
        <f t="shared" si="20"/>
        <v>1</v>
      </c>
      <c r="L127" s="635"/>
      <c r="M127" s="21">
        <f t="shared" si="21"/>
        <v>1</v>
      </c>
      <c r="N127" s="635"/>
      <c r="O127" s="21">
        <f t="shared" si="22"/>
        <v>1</v>
      </c>
      <c r="P127" s="635"/>
      <c r="Q127" s="21">
        <f t="shared" si="23"/>
        <v>1</v>
      </c>
      <c r="R127" s="21">
        <f t="shared" ca="1" si="24"/>
        <v>5044</v>
      </c>
      <c r="S127" s="308">
        <f t="shared" ca="1" si="15"/>
        <v>16</v>
      </c>
    </row>
    <row r="128" spans="1:19">
      <c r="A128" s="3228" t="s">
        <v>5279</v>
      </c>
      <c r="B128" s="3228">
        <v>31.06</v>
      </c>
      <c r="C128" s="21">
        <f t="shared" si="16"/>
        <v>1</v>
      </c>
      <c r="D128" s="3228" t="s">
        <v>5171</v>
      </c>
      <c r="E128" s="21">
        <f t="shared" si="17"/>
        <v>1</v>
      </c>
      <c r="F128" s="635"/>
      <c r="G128" s="21">
        <f t="shared" si="18"/>
        <v>1</v>
      </c>
      <c r="H128" s="635"/>
      <c r="I128" s="21">
        <f t="shared" si="19"/>
        <v>1</v>
      </c>
      <c r="J128" s="635"/>
      <c r="K128" s="21">
        <f t="shared" si="20"/>
        <v>1</v>
      </c>
      <c r="L128" s="635"/>
      <c r="M128" s="21">
        <f t="shared" si="21"/>
        <v>1</v>
      </c>
      <c r="N128" s="635"/>
      <c r="O128" s="21">
        <f t="shared" si="22"/>
        <v>1</v>
      </c>
      <c r="P128" s="635"/>
      <c r="Q128" s="21">
        <f t="shared" si="23"/>
        <v>1</v>
      </c>
      <c r="R128" s="21">
        <f t="shared" ca="1" si="24"/>
        <v>5044</v>
      </c>
      <c r="S128" s="308">
        <f t="shared" ca="1" si="15"/>
        <v>16</v>
      </c>
    </row>
    <row r="129" spans="1:19">
      <c r="A129" s="3228" t="s">
        <v>4116</v>
      </c>
      <c r="B129" s="3228">
        <v>31.06</v>
      </c>
      <c r="C129" s="21">
        <f t="shared" si="16"/>
        <v>1</v>
      </c>
      <c r="D129" s="3228" t="s">
        <v>4009</v>
      </c>
      <c r="E129" s="21">
        <f t="shared" si="17"/>
        <v>1</v>
      </c>
      <c r="F129" s="635"/>
      <c r="G129" s="21">
        <f t="shared" si="18"/>
        <v>1</v>
      </c>
      <c r="H129" s="635"/>
      <c r="I129" s="21">
        <f t="shared" si="19"/>
        <v>1</v>
      </c>
      <c r="J129" s="635"/>
      <c r="K129" s="21">
        <f t="shared" si="20"/>
        <v>1</v>
      </c>
      <c r="L129" s="635"/>
      <c r="M129" s="21">
        <f t="shared" si="21"/>
        <v>1</v>
      </c>
      <c r="N129" s="635"/>
      <c r="O129" s="21">
        <f t="shared" si="22"/>
        <v>1</v>
      </c>
      <c r="P129" s="635"/>
      <c r="Q129" s="21">
        <f t="shared" si="23"/>
        <v>1</v>
      </c>
      <c r="R129" s="21">
        <f t="shared" ca="1" si="24"/>
        <v>5044</v>
      </c>
      <c r="S129" s="308">
        <f t="shared" ca="1" si="15"/>
        <v>16</v>
      </c>
    </row>
    <row r="130" spans="1:19">
      <c r="A130" s="3228" t="s">
        <v>5281</v>
      </c>
      <c r="B130" s="3228">
        <v>31.06</v>
      </c>
      <c r="C130" s="21">
        <f t="shared" si="16"/>
        <v>1</v>
      </c>
      <c r="D130" s="3228" t="s">
        <v>5171</v>
      </c>
      <c r="E130" s="21">
        <f t="shared" si="17"/>
        <v>1</v>
      </c>
      <c r="F130" s="635"/>
      <c r="G130" s="21">
        <f t="shared" si="18"/>
        <v>1</v>
      </c>
      <c r="H130" s="635"/>
      <c r="I130" s="21">
        <f t="shared" si="19"/>
        <v>1</v>
      </c>
      <c r="J130" s="635"/>
      <c r="K130" s="21">
        <f t="shared" si="20"/>
        <v>1</v>
      </c>
      <c r="L130" s="635"/>
      <c r="M130" s="21">
        <f t="shared" si="21"/>
        <v>1</v>
      </c>
      <c r="N130" s="635"/>
      <c r="O130" s="21">
        <f t="shared" si="22"/>
        <v>1</v>
      </c>
      <c r="P130" s="635"/>
      <c r="Q130" s="21">
        <f t="shared" si="23"/>
        <v>1</v>
      </c>
      <c r="R130" s="21">
        <f t="shared" ca="1" si="24"/>
        <v>5044</v>
      </c>
      <c r="S130" s="308">
        <f t="shared" ca="1" si="15"/>
        <v>16</v>
      </c>
    </row>
    <row r="131" spans="1:19">
      <c r="A131" s="3228" t="s">
        <v>4118</v>
      </c>
      <c r="B131" s="3228">
        <v>31.06</v>
      </c>
      <c r="C131" s="21">
        <f t="shared" si="16"/>
        <v>1</v>
      </c>
      <c r="D131" s="3228" t="s">
        <v>4009</v>
      </c>
      <c r="E131" s="21">
        <f t="shared" si="17"/>
        <v>1</v>
      </c>
      <c r="F131" s="635"/>
      <c r="G131" s="21">
        <f t="shared" si="18"/>
        <v>1</v>
      </c>
      <c r="H131" s="635"/>
      <c r="I131" s="21">
        <f t="shared" si="19"/>
        <v>1</v>
      </c>
      <c r="J131" s="635"/>
      <c r="K131" s="21">
        <f t="shared" si="20"/>
        <v>1</v>
      </c>
      <c r="L131" s="635"/>
      <c r="M131" s="21">
        <f t="shared" si="21"/>
        <v>1</v>
      </c>
      <c r="N131" s="635"/>
      <c r="O131" s="21">
        <f t="shared" si="22"/>
        <v>1</v>
      </c>
      <c r="P131" s="635"/>
      <c r="Q131" s="21">
        <f t="shared" si="23"/>
        <v>1</v>
      </c>
      <c r="R131" s="21">
        <f t="shared" ca="1" si="24"/>
        <v>5044</v>
      </c>
      <c r="S131" s="308">
        <f t="shared" ca="1" si="15"/>
        <v>16</v>
      </c>
    </row>
    <row r="132" spans="1:19">
      <c r="A132" s="3228" t="s">
        <v>5283</v>
      </c>
      <c r="B132" s="3228">
        <v>31.06</v>
      </c>
      <c r="C132" s="21">
        <f t="shared" si="16"/>
        <v>1</v>
      </c>
      <c r="D132" s="3228" t="s">
        <v>5171</v>
      </c>
      <c r="E132" s="21">
        <f t="shared" si="17"/>
        <v>1</v>
      </c>
      <c r="F132" s="635"/>
      <c r="G132" s="21">
        <f t="shared" si="18"/>
        <v>1</v>
      </c>
      <c r="H132" s="635"/>
      <c r="I132" s="21">
        <f t="shared" si="19"/>
        <v>1</v>
      </c>
      <c r="J132" s="635"/>
      <c r="K132" s="21">
        <f t="shared" si="20"/>
        <v>1</v>
      </c>
      <c r="L132" s="635"/>
      <c r="M132" s="21">
        <f t="shared" si="21"/>
        <v>1</v>
      </c>
      <c r="N132" s="635"/>
      <c r="O132" s="21">
        <f t="shared" si="22"/>
        <v>1</v>
      </c>
      <c r="P132" s="635"/>
      <c r="Q132" s="21">
        <f t="shared" si="23"/>
        <v>1</v>
      </c>
      <c r="R132" s="21">
        <f t="shared" ca="1" si="24"/>
        <v>5044</v>
      </c>
      <c r="S132" s="308">
        <f t="shared" ca="1" si="15"/>
        <v>16</v>
      </c>
    </row>
    <row r="133" spans="1:19">
      <c r="A133" s="3230" t="s">
        <v>4120</v>
      </c>
      <c r="B133" s="3230">
        <v>25.88</v>
      </c>
      <c r="C133" s="21">
        <f t="shared" si="16"/>
        <v>0.98</v>
      </c>
      <c r="D133" s="3230" t="s">
        <v>4009</v>
      </c>
      <c r="E133" s="21">
        <f t="shared" si="17"/>
        <v>1</v>
      </c>
      <c r="F133" s="635"/>
      <c r="G133" s="21">
        <f t="shared" si="18"/>
        <v>1</v>
      </c>
      <c r="H133" s="635"/>
      <c r="I133" s="21">
        <f t="shared" si="19"/>
        <v>1</v>
      </c>
      <c r="J133" s="635"/>
      <c r="K133" s="21">
        <f t="shared" si="20"/>
        <v>1</v>
      </c>
      <c r="L133" s="635"/>
      <c r="M133" s="21">
        <f t="shared" si="21"/>
        <v>1</v>
      </c>
      <c r="N133" s="635"/>
      <c r="O133" s="21">
        <f t="shared" si="22"/>
        <v>1</v>
      </c>
      <c r="P133" s="635"/>
      <c r="Q133" s="21">
        <f t="shared" si="23"/>
        <v>1</v>
      </c>
      <c r="R133" s="21">
        <f t="shared" ca="1" si="24"/>
        <v>4943</v>
      </c>
      <c r="S133" s="308">
        <f t="shared" ca="1" si="15"/>
        <v>13</v>
      </c>
    </row>
    <row r="134" spans="1:19">
      <c r="A134" s="3228" t="s">
        <v>5285</v>
      </c>
      <c r="B134" s="3228">
        <v>29.47</v>
      </c>
      <c r="C134" s="21">
        <f t="shared" si="16"/>
        <v>1</v>
      </c>
      <c r="D134" s="3228" t="s">
        <v>5171</v>
      </c>
      <c r="E134" s="21">
        <f t="shared" si="17"/>
        <v>1</v>
      </c>
      <c r="F134" s="635"/>
      <c r="G134" s="21">
        <f t="shared" si="18"/>
        <v>1</v>
      </c>
      <c r="H134" s="635"/>
      <c r="I134" s="21">
        <f t="shared" si="19"/>
        <v>1</v>
      </c>
      <c r="J134" s="635"/>
      <c r="K134" s="21">
        <f t="shared" si="20"/>
        <v>1</v>
      </c>
      <c r="L134" s="635"/>
      <c r="M134" s="21">
        <f t="shared" si="21"/>
        <v>1</v>
      </c>
      <c r="N134" s="635"/>
      <c r="O134" s="21">
        <f t="shared" si="22"/>
        <v>1</v>
      </c>
      <c r="P134" s="635"/>
      <c r="Q134" s="21">
        <f t="shared" si="23"/>
        <v>1</v>
      </c>
      <c r="R134" s="21">
        <f t="shared" ca="1" si="24"/>
        <v>5044</v>
      </c>
      <c r="S134" s="308">
        <f t="shared" ca="1" si="15"/>
        <v>15</v>
      </c>
    </row>
    <row r="135" spans="1:19">
      <c r="A135" s="3228" t="s">
        <v>4122</v>
      </c>
      <c r="B135" s="3228">
        <v>32.67</v>
      </c>
      <c r="C135" s="21">
        <f t="shared" si="16"/>
        <v>1</v>
      </c>
      <c r="D135" s="3228" t="s">
        <v>4009</v>
      </c>
      <c r="E135" s="21">
        <f t="shared" si="17"/>
        <v>1</v>
      </c>
      <c r="F135" s="635"/>
      <c r="G135" s="21">
        <f t="shared" si="18"/>
        <v>1</v>
      </c>
      <c r="H135" s="635"/>
      <c r="I135" s="21">
        <f t="shared" si="19"/>
        <v>1</v>
      </c>
      <c r="J135" s="635"/>
      <c r="K135" s="21">
        <f t="shared" si="20"/>
        <v>1</v>
      </c>
      <c r="L135" s="635"/>
      <c r="M135" s="21">
        <f t="shared" si="21"/>
        <v>1</v>
      </c>
      <c r="N135" s="635"/>
      <c r="O135" s="21">
        <f t="shared" si="22"/>
        <v>1</v>
      </c>
      <c r="P135" s="635"/>
      <c r="Q135" s="21">
        <f t="shared" si="23"/>
        <v>1</v>
      </c>
      <c r="R135" s="21">
        <f t="shared" ca="1" si="24"/>
        <v>5044</v>
      </c>
      <c r="S135" s="308">
        <f t="shared" ca="1" si="15"/>
        <v>16</v>
      </c>
    </row>
    <row r="136" spans="1:19">
      <c r="A136" s="3228" t="s">
        <v>5287</v>
      </c>
      <c r="B136" s="3228">
        <v>32.67</v>
      </c>
      <c r="C136" s="21">
        <f t="shared" si="16"/>
        <v>1</v>
      </c>
      <c r="D136" s="3228" t="s">
        <v>5171</v>
      </c>
      <c r="E136" s="21">
        <f t="shared" si="17"/>
        <v>1</v>
      </c>
      <c r="F136" s="635"/>
      <c r="G136" s="21">
        <f t="shared" si="18"/>
        <v>1</v>
      </c>
      <c r="H136" s="635"/>
      <c r="I136" s="21">
        <f t="shared" si="19"/>
        <v>1</v>
      </c>
      <c r="J136" s="635"/>
      <c r="K136" s="21">
        <f t="shared" si="20"/>
        <v>1</v>
      </c>
      <c r="L136" s="635"/>
      <c r="M136" s="21">
        <f t="shared" si="21"/>
        <v>1</v>
      </c>
      <c r="N136" s="635"/>
      <c r="O136" s="21">
        <f t="shared" si="22"/>
        <v>1</v>
      </c>
      <c r="P136" s="635"/>
      <c r="Q136" s="21">
        <f t="shared" si="23"/>
        <v>1</v>
      </c>
      <c r="R136" s="21">
        <f t="shared" ca="1" si="24"/>
        <v>5044</v>
      </c>
      <c r="S136" s="308">
        <f t="shared" ca="1" si="15"/>
        <v>16</v>
      </c>
    </row>
    <row r="137" spans="1:19">
      <c r="A137" s="3228" t="s">
        <v>4124</v>
      </c>
      <c r="B137" s="3228">
        <v>32.67</v>
      </c>
      <c r="C137" s="21">
        <f t="shared" si="16"/>
        <v>1</v>
      </c>
      <c r="D137" s="3228" t="s">
        <v>4009</v>
      </c>
      <c r="E137" s="21">
        <f t="shared" si="17"/>
        <v>1</v>
      </c>
      <c r="F137" s="635"/>
      <c r="G137" s="21">
        <f t="shared" si="18"/>
        <v>1</v>
      </c>
      <c r="H137" s="635"/>
      <c r="I137" s="21">
        <f t="shared" si="19"/>
        <v>1</v>
      </c>
      <c r="J137" s="635"/>
      <c r="K137" s="21">
        <f t="shared" si="20"/>
        <v>1</v>
      </c>
      <c r="L137" s="635"/>
      <c r="M137" s="21">
        <f t="shared" si="21"/>
        <v>1</v>
      </c>
      <c r="N137" s="635"/>
      <c r="O137" s="21">
        <f t="shared" si="22"/>
        <v>1</v>
      </c>
      <c r="P137" s="635"/>
      <c r="Q137" s="21">
        <f t="shared" si="23"/>
        <v>1</v>
      </c>
      <c r="R137" s="21">
        <f t="shared" ca="1" si="24"/>
        <v>5044</v>
      </c>
      <c r="S137" s="308">
        <f t="shared" ca="1" si="15"/>
        <v>16</v>
      </c>
    </row>
    <row r="138" spans="1:19">
      <c r="A138" s="3228" t="s">
        <v>5289</v>
      </c>
      <c r="B138" s="3228">
        <v>30.74</v>
      </c>
      <c r="C138" s="21">
        <f t="shared" si="16"/>
        <v>1</v>
      </c>
      <c r="D138" s="3228" t="s">
        <v>5171</v>
      </c>
      <c r="E138" s="21">
        <f t="shared" si="17"/>
        <v>1</v>
      </c>
      <c r="F138" s="635"/>
      <c r="G138" s="21">
        <f t="shared" si="18"/>
        <v>1</v>
      </c>
      <c r="H138" s="635"/>
      <c r="I138" s="21">
        <f t="shared" si="19"/>
        <v>1</v>
      </c>
      <c r="J138" s="635"/>
      <c r="K138" s="21">
        <f t="shared" si="20"/>
        <v>1</v>
      </c>
      <c r="L138" s="635"/>
      <c r="M138" s="21">
        <f t="shared" si="21"/>
        <v>1</v>
      </c>
      <c r="N138" s="635"/>
      <c r="O138" s="21">
        <f t="shared" si="22"/>
        <v>1</v>
      </c>
      <c r="P138" s="635"/>
      <c r="Q138" s="21">
        <f t="shared" si="23"/>
        <v>1</v>
      </c>
      <c r="R138" s="21">
        <f t="shared" ca="1" si="24"/>
        <v>5044</v>
      </c>
      <c r="S138" s="308">
        <f t="shared" ca="1" si="15"/>
        <v>16</v>
      </c>
    </row>
    <row r="139" spans="1:19">
      <c r="A139" s="3228" t="s">
        <v>4126</v>
      </c>
      <c r="B139" s="3228">
        <v>30.74</v>
      </c>
      <c r="C139" s="21">
        <f t="shared" si="16"/>
        <v>1</v>
      </c>
      <c r="D139" s="3228" t="s">
        <v>4009</v>
      </c>
      <c r="E139" s="21">
        <f t="shared" si="17"/>
        <v>1</v>
      </c>
      <c r="F139" s="635"/>
      <c r="G139" s="21">
        <f t="shared" si="18"/>
        <v>1</v>
      </c>
      <c r="H139" s="635"/>
      <c r="I139" s="21">
        <f t="shared" si="19"/>
        <v>1</v>
      </c>
      <c r="J139" s="635"/>
      <c r="K139" s="21">
        <f t="shared" si="20"/>
        <v>1</v>
      </c>
      <c r="L139" s="635"/>
      <c r="M139" s="21">
        <f t="shared" si="21"/>
        <v>1</v>
      </c>
      <c r="N139" s="635"/>
      <c r="O139" s="21">
        <f t="shared" si="22"/>
        <v>1</v>
      </c>
      <c r="P139" s="635"/>
      <c r="Q139" s="21">
        <f t="shared" si="23"/>
        <v>1</v>
      </c>
      <c r="R139" s="21">
        <f t="shared" ca="1" si="24"/>
        <v>5044</v>
      </c>
      <c r="S139" s="308">
        <f t="shared" ca="1" si="15"/>
        <v>16</v>
      </c>
    </row>
    <row r="140" spans="1:19">
      <c r="A140" s="3228" t="s">
        <v>5291</v>
      </c>
      <c r="B140" s="3228">
        <v>30.74</v>
      </c>
      <c r="C140" s="21">
        <f t="shared" si="16"/>
        <v>1</v>
      </c>
      <c r="D140" s="3228" t="s">
        <v>5171</v>
      </c>
      <c r="E140" s="21">
        <f t="shared" si="17"/>
        <v>1</v>
      </c>
      <c r="F140" s="635"/>
      <c r="G140" s="21">
        <f t="shared" si="18"/>
        <v>1</v>
      </c>
      <c r="H140" s="635"/>
      <c r="I140" s="21">
        <f t="shared" si="19"/>
        <v>1</v>
      </c>
      <c r="J140" s="635"/>
      <c r="K140" s="21">
        <f t="shared" si="20"/>
        <v>1</v>
      </c>
      <c r="L140" s="635"/>
      <c r="M140" s="21">
        <f t="shared" si="21"/>
        <v>1</v>
      </c>
      <c r="N140" s="635"/>
      <c r="O140" s="21">
        <f t="shared" si="22"/>
        <v>1</v>
      </c>
      <c r="P140" s="635"/>
      <c r="Q140" s="21">
        <f t="shared" si="23"/>
        <v>1</v>
      </c>
      <c r="R140" s="21">
        <f t="shared" ca="1" si="24"/>
        <v>5044</v>
      </c>
      <c r="S140" s="308">
        <f t="shared" ca="1" si="15"/>
        <v>16</v>
      </c>
    </row>
    <row r="141" spans="1:19">
      <c r="A141" s="3228" t="s">
        <v>4128</v>
      </c>
      <c r="B141" s="3228">
        <v>29.47</v>
      </c>
      <c r="C141" s="21">
        <f t="shared" si="16"/>
        <v>1</v>
      </c>
      <c r="D141" s="3228" t="s">
        <v>4009</v>
      </c>
      <c r="E141" s="21">
        <f t="shared" si="17"/>
        <v>1</v>
      </c>
      <c r="F141" s="635"/>
      <c r="G141" s="21">
        <f t="shared" si="18"/>
        <v>1</v>
      </c>
      <c r="H141" s="635"/>
      <c r="I141" s="21">
        <f t="shared" si="19"/>
        <v>1</v>
      </c>
      <c r="J141" s="635"/>
      <c r="K141" s="21">
        <f t="shared" si="20"/>
        <v>1</v>
      </c>
      <c r="L141" s="635"/>
      <c r="M141" s="21">
        <f t="shared" si="21"/>
        <v>1</v>
      </c>
      <c r="N141" s="635"/>
      <c r="O141" s="21">
        <f t="shared" si="22"/>
        <v>1</v>
      </c>
      <c r="P141" s="635"/>
      <c r="Q141" s="21">
        <f t="shared" si="23"/>
        <v>1</v>
      </c>
      <c r="R141" s="21">
        <f t="shared" ca="1" si="24"/>
        <v>5044</v>
      </c>
      <c r="S141" s="308">
        <f t="shared" ca="1" si="15"/>
        <v>15</v>
      </c>
    </row>
    <row r="142" spans="1:19">
      <c r="A142" s="3228" t="s">
        <v>5293</v>
      </c>
      <c r="B142" s="3228">
        <v>29.47</v>
      </c>
      <c r="C142" s="21">
        <f t="shared" si="16"/>
        <v>1</v>
      </c>
      <c r="D142" s="3228" t="s">
        <v>5171</v>
      </c>
      <c r="E142" s="21">
        <f t="shared" si="17"/>
        <v>1</v>
      </c>
      <c r="F142" s="635"/>
      <c r="G142" s="21">
        <f t="shared" si="18"/>
        <v>1</v>
      </c>
      <c r="H142" s="635"/>
      <c r="I142" s="21">
        <f t="shared" si="19"/>
        <v>1</v>
      </c>
      <c r="J142" s="635"/>
      <c r="K142" s="21">
        <f t="shared" si="20"/>
        <v>1</v>
      </c>
      <c r="L142" s="635"/>
      <c r="M142" s="21">
        <f t="shared" si="21"/>
        <v>1</v>
      </c>
      <c r="N142" s="635"/>
      <c r="O142" s="21">
        <f t="shared" si="22"/>
        <v>1</v>
      </c>
      <c r="P142" s="635"/>
      <c r="Q142" s="21">
        <f t="shared" si="23"/>
        <v>1</v>
      </c>
      <c r="R142" s="21">
        <f t="shared" ca="1" si="24"/>
        <v>5044</v>
      </c>
      <c r="S142" s="308">
        <f t="shared" ca="1" si="15"/>
        <v>15</v>
      </c>
    </row>
    <row r="143" spans="1:19">
      <c r="A143" s="3228" t="s">
        <v>4130</v>
      </c>
      <c r="B143" s="3228">
        <v>32.67</v>
      </c>
      <c r="C143" s="21">
        <f t="shared" si="16"/>
        <v>1</v>
      </c>
      <c r="D143" s="3228" t="s">
        <v>4009</v>
      </c>
      <c r="E143" s="21">
        <f t="shared" si="17"/>
        <v>1</v>
      </c>
      <c r="F143" s="635"/>
      <c r="G143" s="21">
        <f t="shared" si="18"/>
        <v>1</v>
      </c>
      <c r="H143" s="635"/>
      <c r="I143" s="21">
        <f t="shared" si="19"/>
        <v>1</v>
      </c>
      <c r="J143" s="635"/>
      <c r="K143" s="21">
        <f t="shared" si="20"/>
        <v>1</v>
      </c>
      <c r="L143" s="635"/>
      <c r="M143" s="21">
        <f t="shared" si="21"/>
        <v>1</v>
      </c>
      <c r="N143" s="635"/>
      <c r="O143" s="21">
        <f t="shared" si="22"/>
        <v>1</v>
      </c>
      <c r="P143" s="635"/>
      <c r="Q143" s="21">
        <f t="shared" si="23"/>
        <v>1</v>
      </c>
      <c r="R143" s="21">
        <f t="shared" ca="1" si="24"/>
        <v>5044</v>
      </c>
      <c r="S143" s="308">
        <f t="shared" ca="1" si="15"/>
        <v>16</v>
      </c>
    </row>
    <row r="144" spans="1:19">
      <c r="A144" s="3228" t="s">
        <v>5295</v>
      </c>
      <c r="B144" s="3228">
        <v>32.67</v>
      </c>
      <c r="C144" s="21">
        <f t="shared" si="16"/>
        <v>1</v>
      </c>
      <c r="D144" s="3228" t="s">
        <v>5171</v>
      </c>
      <c r="E144" s="21">
        <f t="shared" si="17"/>
        <v>1</v>
      </c>
      <c r="F144" s="635"/>
      <c r="G144" s="21">
        <f t="shared" si="18"/>
        <v>1</v>
      </c>
      <c r="H144" s="635"/>
      <c r="I144" s="21">
        <f t="shared" si="19"/>
        <v>1</v>
      </c>
      <c r="J144" s="635"/>
      <c r="K144" s="21">
        <f t="shared" si="20"/>
        <v>1</v>
      </c>
      <c r="L144" s="635"/>
      <c r="M144" s="21">
        <f t="shared" si="21"/>
        <v>1</v>
      </c>
      <c r="N144" s="635"/>
      <c r="O144" s="21">
        <f t="shared" si="22"/>
        <v>1</v>
      </c>
      <c r="P144" s="635"/>
      <c r="Q144" s="21">
        <f t="shared" si="23"/>
        <v>1</v>
      </c>
      <c r="R144" s="21">
        <f t="shared" ca="1" si="24"/>
        <v>5044</v>
      </c>
      <c r="S144" s="308">
        <f t="shared" ca="1" si="15"/>
        <v>16</v>
      </c>
    </row>
    <row r="145" spans="1:19">
      <c r="A145" s="3228" t="s">
        <v>4132</v>
      </c>
      <c r="B145" s="3228">
        <v>32.67</v>
      </c>
      <c r="C145" s="21">
        <f t="shared" si="16"/>
        <v>1</v>
      </c>
      <c r="D145" s="3228" t="s">
        <v>4009</v>
      </c>
      <c r="E145" s="21">
        <f t="shared" si="17"/>
        <v>1</v>
      </c>
      <c r="F145" s="635"/>
      <c r="G145" s="21">
        <f t="shared" si="18"/>
        <v>1</v>
      </c>
      <c r="H145" s="635"/>
      <c r="I145" s="21">
        <f t="shared" si="19"/>
        <v>1</v>
      </c>
      <c r="J145" s="635"/>
      <c r="K145" s="21">
        <f t="shared" si="20"/>
        <v>1</v>
      </c>
      <c r="L145" s="635"/>
      <c r="M145" s="21">
        <f t="shared" si="21"/>
        <v>1</v>
      </c>
      <c r="N145" s="635"/>
      <c r="O145" s="21">
        <f t="shared" si="22"/>
        <v>1</v>
      </c>
      <c r="P145" s="635"/>
      <c r="Q145" s="21">
        <f t="shared" si="23"/>
        <v>1</v>
      </c>
      <c r="R145" s="21">
        <f t="shared" ca="1" si="24"/>
        <v>5044</v>
      </c>
      <c r="S145" s="308">
        <f t="shared" ca="1" si="15"/>
        <v>16</v>
      </c>
    </row>
    <row r="146" spans="1:19">
      <c r="A146" s="3228" t="s">
        <v>5297</v>
      </c>
      <c r="B146" s="3228">
        <v>30.74</v>
      </c>
      <c r="C146" s="21">
        <f t="shared" si="16"/>
        <v>1</v>
      </c>
      <c r="D146" s="3237" t="s">
        <v>5208</v>
      </c>
      <c r="E146" s="21">
        <f t="shared" si="17"/>
        <v>1</v>
      </c>
      <c r="F146" s="635"/>
      <c r="G146" s="21">
        <f t="shared" si="18"/>
        <v>1</v>
      </c>
      <c r="H146" s="635"/>
      <c r="I146" s="21">
        <f t="shared" si="19"/>
        <v>1</v>
      </c>
      <c r="J146" s="635"/>
      <c r="K146" s="21">
        <f t="shared" si="20"/>
        <v>1</v>
      </c>
      <c r="L146" s="635"/>
      <c r="M146" s="21">
        <f t="shared" si="21"/>
        <v>1</v>
      </c>
      <c r="N146" s="635"/>
      <c r="O146" s="21">
        <f t="shared" si="22"/>
        <v>1</v>
      </c>
      <c r="P146" s="635"/>
      <c r="Q146" s="21">
        <f t="shared" si="23"/>
        <v>1</v>
      </c>
      <c r="R146" s="21">
        <f t="shared" ca="1" si="24"/>
        <v>5044</v>
      </c>
      <c r="S146" s="308">
        <f t="shared" ca="1" si="15"/>
        <v>16</v>
      </c>
    </row>
    <row r="147" spans="1:19">
      <c r="A147" s="3228" t="s">
        <v>4134</v>
      </c>
      <c r="B147" s="3228">
        <v>30.74</v>
      </c>
      <c r="C147" s="21">
        <f t="shared" si="16"/>
        <v>1</v>
      </c>
      <c r="D147" s="3228" t="s">
        <v>4009</v>
      </c>
      <c r="E147" s="21">
        <f t="shared" si="17"/>
        <v>1</v>
      </c>
      <c r="F147" s="635"/>
      <c r="G147" s="21">
        <f t="shared" si="18"/>
        <v>1</v>
      </c>
      <c r="H147" s="635"/>
      <c r="I147" s="21">
        <f t="shared" si="19"/>
        <v>1</v>
      </c>
      <c r="J147" s="635"/>
      <c r="K147" s="21">
        <f t="shared" si="20"/>
        <v>1</v>
      </c>
      <c r="L147" s="635"/>
      <c r="M147" s="21">
        <f t="shared" si="21"/>
        <v>1</v>
      </c>
      <c r="N147" s="635"/>
      <c r="O147" s="21">
        <f t="shared" si="22"/>
        <v>1</v>
      </c>
      <c r="P147" s="635"/>
      <c r="Q147" s="21">
        <f t="shared" si="23"/>
        <v>1</v>
      </c>
      <c r="R147" s="21">
        <f t="shared" ca="1" si="24"/>
        <v>5044</v>
      </c>
      <c r="S147" s="308">
        <f t="shared" ca="1" si="15"/>
        <v>16</v>
      </c>
    </row>
    <row r="148" spans="1:19">
      <c r="A148" s="3228" t="s">
        <v>5299</v>
      </c>
      <c r="B148" s="3228">
        <v>30.74</v>
      </c>
      <c r="C148" s="21">
        <f t="shared" si="16"/>
        <v>1</v>
      </c>
      <c r="D148" s="3228" t="s">
        <v>5171</v>
      </c>
      <c r="E148" s="21">
        <f t="shared" si="17"/>
        <v>1</v>
      </c>
      <c r="F148" s="635"/>
      <c r="G148" s="21">
        <f t="shared" si="18"/>
        <v>1</v>
      </c>
      <c r="H148" s="635"/>
      <c r="I148" s="21">
        <f t="shared" si="19"/>
        <v>1</v>
      </c>
      <c r="J148" s="635"/>
      <c r="K148" s="21">
        <f t="shared" si="20"/>
        <v>1</v>
      </c>
      <c r="L148" s="635"/>
      <c r="M148" s="21">
        <f t="shared" si="21"/>
        <v>1</v>
      </c>
      <c r="N148" s="635"/>
      <c r="O148" s="21">
        <f t="shared" si="22"/>
        <v>1</v>
      </c>
      <c r="P148" s="635"/>
      <c r="Q148" s="21">
        <f t="shared" si="23"/>
        <v>1</v>
      </c>
      <c r="R148" s="21">
        <f t="shared" ca="1" si="24"/>
        <v>5044</v>
      </c>
      <c r="S148" s="308">
        <f t="shared" ca="1" si="15"/>
        <v>16</v>
      </c>
    </row>
    <row r="149" spans="1:19">
      <c r="A149" s="3228" t="s">
        <v>4136</v>
      </c>
      <c r="B149" s="3228">
        <v>29.47</v>
      </c>
      <c r="C149" s="21">
        <f t="shared" si="16"/>
        <v>1</v>
      </c>
      <c r="D149" s="3237" t="s">
        <v>4041</v>
      </c>
      <c r="E149" s="21">
        <f t="shared" si="17"/>
        <v>1</v>
      </c>
      <c r="F149" s="635"/>
      <c r="G149" s="21">
        <f t="shared" si="18"/>
        <v>1</v>
      </c>
      <c r="H149" s="635"/>
      <c r="I149" s="21">
        <f t="shared" si="19"/>
        <v>1</v>
      </c>
      <c r="J149" s="635"/>
      <c r="K149" s="21">
        <f t="shared" si="20"/>
        <v>1</v>
      </c>
      <c r="L149" s="635"/>
      <c r="M149" s="21">
        <f t="shared" si="21"/>
        <v>1</v>
      </c>
      <c r="N149" s="635"/>
      <c r="O149" s="21">
        <f t="shared" si="22"/>
        <v>1</v>
      </c>
      <c r="P149" s="635"/>
      <c r="Q149" s="21">
        <f t="shared" si="23"/>
        <v>1</v>
      </c>
      <c r="R149" s="21">
        <f t="shared" ca="1" si="24"/>
        <v>5044</v>
      </c>
      <c r="S149" s="308">
        <f t="shared" ca="1" si="15"/>
        <v>15</v>
      </c>
    </row>
    <row r="150" spans="1:19">
      <c r="A150" s="3228" t="s">
        <v>5301</v>
      </c>
      <c r="B150" s="3228">
        <v>30.74</v>
      </c>
      <c r="C150" s="21">
        <f t="shared" si="16"/>
        <v>1</v>
      </c>
      <c r="D150" s="3228" t="s">
        <v>5171</v>
      </c>
      <c r="E150" s="21">
        <f t="shared" si="17"/>
        <v>1</v>
      </c>
      <c r="F150" s="635"/>
      <c r="G150" s="21">
        <f t="shared" si="18"/>
        <v>1</v>
      </c>
      <c r="H150" s="635"/>
      <c r="I150" s="21">
        <f t="shared" si="19"/>
        <v>1</v>
      </c>
      <c r="J150" s="635"/>
      <c r="K150" s="21">
        <f t="shared" si="20"/>
        <v>1</v>
      </c>
      <c r="L150" s="635"/>
      <c r="M150" s="21">
        <f t="shared" si="21"/>
        <v>1</v>
      </c>
      <c r="N150" s="635"/>
      <c r="O150" s="21">
        <f t="shared" si="22"/>
        <v>1</v>
      </c>
      <c r="P150" s="635"/>
      <c r="Q150" s="21">
        <f t="shared" si="23"/>
        <v>1</v>
      </c>
      <c r="R150" s="21">
        <f t="shared" ca="1" si="24"/>
        <v>5044</v>
      </c>
      <c r="S150" s="308">
        <f t="shared" ca="1" si="15"/>
        <v>16</v>
      </c>
    </row>
    <row r="151" spans="1:19">
      <c r="A151" s="3228" t="s">
        <v>4138</v>
      </c>
      <c r="B151" s="3228">
        <v>30.74</v>
      </c>
      <c r="C151" s="21">
        <f t="shared" si="16"/>
        <v>1</v>
      </c>
      <c r="D151" s="3228" t="s">
        <v>4009</v>
      </c>
      <c r="E151" s="21">
        <f t="shared" si="17"/>
        <v>1</v>
      </c>
      <c r="F151" s="635"/>
      <c r="G151" s="21">
        <f t="shared" si="18"/>
        <v>1</v>
      </c>
      <c r="H151" s="635"/>
      <c r="I151" s="21">
        <f t="shared" si="19"/>
        <v>1</v>
      </c>
      <c r="J151" s="635"/>
      <c r="K151" s="21">
        <f t="shared" si="20"/>
        <v>1</v>
      </c>
      <c r="L151" s="635"/>
      <c r="M151" s="21">
        <f t="shared" si="21"/>
        <v>1</v>
      </c>
      <c r="N151" s="635"/>
      <c r="O151" s="21">
        <f t="shared" si="22"/>
        <v>1</v>
      </c>
      <c r="P151" s="635"/>
      <c r="Q151" s="21">
        <f t="shared" si="23"/>
        <v>1</v>
      </c>
      <c r="R151" s="21">
        <f t="shared" ca="1" si="24"/>
        <v>5044</v>
      </c>
      <c r="S151" s="308">
        <f t="shared" ca="1" si="15"/>
        <v>16</v>
      </c>
    </row>
    <row r="152" spans="1:19">
      <c r="A152" s="3228" t="s">
        <v>5303</v>
      </c>
      <c r="B152" s="3228">
        <v>30.74</v>
      </c>
      <c r="C152" s="21">
        <f t="shared" si="16"/>
        <v>1</v>
      </c>
      <c r="D152" s="3228" t="s">
        <v>5171</v>
      </c>
      <c r="E152" s="21">
        <f t="shared" si="17"/>
        <v>1</v>
      </c>
      <c r="F152" s="635"/>
      <c r="G152" s="21">
        <f t="shared" si="18"/>
        <v>1</v>
      </c>
      <c r="H152" s="635"/>
      <c r="I152" s="21">
        <f t="shared" si="19"/>
        <v>1</v>
      </c>
      <c r="J152" s="635"/>
      <c r="K152" s="21">
        <f t="shared" si="20"/>
        <v>1</v>
      </c>
      <c r="L152" s="635"/>
      <c r="M152" s="21">
        <f t="shared" si="21"/>
        <v>1</v>
      </c>
      <c r="N152" s="635"/>
      <c r="O152" s="21">
        <f t="shared" si="22"/>
        <v>1</v>
      </c>
      <c r="P152" s="635"/>
      <c r="Q152" s="21">
        <f t="shared" si="23"/>
        <v>1</v>
      </c>
      <c r="R152" s="21">
        <f t="shared" ca="1" si="24"/>
        <v>5044</v>
      </c>
      <c r="S152" s="308">
        <f t="shared" ref="S152:S215" ca="1" si="25">ROUND(R152*B152/10000,0)</f>
        <v>16</v>
      </c>
    </row>
    <row r="153" spans="1:19">
      <c r="A153" s="3228" t="s">
        <v>4140</v>
      </c>
      <c r="B153" s="3228">
        <v>30.74</v>
      </c>
      <c r="C153" s="21">
        <f t="shared" si="16"/>
        <v>1</v>
      </c>
      <c r="D153" s="3228" t="s">
        <v>4009</v>
      </c>
      <c r="E153" s="21">
        <f t="shared" si="17"/>
        <v>1</v>
      </c>
      <c r="F153" s="635"/>
      <c r="G153" s="21">
        <f t="shared" si="18"/>
        <v>1</v>
      </c>
      <c r="H153" s="635"/>
      <c r="I153" s="21">
        <f t="shared" si="19"/>
        <v>1</v>
      </c>
      <c r="J153" s="635"/>
      <c r="K153" s="21">
        <f t="shared" si="20"/>
        <v>1</v>
      </c>
      <c r="L153" s="635"/>
      <c r="M153" s="21">
        <f t="shared" si="21"/>
        <v>1</v>
      </c>
      <c r="N153" s="635"/>
      <c r="O153" s="21">
        <f t="shared" si="22"/>
        <v>1</v>
      </c>
      <c r="P153" s="635"/>
      <c r="Q153" s="21">
        <f t="shared" si="23"/>
        <v>1</v>
      </c>
      <c r="R153" s="21">
        <f t="shared" ca="1" si="24"/>
        <v>5044</v>
      </c>
      <c r="S153" s="308">
        <f t="shared" ca="1" si="25"/>
        <v>16</v>
      </c>
    </row>
    <row r="154" spans="1:19">
      <c r="A154" s="3228" t="s">
        <v>5305</v>
      </c>
      <c r="B154" s="3228">
        <v>30.74</v>
      </c>
      <c r="C154" s="21">
        <f t="shared" ref="C154:C217" si="26">IF(B154="",1,(LOOKUP(B154,$3:$3,$4:$4)-LOOKUP($B$24,$3:$3,$4:$4)+100)/100)</f>
        <v>1</v>
      </c>
      <c r="D154" s="3228" t="s">
        <v>5171</v>
      </c>
      <c r="E154" s="21">
        <f t="shared" ref="E154:E217" si="27">(SUMIF($5:$5,D154,$6:$6)-SUMIF($5:$5,$D$24,$6:$6)+100)/100</f>
        <v>1</v>
      </c>
      <c r="F154" s="635"/>
      <c r="G154" s="21">
        <f t="shared" ref="G154:G217" si="28">(SUMIF($7:$7,F154,$8:$8)-SUMIF($7:$7,$F$24,$8:$8)+100)/100</f>
        <v>1</v>
      </c>
      <c r="H154" s="635"/>
      <c r="I154" s="21">
        <f t="shared" ref="I154:I217" si="29">(SUMIF($9:$9,H154,$10:$10)-SUMIF($9:$9,$H$24,$10:$10)+100)/100</f>
        <v>1</v>
      </c>
      <c r="J154" s="635"/>
      <c r="K154" s="21">
        <f t="shared" ref="K154:K217" si="30">(SUMIF($11:$11,J154,$12:$12)-SUMIF($11:$11,$J$24,$12:$12)+100)/100</f>
        <v>1</v>
      </c>
      <c r="L154" s="635"/>
      <c r="M154" s="21">
        <f t="shared" ref="M154:M217" si="31">(SUMIF($13:$13,L154,$14:$14)-SUMIF($13:$13,$L$24,$14:$14)+100)/100</f>
        <v>1</v>
      </c>
      <c r="N154" s="635"/>
      <c r="O154" s="21">
        <f t="shared" ref="O154:O217" si="32">(SUMIF($15:$15,N154,$16:$16)-SUMIF($15:$15,$N$24,$16:$16)+100)/100</f>
        <v>1</v>
      </c>
      <c r="P154" s="635"/>
      <c r="Q154" s="21">
        <f t="shared" ref="Q154:Q217" si="33">(SUMIF($17:$17,P154,$18:$18)-SUMIF($17:$17,$P$24,$18:$18)+100)/100</f>
        <v>1</v>
      </c>
      <c r="R154" s="21">
        <f t="shared" ref="R154:R217" ca="1" si="34">IF(B154="",0,ROUND($R$24*C154*E154*G154*I154*K154*M154*O154*Q154,0))</f>
        <v>5044</v>
      </c>
      <c r="S154" s="308">
        <f t="shared" ca="1" si="25"/>
        <v>16</v>
      </c>
    </row>
    <row r="155" spans="1:19">
      <c r="A155" s="3228" t="s">
        <v>4142</v>
      </c>
      <c r="B155" s="3228">
        <v>30.74</v>
      </c>
      <c r="C155" s="21">
        <f t="shared" si="26"/>
        <v>1</v>
      </c>
      <c r="D155" s="3228" t="s">
        <v>4009</v>
      </c>
      <c r="E155" s="21">
        <f t="shared" si="27"/>
        <v>1</v>
      </c>
      <c r="F155" s="635"/>
      <c r="G155" s="21">
        <f t="shared" si="28"/>
        <v>1</v>
      </c>
      <c r="H155" s="635"/>
      <c r="I155" s="21">
        <f t="shared" si="29"/>
        <v>1</v>
      </c>
      <c r="J155" s="635"/>
      <c r="K155" s="21">
        <f t="shared" si="30"/>
        <v>1</v>
      </c>
      <c r="L155" s="635"/>
      <c r="M155" s="21">
        <f t="shared" si="31"/>
        <v>1</v>
      </c>
      <c r="N155" s="635"/>
      <c r="O155" s="21">
        <f t="shared" si="32"/>
        <v>1</v>
      </c>
      <c r="P155" s="635"/>
      <c r="Q155" s="21">
        <f t="shared" si="33"/>
        <v>1</v>
      </c>
      <c r="R155" s="21">
        <f t="shared" ca="1" si="34"/>
        <v>5044</v>
      </c>
      <c r="S155" s="308">
        <f t="shared" ca="1" si="25"/>
        <v>16</v>
      </c>
    </row>
    <row r="156" spans="1:19">
      <c r="A156" s="3228" t="s">
        <v>5307</v>
      </c>
      <c r="B156" s="3228">
        <v>30.74</v>
      </c>
      <c r="C156" s="21">
        <f t="shared" si="26"/>
        <v>1</v>
      </c>
      <c r="D156" s="3228" t="s">
        <v>5171</v>
      </c>
      <c r="E156" s="21">
        <f t="shared" si="27"/>
        <v>1</v>
      </c>
      <c r="F156" s="635"/>
      <c r="G156" s="21">
        <f t="shared" si="28"/>
        <v>1</v>
      </c>
      <c r="H156" s="635"/>
      <c r="I156" s="21">
        <f t="shared" si="29"/>
        <v>1</v>
      </c>
      <c r="J156" s="635"/>
      <c r="K156" s="21">
        <f t="shared" si="30"/>
        <v>1</v>
      </c>
      <c r="L156" s="635"/>
      <c r="M156" s="21">
        <f t="shared" si="31"/>
        <v>1</v>
      </c>
      <c r="N156" s="635"/>
      <c r="O156" s="21">
        <f t="shared" si="32"/>
        <v>1</v>
      </c>
      <c r="P156" s="635"/>
      <c r="Q156" s="21">
        <f t="shared" si="33"/>
        <v>1</v>
      </c>
      <c r="R156" s="21">
        <f t="shared" ca="1" si="34"/>
        <v>5044</v>
      </c>
      <c r="S156" s="308">
        <f t="shared" ca="1" si="25"/>
        <v>16</v>
      </c>
    </row>
    <row r="157" spans="1:19">
      <c r="A157" s="3228" t="s">
        <v>4144</v>
      </c>
      <c r="B157" s="3228">
        <v>29.47</v>
      </c>
      <c r="C157" s="21">
        <f t="shared" si="26"/>
        <v>1</v>
      </c>
      <c r="D157" s="3228" t="s">
        <v>4009</v>
      </c>
      <c r="E157" s="21">
        <f t="shared" si="27"/>
        <v>1</v>
      </c>
      <c r="F157" s="635"/>
      <c r="G157" s="21">
        <f t="shared" si="28"/>
        <v>1</v>
      </c>
      <c r="H157" s="635"/>
      <c r="I157" s="21">
        <f t="shared" si="29"/>
        <v>1</v>
      </c>
      <c r="J157" s="635"/>
      <c r="K157" s="21">
        <f t="shared" si="30"/>
        <v>1</v>
      </c>
      <c r="L157" s="635"/>
      <c r="M157" s="21">
        <f t="shared" si="31"/>
        <v>1</v>
      </c>
      <c r="N157" s="635"/>
      <c r="O157" s="21">
        <f t="shared" si="32"/>
        <v>1</v>
      </c>
      <c r="P157" s="635"/>
      <c r="Q157" s="21">
        <f t="shared" si="33"/>
        <v>1</v>
      </c>
      <c r="R157" s="21">
        <f t="shared" ca="1" si="34"/>
        <v>5044</v>
      </c>
      <c r="S157" s="308">
        <f t="shared" ca="1" si="25"/>
        <v>15</v>
      </c>
    </row>
    <row r="158" spans="1:19">
      <c r="A158" s="3228" t="s">
        <v>5309</v>
      </c>
      <c r="B158" s="3228">
        <v>29.47</v>
      </c>
      <c r="C158" s="21">
        <f t="shared" si="26"/>
        <v>1</v>
      </c>
      <c r="D158" s="3228" t="s">
        <v>5171</v>
      </c>
      <c r="E158" s="21">
        <f t="shared" si="27"/>
        <v>1</v>
      </c>
      <c r="F158" s="635"/>
      <c r="G158" s="21">
        <f t="shared" si="28"/>
        <v>1</v>
      </c>
      <c r="H158" s="635"/>
      <c r="I158" s="21">
        <f t="shared" si="29"/>
        <v>1</v>
      </c>
      <c r="J158" s="635"/>
      <c r="K158" s="21">
        <f t="shared" si="30"/>
        <v>1</v>
      </c>
      <c r="L158" s="635"/>
      <c r="M158" s="21">
        <f t="shared" si="31"/>
        <v>1</v>
      </c>
      <c r="N158" s="635"/>
      <c r="O158" s="21">
        <f t="shared" si="32"/>
        <v>1</v>
      </c>
      <c r="P158" s="635"/>
      <c r="Q158" s="21">
        <f t="shared" si="33"/>
        <v>1</v>
      </c>
      <c r="R158" s="21">
        <f t="shared" ca="1" si="34"/>
        <v>5044</v>
      </c>
      <c r="S158" s="308">
        <f t="shared" ca="1" si="25"/>
        <v>15</v>
      </c>
    </row>
    <row r="159" spans="1:19">
      <c r="A159" s="3228" t="s">
        <v>4146</v>
      </c>
      <c r="B159" s="3228">
        <v>29.47</v>
      </c>
      <c r="C159" s="21">
        <f t="shared" si="26"/>
        <v>1</v>
      </c>
      <c r="D159" s="3228" t="s">
        <v>4009</v>
      </c>
      <c r="E159" s="21">
        <f t="shared" si="27"/>
        <v>1</v>
      </c>
      <c r="F159" s="635"/>
      <c r="G159" s="21">
        <f t="shared" si="28"/>
        <v>1</v>
      </c>
      <c r="H159" s="635"/>
      <c r="I159" s="21">
        <f t="shared" si="29"/>
        <v>1</v>
      </c>
      <c r="J159" s="635"/>
      <c r="K159" s="21">
        <f t="shared" si="30"/>
        <v>1</v>
      </c>
      <c r="L159" s="635"/>
      <c r="M159" s="21">
        <f t="shared" si="31"/>
        <v>1</v>
      </c>
      <c r="N159" s="635"/>
      <c r="O159" s="21">
        <f t="shared" si="32"/>
        <v>1</v>
      </c>
      <c r="P159" s="635"/>
      <c r="Q159" s="21">
        <f t="shared" si="33"/>
        <v>1</v>
      </c>
      <c r="R159" s="21">
        <f t="shared" ca="1" si="34"/>
        <v>5044</v>
      </c>
      <c r="S159" s="308">
        <f t="shared" ca="1" si="25"/>
        <v>15</v>
      </c>
    </row>
    <row r="160" spans="1:19">
      <c r="A160" s="3228" t="s">
        <v>5311</v>
      </c>
      <c r="B160" s="3228">
        <v>29.47</v>
      </c>
      <c r="C160" s="21">
        <f t="shared" si="26"/>
        <v>1</v>
      </c>
      <c r="D160" s="3228" t="s">
        <v>5171</v>
      </c>
      <c r="E160" s="21">
        <f t="shared" si="27"/>
        <v>1</v>
      </c>
      <c r="F160" s="635"/>
      <c r="G160" s="21">
        <f t="shared" si="28"/>
        <v>1</v>
      </c>
      <c r="H160" s="635"/>
      <c r="I160" s="21">
        <f t="shared" si="29"/>
        <v>1</v>
      </c>
      <c r="J160" s="635"/>
      <c r="K160" s="21">
        <f t="shared" si="30"/>
        <v>1</v>
      </c>
      <c r="L160" s="635"/>
      <c r="M160" s="21">
        <f t="shared" si="31"/>
        <v>1</v>
      </c>
      <c r="N160" s="635"/>
      <c r="O160" s="21">
        <f t="shared" si="32"/>
        <v>1</v>
      </c>
      <c r="P160" s="635"/>
      <c r="Q160" s="21">
        <f t="shared" si="33"/>
        <v>1</v>
      </c>
      <c r="R160" s="21">
        <f t="shared" ca="1" si="34"/>
        <v>5044</v>
      </c>
      <c r="S160" s="308">
        <f t="shared" ca="1" si="25"/>
        <v>15</v>
      </c>
    </row>
    <row r="161" spans="1:19">
      <c r="A161" s="3228" t="s">
        <v>4148</v>
      </c>
      <c r="B161" s="3228">
        <v>29.47</v>
      </c>
      <c r="C161" s="21">
        <f t="shared" si="26"/>
        <v>1</v>
      </c>
      <c r="D161" s="3228" t="s">
        <v>4009</v>
      </c>
      <c r="E161" s="21">
        <f t="shared" si="27"/>
        <v>1</v>
      </c>
      <c r="F161" s="635"/>
      <c r="G161" s="21">
        <f t="shared" si="28"/>
        <v>1</v>
      </c>
      <c r="H161" s="635"/>
      <c r="I161" s="21">
        <f t="shared" si="29"/>
        <v>1</v>
      </c>
      <c r="J161" s="635"/>
      <c r="K161" s="21">
        <f t="shared" si="30"/>
        <v>1</v>
      </c>
      <c r="L161" s="635"/>
      <c r="M161" s="21">
        <f t="shared" si="31"/>
        <v>1</v>
      </c>
      <c r="N161" s="635"/>
      <c r="O161" s="21">
        <f t="shared" si="32"/>
        <v>1</v>
      </c>
      <c r="P161" s="635"/>
      <c r="Q161" s="21">
        <f t="shared" si="33"/>
        <v>1</v>
      </c>
      <c r="R161" s="21">
        <f t="shared" ca="1" si="34"/>
        <v>5044</v>
      </c>
      <c r="S161" s="308">
        <f t="shared" ca="1" si="25"/>
        <v>15</v>
      </c>
    </row>
    <row r="162" spans="1:19">
      <c r="A162" s="3228" t="s">
        <v>5313</v>
      </c>
      <c r="B162" s="3228">
        <v>29.47</v>
      </c>
      <c r="C162" s="21">
        <f t="shared" si="26"/>
        <v>1</v>
      </c>
      <c r="D162" s="3228" t="s">
        <v>5171</v>
      </c>
      <c r="E162" s="21">
        <f t="shared" si="27"/>
        <v>1</v>
      </c>
      <c r="F162" s="635"/>
      <c r="G162" s="21">
        <f t="shared" si="28"/>
        <v>1</v>
      </c>
      <c r="H162" s="635"/>
      <c r="I162" s="21">
        <f t="shared" si="29"/>
        <v>1</v>
      </c>
      <c r="J162" s="635"/>
      <c r="K162" s="21">
        <f t="shared" si="30"/>
        <v>1</v>
      </c>
      <c r="L162" s="635"/>
      <c r="M162" s="21">
        <f t="shared" si="31"/>
        <v>1</v>
      </c>
      <c r="N162" s="635"/>
      <c r="O162" s="21">
        <f t="shared" si="32"/>
        <v>1</v>
      </c>
      <c r="P162" s="635"/>
      <c r="Q162" s="21">
        <f t="shared" si="33"/>
        <v>1</v>
      </c>
      <c r="R162" s="21">
        <f t="shared" ca="1" si="34"/>
        <v>5044</v>
      </c>
      <c r="S162" s="308">
        <f t="shared" ca="1" si="25"/>
        <v>15</v>
      </c>
    </row>
    <row r="163" spans="1:19">
      <c r="A163" s="3228" t="s">
        <v>4150</v>
      </c>
      <c r="B163" s="3228">
        <v>29.47</v>
      </c>
      <c r="C163" s="21">
        <f t="shared" si="26"/>
        <v>1</v>
      </c>
      <c r="D163" s="3228" t="s">
        <v>4009</v>
      </c>
      <c r="E163" s="21">
        <f t="shared" si="27"/>
        <v>1</v>
      </c>
      <c r="F163" s="635"/>
      <c r="G163" s="21">
        <f t="shared" si="28"/>
        <v>1</v>
      </c>
      <c r="H163" s="635"/>
      <c r="I163" s="21">
        <f t="shared" si="29"/>
        <v>1</v>
      </c>
      <c r="J163" s="635"/>
      <c r="K163" s="21">
        <f t="shared" si="30"/>
        <v>1</v>
      </c>
      <c r="L163" s="635"/>
      <c r="M163" s="21">
        <f t="shared" si="31"/>
        <v>1</v>
      </c>
      <c r="N163" s="635"/>
      <c r="O163" s="21">
        <f t="shared" si="32"/>
        <v>1</v>
      </c>
      <c r="P163" s="635"/>
      <c r="Q163" s="21">
        <f t="shared" si="33"/>
        <v>1</v>
      </c>
      <c r="R163" s="21">
        <f t="shared" ca="1" si="34"/>
        <v>5044</v>
      </c>
      <c r="S163" s="308">
        <f t="shared" ca="1" si="25"/>
        <v>15</v>
      </c>
    </row>
    <row r="164" spans="1:19">
      <c r="A164" s="3228" t="s">
        <v>5315</v>
      </c>
      <c r="B164" s="3228">
        <v>29.47</v>
      </c>
      <c r="C164" s="21">
        <f t="shared" si="26"/>
        <v>1</v>
      </c>
      <c r="D164" s="3228" t="s">
        <v>5171</v>
      </c>
      <c r="E164" s="21">
        <f t="shared" si="27"/>
        <v>1</v>
      </c>
      <c r="F164" s="635"/>
      <c r="G164" s="21">
        <f t="shared" si="28"/>
        <v>1</v>
      </c>
      <c r="H164" s="635"/>
      <c r="I164" s="21">
        <f t="shared" si="29"/>
        <v>1</v>
      </c>
      <c r="J164" s="635"/>
      <c r="K164" s="21">
        <f t="shared" si="30"/>
        <v>1</v>
      </c>
      <c r="L164" s="635"/>
      <c r="M164" s="21">
        <f t="shared" si="31"/>
        <v>1</v>
      </c>
      <c r="N164" s="635"/>
      <c r="O164" s="21">
        <f t="shared" si="32"/>
        <v>1</v>
      </c>
      <c r="P164" s="635"/>
      <c r="Q164" s="21">
        <f t="shared" si="33"/>
        <v>1</v>
      </c>
      <c r="R164" s="21">
        <f t="shared" ca="1" si="34"/>
        <v>5044</v>
      </c>
      <c r="S164" s="308">
        <f t="shared" ca="1" si="25"/>
        <v>15</v>
      </c>
    </row>
    <row r="165" spans="1:19">
      <c r="A165" s="3228" t="s">
        <v>4152</v>
      </c>
      <c r="B165" s="3228">
        <v>29.47</v>
      </c>
      <c r="C165" s="21">
        <f t="shared" si="26"/>
        <v>1</v>
      </c>
      <c r="D165" s="3228" t="s">
        <v>4009</v>
      </c>
      <c r="E165" s="21">
        <f t="shared" si="27"/>
        <v>1</v>
      </c>
      <c r="F165" s="635"/>
      <c r="G165" s="21">
        <f t="shared" si="28"/>
        <v>1</v>
      </c>
      <c r="H165" s="635"/>
      <c r="I165" s="21">
        <f t="shared" si="29"/>
        <v>1</v>
      </c>
      <c r="J165" s="635"/>
      <c r="K165" s="21">
        <f t="shared" si="30"/>
        <v>1</v>
      </c>
      <c r="L165" s="635"/>
      <c r="M165" s="21">
        <f t="shared" si="31"/>
        <v>1</v>
      </c>
      <c r="N165" s="635"/>
      <c r="O165" s="21">
        <f t="shared" si="32"/>
        <v>1</v>
      </c>
      <c r="P165" s="635"/>
      <c r="Q165" s="21">
        <f t="shared" si="33"/>
        <v>1</v>
      </c>
      <c r="R165" s="21">
        <f t="shared" ca="1" si="34"/>
        <v>5044</v>
      </c>
      <c r="S165" s="308">
        <f t="shared" ca="1" si="25"/>
        <v>15</v>
      </c>
    </row>
    <row r="166" spans="1:19">
      <c r="A166" s="3228" t="s">
        <v>5317</v>
      </c>
      <c r="B166" s="3228">
        <v>29.47</v>
      </c>
      <c r="C166" s="21">
        <f t="shared" si="26"/>
        <v>1</v>
      </c>
      <c r="D166" s="3228" t="s">
        <v>5171</v>
      </c>
      <c r="E166" s="21">
        <f t="shared" si="27"/>
        <v>1</v>
      </c>
      <c r="F166" s="635"/>
      <c r="G166" s="21">
        <f t="shared" si="28"/>
        <v>1</v>
      </c>
      <c r="H166" s="635"/>
      <c r="I166" s="21">
        <f t="shared" si="29"/>
        <v>1</v>
      </c>
      <c r="J166" s="635"/>
      <c r="K166" s="21">
        <f t="shared" si="30"/>
        <v>1</v>
      </c>
      <c r="L166" s="635"/>
      <c r="M166" s="21">
        <f t="shared" si="31"/>
        <v>1</v>
      </c>
      <c r="N166" s="635"/>
      <c r="O166" s="21">
        <f t="shared" si="32"/>
        <v>1</v>
      </c>
      <c r="P166" s="635"/>
      <c r="Q166" s="21">
        <f t="shared" si="33"/>
        <v>1</v>
      </c>
      <c r="R166" s="21">
        <f t="shared" ca="1" si="34"/>
        <v>5044</v>
      </c>
      <c r="S166" s="308">
        <f t="shared" ca="1" si="25"/>
        <v>15</v>
      </c>
    </row>
    <row r="167" spans="1:19">
      <c r="A167" s="3228" t="s">
        <v>4154</v>
      </c>
      <c r="B167" s="3228">
        <v>29.47</v>
      </c>
      <c r="C167" s="21">
        <f t="shared" si="26"/>
        <v>1</v>
      </c>
      <c r="D167" s="3237" t="s">
        <v>4041</v>
      </c>
      <c r="E167" s="21">
        <f t="shared" si="27"/>
        <v>1</v>
      </c>
      <c r="F167" s="635"/>
      <c r="G167" s="21">
        <f t="shared" si="28"/>
        <v>1</v>
      </c>
      <c r="H167" s="635"/>
      <c r="I167" s="21">
        <f t="shared" si="29"/>
        <v>1</v>
      </c>
      <c r="J167" s="635"/>
      <c r="K167" s="21">
        <f t="shared" si="30"/>
        <v>1</v>
      </c>
      <c r="L167" s="635"/>
      <c r="M167" s="21">
        <f t="shared" si="31"/>
        <v>1</v>
      </c>
      <c r="N167" s="635"/>
      <c r="O167" s="21">
        <f t="shared" si="32"/>
        <v>1</v>
      </c>
      <c r="P167" s="635"/>
      <c r="Q167" s="21">
        <f t="shared" si="33"/>
        <v>1</v>
      </c>
      <c r="R167" s="21">
        <f t="shared" ca="1" si="34"/>
        <v>5044</v>
      </c>
      <c r="S167" s="308">
        <f t="shared" ca="1" si="25"/>
        <v>15</v>
      </c>
    </row>
    <row r="168" spans="1:19">
      <c r="A168" s="3228" t="s">
        <v>5319</v>
      </c>
      <c r="B168" s="3228">
        <v>29.47</v>
      </c>
      <c r="C168" s="21">
        <f t="shared" si="26"/>
        <v>1</v>
      </c>
      <c r="D168" s="3228" t="s">
        <v>5171</v>
      </c>
      <c r="E168" s="21">
        <f t="shared" si="27"/>
        <v>1</v>
      </c>
      <c r="F168" s="635"/>
      <c r="G168" s="21">
        <f t="shared" si="28"/>
        <v>1</v>
      </c>
      <c r="H168" s="635"/>
      <c r="I168" s="21">
        <f t="shared" si="29"/>
        <v>1</v>
      </c>
      <c r="J168" s="635"/>
      <c r="K168" s="21">
        <f t="shared" si="30"/>
        <v>1</v>
      </c>
      <c r="L168" s="635"/>
      <c r="M168" s="21">
        <f t="shared" si="31"/>
        <v>1</v>
      </c>
      <c r="N168" s="635"/>
      <c r="O168" s="21">
        <f t="shared" si="32"/>
        <v>1</v>
      </c>
      <c r="P168" s="635"/>
      <c r="Q168" s="21">
        <f t="shared" si="33"/>
        <v>1</v>
      </c>
      <c r="R168" s="21">
        <f t="shared" ca="1" si="34"/>
        <v>5044</v>
      </c>
      <c r="S168" s="308">
        <f t="shared" ca="1" si="25"/>
        <v>15</v>
      </c>
    </row>
    <row r="169" spans="1:19">
      <c r="A169" s="3228" t="s">
        <v>4156</v>
      </c>
      <c r="B169" s="3228">
        <v>29.47</v>
      </c>
      <c r="C169" s="21">
        <f t="shared" si="26"/>
        <v>1</v>
      </c>
      <c r="D169" s="3228" t="s">
        <v>4009</v>
      </c>
      <c r="E169" s="21">
        <f t="shared" si="27"/>
        <v>1</v>
      </c>
      <c r="F169" s="635"/>
      <c r="G169" s="21">
        <f t="shared" si="28"/>
        <v>1</v>
      </c>
      <c r="H169" s="635"/>
      <c r="I169" s="21">
        <f t="shared" si="29"/>
        <v>1</v>
      </c>
      <c r="J169" s="635"/>
      <c r="K169" s="21">
        <f t="shared" si="30"/>
        <v>1</v>
      </c>
      <c r="L169" s="635"/>
      <c r="M169" s="21">
        <f t="shared" si="31"/>
        <v>1</v>
      </c>
      <c r="N169" s="635"/>
      <c r="O169" s="21">
        <f t="shared" si="32"/>
        <v>1</v>
      </c>
      <c r="P169" s="635"/>
      <c r="Q169" s="21">
        <f t="shared" si="33"/>
        <v>1</v>
      </c>
      <c r="R169" s="21">
        <f t="shared" ca="1" si="34"/>
        <v>5044</v>
      </c>
      <c r="S169" s="308">
        <f t="shared" ca="1" si="25"/>
        <v>15</v>
      </c>
    </row>
    <row r="170" spans="1:19">
      <c r="A170" s="3228" t="s">
        <v>5321</v>
      </c>
      <c r="B170" s="3228">
        <v>29.47</v>
      </c>
      <c r="C170" s="21">
        <f t="shared" si="26"/>
        <v>1</v>
      </c>
      <c r="D170" s="3228" t="s">
        <v>5171</v>
      </c>
      <c r="E170" s="21">
        <f t="shared" si="27"/>
        <v>1</v>
      </c>
      <c r="F170" s="635"/>
      <c r="G170" s="21">
        <f t="shared" si="28"/>
        <v>1</v>
      </c>
      <c r="H170" s="635"/>
      <c r="I170" s="21">
        <f t="shared" si="29"/>
        <v>1</v>
      </c>
      <c r="J170" s="635"/>
      <c r="K170" s="21">
        <f t="shared" si="30"/>
        <v>1</v>
      </c>
      <c r="L170" s="635"/>
      <c r="M170" s="21">
        <f t="shared" si="31"/>
        <v>1</v>
      </c>
      <c r="N170" s="635"/>
      <c r="O170" s="21">
        <f t="shared" si="32"/>
        <v>1</v>
      </c>
      <c r="P170" s="635"/>
      <c r="Q170" s="21">
        <f t="shared" si="33"/>
        <v>1</v>
      </c>
      <c r="R170" s="21">
        <f t="shared" ca="1" si="34"/>
        <v>5044</v>
      </c>
      <c r="S170" s="308">
        <f t="shared" ca="1" si="25"/>
        <v>15</v>
      </c>
    </row>
    <row r="171" spans="1:19">
      <c r="A171" s="3228" t="s">
        <v>4158</v>
      </c>
      <c r="B171" s="3228">
        <v>29.47</v>
      </c>
      <c r="C171" s="21">
        <f t="shared" si="26"/>
        <v>1</v>
      </c>
      <c r="D171" s="3228" t="s">
        <v>4009</v>
      </c>
      <c r="E171" s="21">
        <f t="shared" si="27"/>
        <v>1</v>
      </c>
      <c r="F171" s="635"/>
      <c r="G171" s="21">
        <f t="shared" si="28"/>
        <v>1</v>
      </c>
      <c r="H171" s="635"/>
      <c r="I171" s="21">
        <f t="shared" si="29"/>
        <v>1</v>
      </c>
      <c r="J171" s="635"/>
      <c r="K171" s="21">
        <f t="shared" si="30"/>
        <v>1</v>
      </c>
      <c r="L171" s="635"/>
      <c r="M171" s="21">
        <f t="shared" si="31"/>
        <v>1</v>
      </c>
      <c r="N171" s="635"/>
      <c r="O171" s="21">
        <f t="shared" si="32"/>
        <v>1</v>
      </c>
      <c r="P171" s="635"/>
      <c r="Q171" s="21">
        <f t="shared" si="33"/>
        <v>1</v>
      </c>
      <c r="R171" s="21">
        <f t="shared" ca="1" si="34"/>
        <v>5044</v>
      </c>
      <c r="S171" s="308">
        <f t="shared" ca="1" si="25"/>
        <v>15</v>
      </c>
    </row>
    <row r="172" spans="1:19">
      <c r="A172" s="3228" t="s">
        <v>5323</v>
      </c>
      <c r="B172" s="3228">
        <v>29.47</v>
      </c>
      <c r="C172" s="21">
        <f t="shared" si="26"/>
        <v>1</v>
      </c>
      <c r="D172" s="3228" t="s">
        <v>5171</v>
      </c>
      <c r="E172" s="21">
        <f t="shared" si="27"/>
        <v>1</v>
      </c>
      <c r="F172" s="635"/>
      <c r="G172" s="21">
        <f t="shared" si="28"/>
        <v>1</v>
      </c>
      <c r="H172" s="635"/>
      <c r="I172" s="21">
        <f t="shared" si="29"/>
        <v>1</v>
      </c>
      <c r="J172" s="635"/>
      <c r="K172" s="21">
        <f t="shared" si="30"/>
        <v>1</v>
      </c>
      <c r="L172" s="635"/>
      <c r="M172" s="21">
        <f t="shared" si="31"/>
        <v>1</v>
      </c>
      <c r="N172" s="635"/>
      <c r="O172" s="21">
        <f t="shared" si="32"/>
        <v>1</v>
      </c>
      <c r="P172" s="635"/>
      <c r="Q172" s="21">
        <f t="shared" si="33"/>
        <v>1</v>
      </c>
      <c r="R172" s="21">
        <f t="shared" ca="1" si="34"/>
        <v>5044</v>
      </c>
      <c r="S172" s="308">
        <f t="shared" ca="1" si="25"/>
        <v>15</v>
      </c>
    </row>
    <row r="173" spans="1:19">
      <c r="A173" s="3228" t="s">
        <v>4160</v>
      </c>
      <c r="B173" s="3228">
        <v>29.47</v>
      </c>
      <c r="C173" s="21">
        <f t="shared" si="26"/>
        <v>1</v>
      </c>
      <c r="D173" s="3228" t="s">
        <v>4009</v>
      </c>
      <c r="E173" s="21">
        <f t="shared" si="27"/>
        <v>1</v>
      </c>
      <c r="F173" s="635"/>
      <c r="G173" s="21">
        <f t="shared" si="28"/>
        <v>1</v>
      </c>
      <c r="H173" s="635"/>
      <c r="I173" s="21">
        <f t="shared" si="29"/>
        <v>1</v>
      </c>
      <c r="J173" s="635"/>
      <c r="K173" s="21">
        <f t="shared" si="30"/>
        <v>1</v>
      </c>
      <c r="L173" s="635"/>
      <c r="M173" s="21">
        <f t="shared" si="31"/>
        <v>1</v>
      </c>
      <c r="N173" s="635"/>
      <c r="O173" s="21">
        <f t="shared" si="32"/>
        <v>1</v>
      </c>
      <c r="P173" s="635"/>
      <c r="Q173" s="21">
        <f t="shared" si="33"/>
        <v>1</v>
      </c>
      <c r="R173" s="21">
        <f t="shared" ca="1" si="34"/>
        <v>5044</v>
      </c>
      <c r="S173" s="308">
        <f t="shared" ca="1" si="25"/>
        <v>15</v>
      </c>
    </row>
    <row r="174" spans="1:19">
      <c r="A174" s="3228" t="s">
        <v>5325</v>
      </c>
      <c r="B174" s="3228">
        <v>29.47</v>
      </c>
      <c r="C174" s="21">
        <f t="shared" si="26"/>
        <v>1</v>
      </c>
      <c r="D174" s="3228" t="s">
        <v>5171</v>
      </c>
      <c r="E174" s="21">
        <f t="shared" si="27"/>
        <v>1</v>
      </c>
      <c r="F174" s="635"/>
      <c r="G174" s="21">
        <f t="shared" si="28"/>
        <v>1</v>
      </c>
      <c r="H174" s="635"/>
      <c r="I174" s="21">
        <f t="shared" si="29"/>
        <v>1</v>
      </c>
      <c r="J174" s="635"/>
      <c r="K174" s="21">
        <f t="shared" si="30"/>
        <v>1</v>
      </c>
      <c r="L174" s="635"/>
      <c r="M174" s="21">
        <f t="shared" si="31"/>
        <v>1</v>
      </c>
      <c r="N174" s="635"/>
      <c r="O174" s="21">
        <f t="shared" si="32"/>
        <v>1</v>
      </c>
      <c r="P174" s="635"/>
      <c r="Q174" s="21">
        <f t="shared" si="33"/>
        <v>1</v>
      </c>
      <c r="R174" s="21">
        <f t="shared" ca="1" si="34"/>
        <v>5044</v>
      </c>
      <c r="S174" s="308">
        <f t="shared" ca="1" si="25"/>
        <v>15</v>
      </c>
    </row>
    <row r="175" spans="1:19">
      <c r="A175" s="3228" t="s">
        <v>4162</v>
      </c>
      <c r="B175" s="3228">
        <v>29.47</v>
      </c>
      <c r="C175" s="21">
        <f t="shared" si="26"/>
        <v>1</v>
      </c>
      <c r="D175" s="3228" t="s">
        <v>4009</v>
      </c>
      <c r="E175" s="21">
        <f t="shared" si="27"/>
        <v>1</v>
      </c>
      <c r="F175" s="635"/>
      <c r="G175" s="21">
        <f t="shared" si="28"/>
        <v>1</v>
      </c>
      <c r="H175" s="635"/>
      <c r="I175" s="21">
        <f t="shared" si="29"/>
        <v>1</v>
      </c>
      <c r="J175" s="635"/>
      <c r="K175" s="21">
        <f t="shared" si="30"/>
        <v>1</v>
      </c>
      <c r="L175" s="635"/>
      <c r="M175" s="21">
        <f t="shared" si="31"/>
        <v>1</v>
      </c>
      <c r="N175" s="635"/>
      <c r="O175" s="21">
        <f t="shared" si="32"/>
        <v>1</v>
      </c>
      <c r="P175" s="635"/>
      <c r="Q175" s="21">
        <f t="shared" si="33"/>
        <v>1</v>
      </c>
      <c r="R175" s="21">
        <f t="shared" ca="1" si="34"/>
        <v>5044</v>
      </c>
      <c r="S175" s="308">
        <f t="shared" ca="1" si="25"/>
        <v>15</v>
      </c>
    </row>
    <row r="176" spans="1:19">
      <c r="A176" s="3228" t="s">
        <v>5327</v>
      </c>
      <c r="B176" s="3228">
        <v>29.47</v>
      </c>
      <c r="C176" s="21">
        <f t="shared" si="26"/>
        <v>1</v>
      </c>
      <c r="D176" s="3228" t="s">
        <v>5171</v>
      </c>
      <c r="E176" s="21">
        <f t="shared" si="27"/>
        <v>1</v>
      </c>
      <c r="F176" s="635"/>
      <c r="G176" s="21">
        <f t="shared" si="28"/>
        <v>1</v>
      </c>
      <c r="H176" s="635"/>
      <c r="I176" s="21">
        <f t="shared" si="29"/>
        <v>1</v>
      </c>
      <c r="J176" s="635"/>
      <c r="K176" s="21">
        <f t="shared" si="30"/>
        <v>1</v>
      </c>
      <c r="L176" s="635"/>
      <c r="M176" s="21">
        <f t="shared" si="31"/>
        <v>1</v>
      </c>
      <c r="N176" s="635"/>
      <c r="O176" s="21">
        <f t="shared" si="32"/>
        <v>1</v>
      </c>
      <c r="P176" s="635"/>
      <c r="Q176" s="21">
        <f t="shared" si="33"/>
        <v>1</v>
      </c>
      <c r="R176" s="21">
        <f t="shared" ca="1" si="34"/>
        <v>5044</v>
      </c>
      <c r="S176" s="308">
        <f t="shared" ca="1" si="25"/>
        <v>15</v>
      </c>
    </row>
    <row r="177" spans="1:19">
      <c r="A177" s="3228" t="s">
        <v>4164</v>
      </c>
      <c r="B177" s="3228">
        <v>29.47</v>
      </c>
      <c r="C177" s="21">
        <f t="shared" si="26"/>
        <v>1</v>
      </c>
      <c r="D177" s="3228" t="s">
        <v>4009</v>
      </c>
      <c r="E177" s="21">
        <f t="shared" si="27"/>
        <v>1</v>
      </c>
      <c r="F177" s="635"/>
      <c r="G177" s="21">
        <f t="shared" si="28"/>
        <v>1</v>
      </c>
      <c r="H177" s="635"/>
      <c r="I177" s="21">
        <f t="shared" si="29"/>
        <v>1</v>
      </c>
      <c r="J177" s="635"/>
      <c r="K177" s="21">
        <f t="shared" si="30"/>
        <v>1</v>
      </c>
      <c r="L177" s="635"/>
      <c r="M177" s="21">
        <f t="shared" si="31"/>
        <v>1</v>
      </c>
      <c r="N177" s="635"/>
      <c r="O177" s="21">
        <f t="shared" si="32"/>
        <v>1</v>
      </c>
      <c r="P177" s="635"/>
      <c r="Q177" s="21">
        <f t="shared" si="33"/>
        <v>1</v>
      </c>
      <c r="R177" s="21">
        <f t="shared" ca="1" si="34"/>
        <v>5044</v>
      </c>
      <c r="S177" s="308">
        <f t="shared" ca="1" si="25"/>
        <v>15</v>
      </c>
    </row>
    <row r="178" spans="1:19">
      <c r="A178" s="3228" t="s">
        <v>5329</v>
      </c>
      <c r="B178" s="3228">
        <v>29.47</v>
      </c>
      <c r="C178" s="21">
        <f t="shared" si="26"/>
        <v>1</v>
      </c>
      <c r="D178" s="3228" t="s">
        <v>5171</v>
      </c>
      <c r="E178" s="21">
        <f t="shared" si="27"/>
        <v>1</v>
      </c>
      <c r="F178" s="635"/>
      <c r="G178" s="21">
        <f t="shared" si="28"/>
        <v>1</v>
      </c>
      <c r="H178" s="635"/>
      <c r="I178" s="21">
        <f t="shared" si="29"/>
        <v>1</v>
      </c>
      <c r="J178" s="635"/>
      <c r="K178" s="21">
        <f t="shared" si="30"/>
        <v>1</v>
      </c>
      <c r="L178" s="635"/>
      <c r="M178" s="21">
        <f t="shared" si="31"/>
        <v>1</v>
      </c>
      <c r="N178" s="635"/>
      <c r="O178" s="21">
        <f t="shared" si="32"/>
        <v>1</v>
      </c>
      <c r="P178" s="635"/>
      <c r="Q178" s="21">
        <f t="shared" si="33"/>
        <v>1</v>
      </c>
      <c r="R178" s="21">
        <f t="shared" ca="1" si="34"/>
        <v>5044</v>
      </c>
      <c r="S178" s="308">
        <f t="shared" ca="1" si="25"/>
        <v>15</v>
      </c>
    </row>
    <row r="179" spans="1:19">
      <c r="A179" s="3228" t="s">
        <v>4166</v>
      </c>
      <c r="B179" s="3228">
        <v>29.47</v>
      </c>
      <c r="C179" s="21">
        <f t="shared" si="26"/>
        <v>1</v>
      </c>
      <c r="D179" s="3228" t="s">
        <v>4009</v>
      </c>
      <c r="E179" s="21">
        <f t="shared" si="27"/>
        <v>1</v>
      </c>
      <c r="F179" s="635"/>
      <c r="G179" s="21">
        <f t="shared" si="28"/>
        <v>1</v>
      </c>
      <c r="H179" s="635"/>
      <c r="I179" s="21">
        <f t="shared" si="29"/>
        <v>1</v>
      </c>
      <c r="J179" s="635"/>
      <c r="K179" s="21">
        <f t="shared" si="30"/>
        <v>1</v>
      </c>
      <c r="L179" s="635"/>
      <c r="M179" s="21">
        <f t="shared" si="31"/>
        <v>1</v>
      </c>
      <c r="N179" s="635"/>
      <c r="O179" s="21">
        <f t="shared" si="32"/>
        <v>1</v>
      </c>
      <c r="P179" s="635"/>
      <c r="Q179" s="21">
        <f t="shared" si="33"/>
        <v>1</v>
      </c>
      <c r="R179" s="21">
        <f t="shared" ca="1" si="34"/>
        <v>5044</v>
      </c>
      <c r="S179" s="308">
        <f t="shared" ca="1" si="25"/>
        <v>15</v>
      </c>
    </row>
    <row r="180" spans="1:19">
      <c r="A180" s="3228" t="s">
        <v>5331</v>
      </c>
      <c r="B180" s="3228">
        <v>29.76</v>
      </c>
      <c r="C180" s="21">
        <f t="shared" si="26"/>
        <v>1</v>
      </c>
      <c r="D180" s="3237" t="s">
        <v>5208</v>
      </c>
      <c r="E180" s="21">
        <f t="shared" si="27"/>
        <v>1</v>
      </c>
      <c r="F180" s="635"/>
      <c r="G180" s="21">
        <f t="shared" si="28"/>
        <v>1</v>
      </c>
      <c r="H180" s="635"/>
      <c r="I180" s="21">
        <f t="shared" si="29"/>
        <v>1</v>
      </c>
      <c r="J180" s="635"/>
      <c r="K180" s="21">
        <f t="shared" si="30"/>
        <v>1</v>
      </c>
      <c r="L180" s="635"/>
      <c r="M180" s="21">
        <f t="shared" si="31"/>
        <v>1</v>
      </c>
      <c r="N180" s="635"/>
      <c r="O180" s="21">
        <f t="shared" si="32"/>
        <v>1</v>
      </c>
      <c r="P180" s="635"/>
      <c r="Q180" s="21">
        <f t="shared" si="33"/>
        <v>1</v>
      </c>
      <c r="R180" s="21">
        <f t="shared" ca="1" si="34"/>
        <v>5044</v>
      </c>
      <c r="S180" s="308">
        <f t="shared" ca="1" si="25"/>
        <v>15</v>
      </c>
    </row>
    <row r="181" spans="1:19">
      <c r="A181" s="3228" t="s">
        <v>4168</v>
      </c>
      <c r="B181" s="3228">
        <v>29.76</v>
      </c>
      <c r="C181" s="21">
        <f t="shared" si="26"/>
        <v>1</v>
      </c>
      <c r="D181" s="3237" t="s">
        <v>4041</v>
      </c>
      <c r="E181" s="21">
        <f t="shared" si="27"/>
        <v>1</v>
      </c>
      <c r="F181" s="635"/>
      <c r="G181" s="21">
        <f t="shared" si="28"/>
        <v>1</v>
      </c>
      <c r="H181" s="635"/>
      <c r="I181" s="21">
        <f t="shared" si="29"/>
        <v>1</v>
      </c>
      <c r="J181" s="635"/>
      <c r="K181" s="21">
        <f t="shared" si="30"/>
        <v>1</v>
      </c>
      <c r="L181" s="635"/>
      <c r="M181" s="21">
        <f t="shared" si="31"/>
        <v>1</v>
      </c>
      <c r="N181" s="635"/>
      <c r="O181" s="21">
        <f t="shared" si="32"/>
        <v>1</v>
      </c>
      <c r="P181" s="635"/>
      <c r="Q181" s="21">
        <f t="shared" si="33"/>
        <v>1</v>
      </c>
      <c r="R181" s="21">
        <f t="shared" ca="1" si="34"/>
        <v>5044</v>
      </c>
      <c r="S181" s="308">
        <f t="shared" ca="1" si="25"/>
        <v>15</v>
      </c>
    </row>
    <row r="182" spans="1:19">
      <c r="A182" s="3228" t="s">
        <v>5333</v>
      </c>
      <c r="B182" s="3228">
        <v>29.76</v>
      </c>
      <c r="C182" s="21">
        <f t="shared" si="26"/>
        <v>1</v>
      </c>
      <c r="D182" s="3228" t="s">
        <v>5171</v>
      </c>
      <c r="E182" s="21">
        <f t="shared" si="27"/>
        <v>1</v>
      </c>
      <c r="F182" s="635"/>
      <c r="G182" s="21">
        <f t="shared" si="28"/>
        <v>1</v>
      </c>
      <c r="H182" s="635"/>
      <c r="I182" s="21">
        <f t="shared" si="29"/>
        <v>1</v>
      </c>
      <c r="J182" s="635"/>
      <c r="K182" s="21">
        <f t="shared" si="30"/>
        <v>1</v>
      </c>
      <c r="L182" s="635"/>
      <c r="M182" s="21">
        <f t="shared" si="31"/>
        <v>1</v>
      </c>
      <c r="N182" s="635"/>
      <c r="O182" s="21">
        <f t="shared" si="32"/>
        <v>1</v>
      </c>
      <c r="P182" s="635"/>
      <c r="Q182" s="21">
        <f t="shared" si="33"/>
        <v>1</v>
      </c>
      <c r="R182" s="21">
        <f t="shared" ca="1" si="34"/>
        <v>5044</v>
      </c>
      <c r="S182" s="308">
        <f t="shared" ca="1" si="25"/>
        <v>15</v>
      </c>
    </row>
    <row r="183" spans="1:19">
      <c r="A183" s="3228" t="s">
        <v>4170</v>
      </c>
      <c r="B183" s="3228">
        <v>29.76</v>
      </c>
      <c r="C183" s="21">
        <f t="shared" si="26"/>
        <v>1</v>
      </c>
      <c r="D183" s="3228" t="s">
        <v>4009</v>
      </c>
      <c r="E183" s="21">
        <f t="shared" si="27"/>
        <v>1</v>
      </c>
      <c r="F183" s="635"/>
      <c r="G183" s="21">
        <f t="shared" si="28"/>
        <v>1</v>
      </c>
      <c r="H183" s="635"/>
      <c r="I183" s="21">
        <f t="shared" si="29"/>
        <v>1</v>
      </c>
      <c r="J183" s="635"/>
      <c r="K183" s="21">
        <f t="shared" si="30"/>
        <v>1</v>
      </c>
      <c r="L183" s="635"/>
      <c r="M183" s="21">
        <f t="shared" si="31"/>
        <v>1</v>
      </c>
      <c r="N183" s="635"/>
      <c r="O183" s="21">
        <f t="shared" si="32"/>
        <v>1</v>
      </c>
      <c r="P183" s="635"/>
      <c r="Q183" s="21">
        <f t="shared" si="33"/>
        <v>1</v>
      </c>
      <c r="R183" s="21">
        <f t="shared" ca="1" si="34"/>
        <v>5044</v>
      </c>
      <c r="S183" s="308">
        <f t="shared" ca="1" si="25"/>
        <v>15</v>
      </c>
    </row>
    <row r="184" spans="1:19">
      <c r="A184" s="3228" t="s">
        <v>5335</v>
      </c>
      <c r="B184" s="3228">
        <v>29.76</v>
      </c>
      <c r="C184" s="21">
        <f t="shared" si="26"/>
        <v>1</v>
      </c>
      <c r="D184" s="3228" t="s">
        <v>5171</v>
      </c>
      <c r="E184" s="21">
        <f t="shared" si="27"/>
        <v>1</v>
      </c>
      <c r="F184" s="635"/>
      <c r="G184" s="21">
        <f t="shared" si="28"/>
        <v>1</v>
      </c>
      <c r="H184" s="635"/>
      <c r="I184" s="21">
        <f t="shared" si="29"/>
        <v>1</v>
      </c>
      <c r="J184" s="635"/>
      <c r="K184" s="21">
        <f t="shared" si="30"/>
        <v>1</v>
      </c>
      <c r="L184" s="635"/>
      <c r="M184" s="21">
        <f t="shared" si="31"/>
        <v>1</v>
      </c>
      <c r="N184" s="635"/>
      <c r="O184" s="21">
        <f t="shared" si="32"/>
        <v>1</v>
      </c>
      <c r="P184" s="635"/>
      <c r="Q184" s="21">
        <f t="shared" si="33"/>
        <v>1</v>
      </c>
      <c r="R184" s="21">
        <f t="shared" ca="1" si="34"/>
        <v>5044</v>
      </c>
      <c r="S184" s="308">
        <f t="shared" ca="1" si="25"/>
        <v>15</v>
      </c>
    </row>
    <row r="185" spans="1:19">
      <c r="A185" s="3228" t="s">
        <v>4172</v>
      </c>
      <c r="B185" s="3228">
        <v>29.76</v>
      </c>
      <c r="C185" s="21">
        <f t="shared" si="26"/>
        <v>1</v>
      </c>
      <c r="D185" s="3228" t="s">
        <v>4009</v>
      </c>
      <c r="E185" s="21">
        <f t="shared" si="27"/>
        <v>1</v>
      </c>
      <c r="F185" s="635"/>
      <c r="G185" s="21">
        <f t="shared" si="28"/>
        <v>1</v>
      </c>
      <c r="H185" s="635"/>
      <c r="I185" s="21">
        <f t="shared" si="29"/>
        <v>1</v>
      </c>
      <c r="J185" s="635"/>
      <c r="K185" s="21">
        <f t="shared" si="30"/>
        <v>1</v>
      </c>
      <c r="L185" s="635"/>
      <c r="M185" s="21">
        <f t="shared" si="31"/>
        <v>1</v>
      </c>
      <c r="N185" s="635"/>
      <c r="O185" s="21">
        <f t="shared" si="32"/>
        <v>1</v>
      </c>
      <c r="P185" s="635"/>
      <c r="Q185" s="21">
        <f t="shared" si="33"/>
        <v>1</v>
      </c>
      <c r="R185" s="21">
        <f t="shared" ca="1" si="34"/>
        <v>5044</v>
      </c>
      <c r="S185" s="308">
        <f t="shared" ca="1" si="25"/>
        <v>15</v>
      </c>
    </row>
    <row r="186" spans="1:19">
      <c r="A186" s="3228" t="s">
        <v>5337</v>
      </c>
      <c r="B186" s="3228">
        <v>29.76</v>
      </c>
      <c r="C186" s="21">
        <f t="shared" si="26"/>
        <v>1</v>
      </c>
      <c r="D186" s="3228" t="s">
        <v>5171</v>
      </c>
      <c r="E186" s="21">
        <f t="shared" si="27"/>
        <v>1</v>
      </c>
      <c r="F186" s="635"/>
      <c r="G186" s="21">
        <f t="shared" si="28"/>
        <v>1</v>
      </c>
      <c r="H186" s="635"/>
      <c r="I186" s="21">
        <f t="shared" si="29"/>
        <v>1</v>
      </c>
      <c r="J186" s="635"/>
      <c r="K186" s="21">
        <f t="shared" si="30"/>
        <v>1</v>
      </c>
      <c r="L186" s="635"/>
      <c r="M186" s="21">
        <f t="shared" si="31"/>
        <v>1</v>
      </c>
      <c r="N186" s="635"/>
      <c r="O186" s="21">
        <f t="shared" si="32"/>
        <v>1</v>
      </c>
      <c r="P186" s="635"/>
      <c r="Q186" s="21">
        <f t="shared" si="33"/>
        <v>1</v>
      </c>
      <c r="R186" s="21">
        <f t="shared" ca="1" si="34"/>
        <v>5044</v>
      </c>
      <c r="S186" s="308">
        <f t="shared" ca="1" si="25"/>
        <v>15</v>
      </c>
    </row>
    <row r="187" spans="1:19">
      <c r="A187" s="3228" t="s">
        <v>4174</v>
      </c>
      <c r="B187" s="3228">
        <v>29.76</v>
      </c>
      <c r="C187" s="21">
        <f t="shared" si="26"/>
        <v>1</v>
      </c>
      <c r="D187" s="3228" t="s">
        <v>4009</v>
      </c>
      <c r="E187" s="21">
        <f t="shared" si="27"/>
        <v>1</v>
      </c>
      <c r="F187" s="635"/>
      <c r="G187" s="21">
        <f t="shared" si="28"/>
        <v>1</v>
      </c>
      <c r="H187" s="635"/>
      <c r="I187" s="21">
        <f t="shared" si="29"/>
        <v>1</v>
      </c>
      <c r="J187" s="635"/>
      <c r="K187" s="21">
        <f t="shared" si="30"/>
        <v>1</v>
      </c>
      <c r="L187" s="635"/>
      <c r="M187" s="21">
        <f t="shared" si="31"/>
        <v>1</v>
      </c>
      <c r="N187" s="635"/>
      <c r="O187" s="21">
        <f t="shared" si="32"/>
        <v>1</v>
      </c>
      <c r="P187" s="635"/>
      <c r="Q187" s="21">
        <f t="shared" si="33"/>
        <v>1</v>
      </c>
      <c r="R187" s="21">
        <f t="shared" ca="1" si="34"/>
        <v>5044</v>
      </c>
      <c r="S187" s="308">
        <f t="shared" ca="1" si="25"/>
        <v>15</v>
      </c>
    </row>
    <row r="188" spans="1:19">
      <c r="A188" s="3228" t="s">
        <v>5339</v>
      </c>
      <c r="B188" s="3228">
        <v>29.76</v>
      </c>
      <c r="C188" s="21">
        <f t="shared" si="26"/>
        <v>1</v>
      </c>
      <c r="D188" s="3228" t="s">
        <v>5171</v>
      </c>
      <c r="E188" s="21">
        <f t="shared" si="27"/>
        <v>1</v>
      </c>
      <c r="F188" s="635"/>
      <c r="G188" s="21">
        <f t="shared" si="28"/>
        <v>1</v>
      </c>
      <c r="H188" s="635"/>
      <c r="I188" s="21">
        <f t="shared" si="29"/>
        <v>1</v>
      </c>
      <c r="J188" s="635"/>
      <c r="K188" s="21">
        <f t="shared" si="30"/>
        <v>1</v>
      </c>
      <c r="L188" s="635"/>
      <c r="M188" s="21">
        <f t="shared" si="31"/>
        <v>1</v>
      </c>
      <c r="N188" s="635"/>
      <c r="O188" s="21">
        <f t="shared" si="32"/>
        <v>1</v>
      </c>
      <c r="P188" s="635"/>
      <c r="Q188" s="21">
        <f t="shared" si="33"/>
        <v>1</v>
      </c>
      <c r="R188" s="21">
        <f t="shared" ca="1" si="34"/>
        <v>5044</v>
      </c>
      <c r="S188" s="308">
        <f t="shared" ca="1" si="25"/>
        <v>15</v>
      </c>
    </row>
    <row r="189" spans="1:19">
      <c r="A189" s="3228" t="s">
        <v>4176</v>
      </c>
      <c r="B189" s="3228">
        <v>29.76</v>
      </c>
      <c r="C189" s="21">
        <f t="shared" si="26"/>
        <v>1</v>
      </c>
      <c r="D189" s="3228" t="s">
        <v>4009</v>
      </c>
      <c r="E189" s="21">
        <f t="shared" si="27"/>
        <v>1</v>
      </c>
      <c r="F189" s="635"/>
      <c r="G189" s="21">
        <f t="shared" si="28"/>
        <v>1</v>
      </c>
      <c r="H189" s="635"/>
      <c r="I189" s="21">
        <f t="shared" si="29"/>
        <v>1</v>
      </c>
      <c r="J189" s="635"/>
      <c r="K189" s="21">
        <f t="shared" si="30"/>
        <v>1</v>
      </c>
      <c r="L189" s="635"/>
      <c r="M189" s="21">
        <f t="shared" si="31"/>
        <v>1</v>
      </c>
      <c r="N189" s="635"/>
      <c r="O189" s="21">
        <f t="shared" si="32"/>
        <v>1</v>
      </c>
      <c r="P189" s="635"/>
      <c r="Q189" s="21">
        <f t="shared" si="33"/>
        <v>1</v>
      </c>
      <c r="R189" s="21">
        <f t="shared" ca="1" si="34"/>
        <v>5044</v>
      </c>
      <c r="S189" s="308">
        <f t="shared" ca="1" si="25"/>
        <v>15</v>
      </c>
    </row>
    <row r="190" spans="1:19">
      <c r="A190" s="3228" t="s">
        <v>5341</v>
      </c>
      <c r="B190" s="3228">
        <v>29.76</v>
      </c>
      <c r="C190" s="21">
        <f t="shared" si="26"/>
        <v>1</v>
      </c>
      <c r="D190" s="3228" t="s">
        <v>5171</v>
      </c>
      <c r="E190" s="21">
        <f t="shared" si="27"/>
        <v>1</v>
      </c>
      <c r="F190" s="635"/>
      <c r="G190" s="21">
        <f t="shared" si="28"/>
        <v>1</v>
      </c>
      <c r="H190" s="635"/>
      <c r="I190" s="21">
        <f t="shared" si="29"/>
        <v>1</v>
      </c>
      <c r="J190" s="635"/>
      <c r="K190" s="21">
        <f t="shared" si="30"/>
        <v>1</v>
      </c>
      <c r="L190" s="635"/>
      <c r="M190" s="21">
        <f t="shared" si="31"/>
        <v>1</v>
      </c>
      <c r="N190" s="635"/>
      <c r="O190" s="21">
        <f t="shared" si="32"/>
        <v>1</v>
      </c>
      <c r="P190" s="635"/>
      <c r="Q190" s="21">
        <f t="shared" si="33"/>
        <v>1</v>
      </c>
      <c r="R190" s="21">
        <f t="shared" ca="1" si="34"/>
        <v>5044</v>
      </c>
      <c r="S190" s="308">
        <f t="shared" ca="1" si="25"/>
        <v>15</v>
      </c>
    </row>
    <row r="191" spans="1:19">
      <c r="A191" s="3228" t="s">
        <v>4178</v>
      </c>
      <c r="B191" s="3228">
        <v>29.76</v>
      </c>
      <c r="C191" s="21">
        <f t="shared" si="26"/>
        <v>1</v>
      </c>
      <c r="D191" s="3228" t="s">
        <v>4009</v>
      </c>
      <c r="E191" s="21">
        <f t="shared" si="27"/>
        <v>1</v>
      </c>
      <c r="F191" s="635"/>
      <c r="G191" s="21">
        <f t="shared" si="28"/>
        <v>1</v>
      </c>
      <c r="H191" s="635"/>
      <c r="I191" s="21">
        <f t="shared" si="29"/>
        <v>1</v>
      </c>
      <c r="J191" s="635"/>
      <c r="K191" s="21">
        <f t="shared" si="30"/>
        <v>1</v>
      </c>
      <c r="L191" s="635"/>
      <c r="M191" s="21">
        <f t="shared" si="31"/>
        <v>1</v>
      </c>
      <c r="N191" s="635"/>
      <c r="O191" s="21">
        <f t="shared" si="32"/>
        <v>1</v>
      </c>
      <c r="P191" s="635"/>
      <c r="Q191" s="21">
        <f t="shared" si="33"/>
        <v>1</v>
      </c>
      <c r="R191" s="21">
        <f t="shared" ca="1" si="34"/>
        <v>5044</v>
      </c>
      <c r="S191" s="308">
        <f t="shared" ca="1" si="25"/>
        <v>15</v>
      </c>
    </row>
    <row r="192" spans="1:19">
      <c r="A192" s="3228" t="s">
        <v>5343</v>
      </c>
      <c r="B192" s="3228">
        <v>29.76</v>
      </c>
      <c r="C192" s="21">
        <f t="shared" si="26"/>
        <v>1</v>
      </c>
      <c r="D192" s="3228" t="s">
        <v>5171</v>
      </c>
      <c r="E192" s="21">
        <f t="shared" si="27"/>
        <v>1</v>
      </c>
      <c r="F192" s="635"/>
      <c r="G192" s="21">
        <f t="shared" si="28"/>
        <v>1</v>
      </c>
      <c r="H192" s="635"/>
      <c r="I192" s="21">
        <f t="shared" si="29"/>
        <v>1</v>
      </c>
      <c r="J192" s="635"/>
      <c r="K192" s="21">
        <f t="shared" si="30"/>
        <v>1</v>
      </c>
      <c r="L192" s="635"/>
      <c r="M192" s="21">
        <f t="shared" si="31"/>
        <v>1</v>
      </c>
      <c r="N192" s="635"/>
      <c r="O192" s="21">
        <f t="shared" si="32"/>
        <v>1</v>
      </c>
      <c r="P192" s="635"/>
      <c r="Q192" s="21">
        <f t="shared" si="33"/>
        <v>1</v>
      </c>
      <c r="R192" s="21">
        <f t="shared" ca="1" si="34"/>
        <v>5044</v>
      </c>
      <c r="S192" s="308">
        <f t="shared" ca="1" si="25"/>
        <v>15</v>
      </c>
    </row>
    <row r="193" spans="1:19">
      <c r="A193" s="3228" t="s">
        <v>4180</v>
      </c>
      <c r="B193" s="3228">
        <v>29.76</v>
      </c>
      <c r="C193" s="21">
        <f t="shared" si="26"/>
        <v>1</v>
      </c>
      <c r="D193" s="3228" t="s">
        <v>4009</v>
      </c>
      <c r="E193" s="21">
        <f t="shared" si="27"/>
        <v>1</v>
      </c>
      <c r="F193" s="635"/>
      <c r="G193" s="21">
        <f t="shared" si="28"/>
        <v>1</v>
      </c>
      <c r="H193" s="635"/>
      <c r="I193" s="21">
        <f t="shared" si="29"/>
        <v>1</v>
      </c>
      <c r="J193" s="635"/>
      <c r="K193" s="21">
        <f t="shared" si="30"/>
        <v>1</v>
      </c>
      <c r="L193" s="635"/>
      <c r="M193" s="21">
        <f t="shared" si="31"/>
        <v>1</v>
      </c>
      <c r="N193" s="635"/>
      <c r="O193" s="21">
        <f t="shared" si="32"/>
        <v>1</v>
      </c>
      <c r="P193" s="635"/>
      <c r="Q193" s="21">
        <f t="shared" si="33"/>
        <v>1</v>
      </c>
      <c r="R193" s="21">
        <f t="shared" ca="1" si="34"/>
        <v>5044</v>
      </c>
      <c r="S193" s="308">
        <f t="shared" ca="1" si="25"/>
        <v>15</v>
      </c>
    </row>
    <row r="194" spans="1:19">
      <c r="A194" s="3228" t="s">
        <v>5345</v>
      </c>
      <c r="B194" s="3228">
        <v>29.76</v>
      </c>
      <c r="C194" s="21">
        <f t="shared" si="26"/>
        <v>1</v>
      </c>
      <c r="D194" s="3228" t="s">
        <v>5171</v>
      </c>
      <c r="E194" s="21">
        <f t="shared" si="27"/>
        <v>1</v>
      </c>
      <c r="F194" s="635"/>
      <c r="G194" s="21">
        <f t="shared" si="28"/>
        <v>1</v>
      </c>
      <c r="H194" s="635"/>
      <c r="I194" s="21">
        <f t="shared" si="29"/>
        <v>1</v>
      </c>
      <c r="J194" s="635"/>
      <c r="K194" s="21">
        <f t="shared" si="30"/>
        <v>1</v>
      </c>
      <c r="L194" s="635"/>
      <c r="M194" s="21">
        <f t="shared" si="31"/>
        <v>1</v>
      </c>
      <c r="N194" s="635"/>
      <c r="O194" s="21">
        <f t="shared" si="32"/>
        <v>1</v>
      </c>
      <c r="P194" s="635"/>
      <c r="Q194" s="21">
        <f t="shared" si="33"/>
        <v>1</v>
      </c>
      <c r="R194" s="21">
        <f t="shared" ca="1" si="34"/>
        <v>5044</v>
      </c>
      <c r="S194" s="308">
        <f t="shared" ca="1" si="25"/>
        <v>15</v>
      </c>
    </row>
    <row r="195" spans="1:19">
      <c r="A195" s="3228" t="s">
        <v>4182</v>
      </c>
      <c r="B195" s="3228">
        <v>29.76</v>
      </c>
      <c r="C195" s="21">
        <f t="shared" si="26"/>
        <v>1</v>
      </c>
      <c r="D195" s="3228" t="s">
        <v>4009</v>
      </c>
      <c r="E195" s="21">
        <f t="shared" si="27"/>
        <v>1</v>
      </c>
      <c r="F195" s="635"/>
      <c r="G195" s="21">
        <f t="shared" si="28"/>
        <v>1</v>
      </c>
      <c r="H195" s="635"/>
      <c r="I195" s="21">
        <f t="shared" si="29"/>
        <v>1</v>
      </c>
      <c r="J195" s="635"/>
      <c r="K195" s="21">
        <f t="shared" si="30"/>
        <v>1</v>
      </c>
      <c r="L195" s="635"/>
      <c r="M195" s="21">
        <f t="shared" si="31"/>
        <v>1</v>
      </c>
      <c r="N195" s="635"/>
      <c r="O195" s="21">
        <f t="shared" si="32"/>
        <v>1</v>
      </c>
      <c r="P195" s="635"/>
      <c r="Q195" s="21">
        <f t="shared" si="33"/>
        <v>1</v>
      </c>
      <c r="R195" s="21">
        <f t="shared" ca="1" si="34"/>
        <v>5044</v>
      </c>
      <c r="S195" s="308">
        <f t="shared" ca="1" si="25"/>
        <v>15</v>
      </c>
    </row>
    <row r="196" spans="1:19">
      <c r="A196" s="3228" t="s">
        <v>5347</v>
      </c>
      <c r="B196" s="3228">
        <v>29.76</v>
      </c>
      <c r="C196" s="21">
        <f t="shared" si="26"/>
        <v>1</v>
      </c>
      <c r="D196" s="3228" t="s">
        <v>5171</v>
      </c>
      <c r="E196" s="21">
        <f t="shared" si="27"/>
        <v>1</v>
      </c>
      <c r="F196" s="635"/>
      <c r="G196" s="21">
        <f t="shared" si="28"/>
        <v>1</v>
      </c>
      <c r="H196" s="635"/>
      <c r="I196" s="21">
        <f t="shared" si="29"/>
        <v>1</v>
      </c>
      <c r="J196" s="635"/>
      <c r="K196" s="21">
        <f t="shared" si="30"/>
        <v>1</v>
      </c>
      <c r="L196" s="635"/>
      <c r="M196" s="21">
        <f t="shared" si="31"/>
        <v>1</v>
      </c>
      <c r="N196" s="635"/>
      <c r="O196" s="21">
        <f t="shared" si="32"/>
        <v>1</v>
      </c>
      <c r="P196" s="635"/>
      <c r="Q196" s="21">
        <f t="shared" si="33"/>
        <v>1</v>
      </c>
      <c r="R196" s="21">
        <f t="shared" ca="1" si="34"/>
        <v>5044</v>
      </c>
      <c r="S196" s="308">
        <f t="shared" ca="1" si="25"/>
        <v>15</v>
      </c>
    </row>
    <row r="197" spans="1:19">
      <c r="A197" s="3228" t="s">
        <v>4184</v>
      </c>
      <c r="B197" s="3228">
        <v>29.76</v>
      </c>
      <c r="C197" s="21">
        <f t="shared" si="26"/>
        <v>1</v>
      </c>
      <c r="D197" s="3228" t="s">
        <v>4009</v>
      </c>
      <c r="E197" s="21">
        <f t="shared" si="27"/>
        <v>1</v>
      </c>
      <c r="F197" s="635"/>
      <c r="G197" s="21">
        <f t="shared" si="28"/>
        <v>1</v>
      </c>
      <c r="H197" s="635"/>
      <c r="I197" s="21">
        <f t="shared" si="29"/>
        <v>1</v>
      </c>
      <c r="J197" s="635"/>
      <c r="K197" s="21">
        <f t="shared" si="30"/>
        <v>1</v>
      </c>
      <c r="L197" s="635"/>
      <c r="M197" s="21">
        <f t="shared" si="31"/>
        <v>1</v>
      </c>
      <c r="N197" s="635"/>
      <c r="O197" s="21">
        <f t="shared" si="32"/>
        <v>1</v>
      </c>
      <c r="P197" s="635"/>
      <c r="Q197" s="21">
        <f t="shared" si="33"/>
        <v>1</v>
      </c>
      <c r="R197" s="21">
        <f t="shared" ca="1" si="34"/>
        <v>5044</v>
      </c>
      <c r="S197" s="308">
        <f t="shared" ca="1" si="25"/>
        <v>15</v>
      </c>
    </row>
    <row r="198" spans="1:19">
      <c r="A198" s="3228" t="s">
        <v>5349</v>
      </c>
      <c r="B198" s="3228">
        <v>29.76</v>
      </c>
      <c r="C198" s="21">
        <f t="shared" si="26"/>
        <v>1</v>
      </c>
      <c r="D198" s="3228" t="s">
        <v>5171</v>
      </c>
      <c r="E198" s="21">
        <f t="shared" si="27"/>
        <v>1</v>
      </c>
      <c r="F198" s="635"/>
      <c r="G198" s="21">
        <f t="shared" si="28"/>
        <v>1</v>
      </c>
      <c r="H198" s="635"/>
      <c r="I198" s="21">
        <f t="shared" si="29"/>
        <v>1</v>
      </c>
      <c r="J198" s="635"/>
      <c r="K198" s="21">
        <f t="shared" si="30"/>
        <v>1</v>
      </c>
      <c r="L198" s="635"/>
      <c r="M198" s="21">
        <f t="shared" si="31"/>
        <v>1</v>
      </c>
      <c r="N198" s="635"/>
      <c r="O198" s="21">
        <f t="shared" si="32"/>
        <v>1</v>
      </c>
      <c r="P198" s="635"/>
      <c r="Q198" s="21">
        <f t="shared" si="33"/>
        <v>1</v>
      </c>
      <c r="R198" s="21">
        <f t="shared" ca="1" si="34"/>
        <v>5044</v>
      </c>
      <c r="S198" s="308">
        <f t="shared" ca="1" si="25"/>
        <v>15</v>
      </c>
    </row>
    <row r="199" spans="1:19">
      <c r="A199" s="3228" t="s">
        <v>4186</v>
      </c>
      <c r="B199" s="3228">
        <v>29.76</v>
      </c>
      <c r="C199" s="21">
        <f t="shared" si="26"/>
        <v>1</v>
      </c>
      <c r="D199" s="3228" t="s">
        <v>4009</v>
      </c>
      <c r="E199" s="21">
        <f t="shared" si="27"/>
        <v>1</v>
      </c>
      <c r="F199" s="635"/>
      <c r="G199" s="21">
        <f t="shared" si="28"/>
        <v>1</v>
      </c>
      <c r="H199" s="635"/>
      <c r="I199" s="21">
        <f t="shared" si="29"/>
        <v>1</v>
      </c>
      <c r="J199" s="635"/>
      <c r="K199" s="21">
        <f t="shared" si="30"/>
        <v>1</v>
      </c>
      <c r="L199" s="635"/>
      <c r="M199" s="21">
        <f t="shared" si="31"/>
        <v>1</v>
      </c>
      <c r="N199" s="635"/>
      <c r="O199" s="21">
        <f t="shared" si="32"/>
        <v>1</v>
      </c>
      <c r="P199" s="635"/>
      <c r="Q199" s="21">
        <f t="shared" si="33"/>
        <v>1</v>
      </c>
      <c r="R199" s="21">
        <f t="shared" ca="1" si="34"/>
        <v>5044</v>
      </c>
      <c r="S199" s="308">
        <f t="shared" ca="1" si="25"/>
        <v>15</v>
      </c>
    </row>
    <row r="200" spans="1:19">
      <c r="A200" s="3228" t="s">
        <v>5351</v>
      </c>
      <c r="B200" s="3228">
        <v>29.76</v>
      </c>
      <c r="C200" s="21">
        <f t="shared" si="26"/>
        <v>1</v>
      </c>
      <c r="D200" s="3228" t="s">
        <v>5171</v>
      </c>
      <c r="E200" s="21">
        <f t="shared" si="27"/>
        <v>1</v>
      </c>
      <c r="F200" s="635"/>
      <c r="G200" s="21">
        <f t="shared" si="28"/>
        <v>1</v>
      </c>
      <c r="H200" s="635"/>
      <c r="I200" s="21">
        <f t="shared" si="29"/>
        <v>1</v>
      </c>
      <c r="J200" s="635"/>
      <c r="K200" s="21">
        <f t="shared" si="30"/>
        <v>1</v>
      </c>
      <c r="L200" s="635"/>
      <c r="M200" s="21">
        <f t="shared" si="31"/>
        <v>1</v>
      </c>
      <c r="N200" s="635"/>
      <c r="O200" s="21">
        <f t="shared" si="32"/>
        <v>1</v>
      </c>
      <c r="P200" s="635"/>
      <c r="Q200" s="21">
        <f t="shared" si="33"/>
        <v>1</v>
      </c>
      <c r="R200" s="21">
        <f t="shared" ca="1" si="34"/>
        <v>5044</v>
      </c>
      <c r="S200" s="308">
        <f t="shared" ca="1" si="25"/>
        <v>15</v>
      </c>
    </row>
    <row r="201" spans="1:19">
      <c r="A201" s="3228" t="s">
        <v>4188</v>
      </c>
      <c r="B201" s="3228">
        <v>29.76</v>
      </c>
      <c r="C201" s="21">
        <f t="shared" si="26"/>
        <v>1</v>
      </c>
      <c r="D201" s="3228" t="s">
        <v>4009</v>
      </c>
      <c r="E201" s="21">
        <f t="shared" si="27"/>
        <v>1</v>
      </c>
      <c r="F201" s="635"/>
      <c r="G201" s="21">
        <f t="shared" si="28"/>
        <v>1</v>
      </c>
      <c r="H201" s="635"/>
      <c r="I201" s="21">
        <f t="shared" si="29"/>
        <v>1</v>
      </c>
      <c r="J201" s="635"/>
      <c r="K201" s="21">
        <f t="shared" si="30"/>
        <v>1</v>
      </c>
      <c r="L201" s="635"/>
      <c r="M201" s="21">
        <f t="shared" si="31"/>
        <v>1</v>
      </c>
      <c r="N201" s="635"/>
      <c r="O201" s="21">
        <f t="shared" si="32"/>
        <v>1</v>
      </c>
      <c r="P201" s="635"/>
      <c r="Q201" s="21">
        <f t="shared" si="33"/>
        <v>1</v>
      </c>
      <c r="R201" s="21">
        <f t="shared" ca="1" si="34"/>
        <v>5044</v>
      </c>
      <c r="S201" s="308">
        <f t="shared" ca="1" si="25"/>
        <v>15</v>
      </c>
    </row>
    <row r="202" spans="1:19">
      <c r="A202" s="3228" t="s">
        <v>5353</v>
      </c>
      <c r="B202" s="3228">
        <v>29.76</v>
      </c>
      <c r="C202" s="21">
        <f t="shared" si="26"/>
        <v>1</v>
      </c>
      <c r="D202" s="3228" t="s">
        <v>5171</v>
      </c>
      <c r="E202" s="21">
        <f t="shared" si="27"/>
        <v>1</v>
      </c>
      <c r="F202" s="635"/>
      <c r="G202" s="21">
        <f t="shared" si="28"/>
        <v>1</v>
      </c>
      <c r="H202" s="635"/>
      <c r="I202" s="21">
        <f t="shared" si="29"/>
        <v>1</v>
      </c>
      <c r="J202" s="635"/>
      <c r="K202" s="21">
        <f t="shared" si="30"/>
        <v>1</v>
      </c>
      <c r="L202" s="635"/>
      <c r="M202" s="21">
        <f t="shared" si="31"/>
        <v>1</v>
      </c>
      <c r="N202" s="635"/>
      <c r="O202" s="21">
        <f t="shared" si="32"/>
        <v>1</v>
      </c>
      <c r="P202" s="635"/>
      <c r="Q202" s="21">
        <f t="shared" si="33"/>
        <v>1</v>
      </c>
      <c r="R202" s="21">
        <f t="shared" ca="1" si="34"/>
        <v>5044</v>
      </c>
      <c r="S202" s="308">
        <f t="shared" ca="1" si="25"/>
        <v>15</v>
      </c>
    </row>
    <row r="203" spans="1:19">
      <c r="A203" s="3228" t="s">
        <v>4190</v>
      </c>
      <c r="B203" s="3228">
        <v>29.76</v>
      </c>
      <c r="C203" s="21">
        <f t="shared" si="26"/>
        <v>1</v>
      </c>
      <c r="D203" s="3228" t="s">
        <v>4009</v>
      </c>
      <c r="E203" s="21">
        <f t="shared" si="27"/>
        <v>1</v>
      </c>
      <c r="F203" s="635"/>
      <c r="G203" s="21">
        <f t="shared" si="28"/>
        <v>1</v>
      </c>
      <c r="H203" s="635"/>
      <c r="I203" s="21">
        <f t="shared" si="29"/>
        <v>1</v>
      </c>
      <c r="J203" s="635"/>
      <c r="K203" s="21">
        <f t="shared" si="30"/>
        <v>1</v>
      </c>
      <c r="L203" s="635"/>
      <c r="M203" s="21">
        <f t="shared" si="31"/>
        <v>1</v>
      </c>
      <c r="N203" s="635"/>
      <c r="O203" s="21">
        <f t="shared" si="32"/>
        <v>1</v>
      </c>
      <c r="P203" s="635"/>
      <c r="Q203" s="21">
        <f t="shared" si="33"/>
        <v>1</v>
      </c>
      <c r="R203" s="21">
        <f t="shared" ca="1" si="34"/>
        <v>5044</v>
      </c>
      <c r="S203" s="308">
        <f t="shared" ca="1" si="25"/>
        <v>15</v>
      </c>
    </row>
    <row r="204" spans="1:19">
      <c r="A204" s="3228" t="s">
        <v>5355</v>
      </c>
      <c r="B204" s="3228">
        <v>28.18</v>
      </c>
      <c r="C204" s="21">
        <f t="shared" si="26"/>
        <v>1</v>
      </c>
      <c r="D204" s="3228" t="s">
        <v>5171</v>
      </c>
      <c r="E204" s="21">
        <f t="shared" si="27"/>
        <v>1</v>
      </c>
      <c r="F204" s="635"/>
      <c r="G204" s="21">
        <f t="shared" si="28"/>
        <v>1</v>
      </c>
      <c r="H204" s="635"/>
      <c r="I204" s="21">
        <f t="shared" si="29"/>
        <v>1</v>
      </c>
      <c r="J204" s="635"/>
      <c r="K204" s="21">
        <f t="shared" si="30"/>
        <v>1</v>
      </c>
      <c r="L204" s="635"/>
      <c r="M204" s="21">
        <f t="shared" si="31"/>
        <v>1</v>
      </c>
      <c r="N204" s="635"/>
      <c r="O204" s="21">
        <f t="shared" si="32"/>
        <v>1</v>
      </c>
      <c r="P204" s="635"/>
      <c r="Q204" s="21">
        <f t="shared" si="33"/>
        <v>1</v>
      </c>
      <c r="R204" s="21">
        <f t="shared" ca="1" si="34"/>
        <v>5044</v>
      </c>
      <c r="S204" s="308">
        <f t="shared" ca="1" si="25"/>
        <v>14</v>
      </c>
    </row>
    <row r="205" spans="1:19">
      <c r="A205" s="3228" t="s">
        <v>4192</v>
      </c>
      <c r="B205" s="3228">
        <v>28.18</v>
      </c>
      <c r="C205" s="21">
        <f t="shared" si="26"/>
        <v>1</v>
      </c>
      <c r="D205" s="3228" t="s">
        <v>4009</v>
      </c>
      <c r="E205" s="21">
        <f t="shared" si="27"/>
        <v>1</v>
      </c>
      <c r="F205" s="635"/>
      <c r="G205" s="21">
        <f t="shared" si="28"/>
        <v>1</v>
      </c>
      <c r="H205" s="635"/>
      <c r="I205" s="21">
        <f t="shared" si="29"/>
        <v>1</v>
      </c>
      <c r="J205" s="635"/>
      <c r="K205" s="21">
        <f t="shared" si="30"/>
        <v>1</v>
      </c>
      <c r="L205" s="635"/>
      <c r="M205" s="21">
        <f t="shared" si="31"/>
        <v>1</v>
      </c>
      <c r="N205" s="635"/>
      <c r="O205" s="21">
        <f t="shared" si="32"/>
        <v>1</v>
      </c>
      <c r="P205" s="635"/>
      <c r="Q205" s="21">
        <f t="shared" si="33"/>
        <v>1</v>
      </c>
      <c r="R205" s="21">
        <f t="shared" ca="1" si="34"/>
        <v>5044</v>
      </c>
      <c r="S205" s="308">
        <f t="shared" ca="1" si="25"/>
        <v>14</v>
      </c>
    </row>
    <row r="206" spans="1:19">
      <c r="A206" s="3228" t="s">
        <v>5357</v>
      </c>
      <c r="B206" s="3228">
        <v>28.18</v>
      </c>
      <c r="C206" s="21">
        <f t="shared" si="26"/>
        <v>1</v>
      </c>
      <c r="D206" s="3228" t="s">
        <v>5171</v>
      </c>
      <c r="E206" s="21">
        <f t="shared" si="27"/>
        <v>1</v>
      </c>
      <c r="F206" s="635"/>
      <c r="G206" s="21">
        <f t="shared" si="28"/>
        <v>1</v>
      </c>
      <c r="H206" s="635"/>
      <c r="I206" s="21">
        <f t="shared" si="29"/>
        <v>1</v>
      </c>
      <c r="J206" s="635"/>
      <c r="K206" s="21">
        <f t="shared" si="30"/>
        <v>1</v>
      </c>
      <c r="L206" s="635"/>
      <c r="M206" s="21">
        <f t="shared" si="31"/>
        <v>1</v>
      </c>
      <c r="N206" s="635"/>
      <c r="O206" s="21">
        <f t="shared" si="32"/>
        <v>1</v>
      </c>
      <c r="P206" s="635"/>
      <c r="Q206" s="21">
        <f t="shared" si="33"/>
        <v>1</v>
      </c>
      <c r="R206" s="21">
        <f t="shared" ca="1" si="34"/>
        <v>5044</v>
      </c>
      <c r="S206" s="308">
        <f t="shared" ca="1" si="25"/>
        <v>14</v>
      </c>
    </row>
    <row r="207" spans="1:19">
      <c r="A207" s="3228" t="s">
        <v>4194</v>
      </c>
      <c r="B207" s="3228">
        <v>30.74</v>
      </c>
      <c r="C207" s="21">
        <f t="shared" si="26"/>
        <v>1</v>
      </c>
      <c r="D207" s="3228" t="s">
        <v>4009</v>
      </c>
      <c r="E207" s="21">
        <f t="shared" si="27"/>
        <v>1</v>
      </c>
      <c r="F207" s="635"/>
      <c r="G207" s="21">
        <f t="shared" si="28"/>
        <v>1</v>
      </c>
      <c r="H207" s="635"/>
      <c r="I207" s="21">
        <f t="shared" si="29"/>
        <v>1</v>
      </c>
      <c r="J207" s="635"/>
      <c r="K207" s="21">
        <f t="shared" si="30"/>
        <v>1</v>
      </c>
      <c r="L207" s="635"/>
      <c r="M207" s="21">
        <f t="shared" si="31"/>
        <v>1</v>
      </c>
      <c r="N207" s="635"/>
      <c r="O207" s="21">
        <f t="shared" si="32"/>
        <v>1</v>
      </c>
      <c r="P207" s="635"/>
      <c r="Q207" s="21">
        <f t="shared" si="33"/>
        <v>1</v>
      </c>
      <c r="R207" s="21">
        <f t="shared" ca="1" si="34"/>
        <v>5044</v>
      </c>
      <c r="S207" s="308">
        <f t="shared" ca="1" si="25"/>
        <v>16</v>
      </c>
    </row>
    <row r="208" spans="1:19">
      <c r="A208" s="3228" t="s">
        <v>5359</v>
      </c>
      <c r="B208" s="3228">
        <v>30.74</v>
      </c>
      <c r="C208" s="21">
        <f t="shared" si="26"/>
        <v>1</v>
      </c>
      <c r="D208" s="3228" t="s">
        <v>5171</v>
      </c>
      <c r="E208" s="21">
        <f t="shared" si="27"/>
        <v>1</v>
      </c>
      <c r="F208" s="635"/>
      <c r="G208" s="21">
        <f t="shared" si="28"/>
        <v>1</v>
      </c>
      <c r="H208" s="635"/>
      <c r="I208" s="21">
        <f t="shared" si="29"/>
        <v>1</v>
      </c>
      <c r="J208" s="635"/>
      <c r="K208" s="21">
        <f t="shared" si="30"/>
        <v>1</v>
      </c>
      <c r="L208" s="635"/>
      <c r="M208" s="21">
        <f t="shared" si="31"/>
        <v>1</v>
      </c>
      <c r="N208" s="635"/>
      <c r="O208" s="21">
        <f t="shared" si="32"/>
        <v>1</v>
      </c>
      <c r="P208" s="635"/>
      <c r="Q208" s="21">
        <f t="shared" si="33"/>
        <v>1</v>
      </c>
      <c r="R208" s="21">
        <f t="shared" ca="1" si="34"/>
        <v>5044</v>
      </c>
      <c r="S208" s="308">
        <f t="shared" ca="1" si="25"/>
        <v>16</v>
      </c>
    </row>
    <row r="209" spans="1:19">
      <c r="A209" s="3229" t="s">
        <v>4196</v>
      </c>
      <c r="B209" s="3228">
        <v>28.18</v>
      </c>
      <c r="C209" s="21">
        <f t="shared" si="26"/>
        <v>1</v>
      </c>
      <c r="D209" s="3228" t="s">
        <v>4009</v>
      </c>
      <c r="E209" s="21">
        <f t="shared" si="27"/>
        <v>1</v>
      </c>
      <c r="F209" s="635"/>
      <c r="G209" s="21">
        <f t="shared" si="28"/>
        <v>1</v>
      </c>
      <c r="H209" s="635"/>
      <c r="I209" s="21">
        <f t="shared" si="29"/>
        <v>1</v>
      </c>
      <c r="J209" s="635"/>
      <c r="K209" s="21">
        <f t="shared" si="30"/>
        <v>1</v>
      </c>
      <c r="L209" s="635"/>
      <c r="M209" s="21">
        <f t="shared" si="31"/>
        <v>1</v>
      </c>
      <c r="N209" s="635"/>
      <c r="O209" s="21">
        <f t="shared" si="32"/>
        <v>1</v>
      </c>
      <c r="P209" s="635"/>
      <c r="Q209" s="21">
        <f t="shared" si="33"/>
        <v>1</v>
      </c>
      <c r="R209" s="21">
        <f t="shared" ca="1" si="34"/>
        <v>5044</v>
      </c>
      <c r="S209" s="308">
        <f t="shared" ca="1" si="25"/>
        <v>14</v>
      </c>
    </row>
    <row r="210" spans="1:19">
      <c r="A210" s="3228" t="s">
        <v>5361</v>
      </c>
      <c r="B210" s="3228">
        <v>28.18</v>
      </c>
      <c r="C210" s="21">
        <f t="shared" si="26"/>
        <v>1</v>
      </c>
      <c r="D210" s="3228" t="s">
        <v>5171</v>
      </c>
      <c r="E210" s="21">
        <f t="shared" si="27"/>
        <v>1</v>
      </c>
      <c r="F210" s="635"/>
      <c r="G210" s="21">
        <f t="shared" si="28"/>
        <v>1</v>
      </c>
      <c r="H210" s="635"/>
      <c r="I210" s="21">
        <f t="shared" si="29"/>
        <v>1</v>
      </c>
      <c r="J210" s="635"/>
      <c r="K210" s="21">
        <f t="shared" si="30"/>
        <v>1</v>
      </c>
      <c r="L210" s="635"/>
      <c r="M210" s="21">
        <f t="shared" si="31"/>
        <v>1</v>
      </c>
      <c r="N210" s="635"/>
      <c r="O210" s="21">
        <f t="shared" si="32"/>
        <v>1</v>
      </c>
      <c r="P210" s="635"/>
      <c r="Q210" s="21">
        <f t="shared" si="33"/>
        <v>1</v>
      </c>
      <c r="R210" s="21">
        <f t="shared" ca="1" si="34"/>
        <v>5044</v>
      </c>
      <c r="S210" s="308">
        <f t="shared" ca="1" si="25"/>
        <v>14</v>
      </c>
    </row>
    <row r="211" spans="1:19">
      <c r="A211" s="3228" t="s">
        <v>4198</v>
      </c>
      <c r="B211" s="3228">
        <v>29.47</v>
      </c>
      <c r="C211" s="21">
        <f t="shared" si="26"/>
        <v>1</v>
      </c>
      <c r="D211" s="3228" t="s">
        <v>4009</v>
      </c>
      <c r="E211" s="21">
        <f t="shared" si="27"/>
        <v>1</v>
      </c>
      <c r="F211" s="635"/>
      <c r="G211" s="21">
        <f t="shared" si="28"/>
        <v>1</v>
      </c>
      <c r="H211" s="635"/>
      <c r="I211" s="21">
        <f t="shared" si="29"/>
        <v>1</v>
      </c>
      <c r="J211" s="635"/>
      <c r="K211" s="21">
        <f t="shared" si="30"/>
        <v>1</v>
      </c>
      <c r="L211" s="635"/>
      <c r="M211" s="21">
        <f t="shared" si="31"/>
        <v>1</v>
      </c>
      <c r="N211" s="635"/>
      <c r="O211" s="21">
        <f t="shared" si="32"/>
        <v>1</v>
      </c>
      <c r="P211" s="635"/>
      <c r="Q211" s="21">
        <f t="shared" si="33"/>
        <v>1</v>
      </c>
      <c r="R211" s="21">
        <f t="shared" ca="1" si="34"/>
        <v>5044</v>
      </c>
      <c r="S211" s="308">
        <f t="shared" ca="1" si="25"/>
        <v>15</v>
      </c>
    </row>
    <row r="212" spans="1:19">
      <c r="A212" s="3228" t="s">
        <v>5363</v>
      </c>
      <c r="B212" s="3228">
        <v>29.47</v>
      </c>
      <c r="C212" s="21">
        <f t="shared" si="26"/>
        <v>1</v>
      </c>
      <c r="D212" s="3228" t="s">
        <v>5171</v>
      </c>
      <c r="E212" s="21">
        <f t="shared" si="27"/>
        <v>1</v>
      </c>
      <c r="F212" s="635"/>
      <c r="G212" s="21">
        <f t="shared" si="28"/>
        <v>1</v>
      </c>
      <c r="H212" s="635"/>
      <c r="I212" s="21">
        <f t="shared" si="29"/>
        <v>1</v>
      </c>
      <c r="J212" s="635"/>
      <c r="K212" s="21">
        <f t="shared" si="30"/>
        <v>1</v>
      </c>
      <c r="L212" s="635"/>
      <c r="M212" s="21">
        <f t="shared" si="31"/>
        <v>1</v>
      </c>
      <c r="N212" s="635"/>
      <c r="O212" s="21">
        <f t="shared" si="32"/>
        <v>1</v>
      </c>
      <c r="P212" s="635"/>
      <c r="Q212" s="21">
        <f t="shared" si="33"/>
        <v>1</v>
      </c>
      <c r="R212" s="21">
        <f t="shared" ca="1" si="34"/>
        <v>5044</v>
      </c>
      <c r="S212" s="308">
        <f t="shared" ca="1" si="25"/>
        <v>15</v>
      </c>
    </row>
    <row r="213" spans="1:19">
      <c r="A213" s="3228" t="s">
        <v>4200</v>
      </c>
      <c r="B213" s="3228">
        <v>29.47</v>
      </c>
      <c r="C213" s="21">
        <f t="shared" si="26"/>
        <v>1</v>
      </c>
      <c r="D213" s="3228" t="s">
        <v>4009</v>
      </c>
      <c r="E213" s="21">
        <f t="shared" si="27"/>
        <v>1</v>
      </c>
      <c r="F213" s="635"/>
      <c r="G213" s="21">
        <f t="shared" si="28"/>
        <v>1</v>
      </c>
      <c r="H213" s="635"/>
      <c r="I213" s="21">
        <f t="shared" si="29"/>
        <v>1</v>
      </c>
      <c r="J213" s="635"/>
      <c r="K213" s="21">
        <f t="shared" si="30"/>
        <v>1</v>
      </c>
      <c r="L213" s="635"/>
      <c r="M213" s="21">
        <f t="shared" si="31"/>
        <v>1</v>
      </c>
      <c r="N213" s="635"/>
      <c r="O213" s="21">
        <f t="shared" si="32"/>
        <v>1</v>
      </c>
      <c r="P213" s="635"/>
      <c r="Q213" s="21">
        <f t="shared" si="33"/>
        <v>1</v>
      </c>
      <c r="R213" s="21">
        <f t="shared" ca="1" si="34"/>
        <v>5044</v>
      </c>
      <c r="S213" s="308">
        <f t="shared" ca="1" si="25"/>
        <v>15</v>
      </c>
    </row>
    <row r="214" spans="1:19">
      <c r="A214" s="3228" t="s">
        <v>5365</v>
      </c>
      <c r="B214" s="3228">
        <v>29.47</v>
      </c>
      <c r="C214" s="21">
        <f t="shared" si="26"/>
        <v>1</v>
      </c>
      <c r="D214" s="3228" t="s">
        <v>5171</v>
      </c>
      <c r="E214" s="21">
        <f t="shared" si="27"/>
        <v>1</v>
      </c>
      <c r="F214" s="635"/>
      <c r="G214" s="21">
        <f t="shared" si="28"/>
        <v>1</v>
      </c>
      <c r="H214" s="635"/>
      <c r="I214" s="21">
        <f t="shared" si="29"/>
        <v>1</v>
      </c>
      <c r="J214" s="635"/>
      <c r="K214" s="21">
        <f t="shared" si="30"/>
        <v>1</v>
      </c>
      <c r="L214" s="635"/>
      <c r="M214" s="21">
        <f t="shared" si="31"/>
        <v>1</v>
      </c>
      <c r="N214" s="635"/>
      <c r="O214" s="21">
        <f t="shared" si="32"/>
        <v>1</v>
      </c>
      <c r="P214" s="635"/>
      <c r="Q214" s="21">
        <f t="shared" si="33"/>
        <v>1</v>
      </c>
      <c r="R214" s="21">
        <f t="shared" ca="1" si="34"/>
        <v>5044</v>
      </c>
      <c r="S214" s="308">
        <f t="shared" ca="1" si="25"/>
        <v>15</v>
      </c>
    </row>
    <row r="215" spans="1:19">
      <c r="A215" s="3228" t="s">
        <v>4202</v>
      </c>
      <c r="B215" s="3228">
        <v>29.47</v>
      </c>
      <c r="C215" s="21">
        <f t="shared" si="26"/>
        <v>1</v>
      </c>
      <c r="D215" s="3228" t="s">
        <v>4009</v>
      </c>
      <c r="E215" s="21">
        <f t="shared" si="27"/>
        <v>1</v>
      </c>
      <c r="F215" s="635"/>
      <c r="G215" s="21">
        <f t="shared" si="28"/>
        <v>1</v>
      </c>
      <c r="H215" s="635"/>
      <c r="I215" s="21">
        <f t="shared" si="29"/>
        <v>1</v>
      </c>
      <c r="J215" s="635"/>
      <c r="K215" s="21">
        <f t="shared" si="30"/>
        <v>1</v>
      </c>
      <c r="L215" s="635"/>
      <c r="M215" s="21">
        <f t="shared" si="31"/>
        <v>1</v>
      </c>
      <c r="N215" s="635"/>
      <c r="O215" s="21">
        <f t="shared" si="32"/>
        <v>1</v>
      </c>
      <c r="P215" s="635"/>
      <c r="Q215" s="21">
        <f t="shared" si="33"/>
        <v>1</v>
      </c>
      <c r="R215" s="21">
        <f t="shared" ca="1" si="34"/>
        <v>5044</v>
      </c>
      <c r="S215" s="308">
        <f t="shared" ca="1" si="25"/>
        <v>15</v>
      </c>
    </row>
    <row r="216" spans="1:19">
      <c r="A216" s="3228" t="s">
        <v>5367</v>
      </c>
      <c r="B216" s="3228">
        <v>29.47</v>
      </c>
      <c r="C216" s="21">
        <f t="shared" si="26"/>
        <v>1</v>
      </c>
      <c r="D216" s="3228" t="s">
        <v>5171</v>
      </c>
      <c r="E216" s="21">
        <f t="shared" si="27"/>
        <v>1</v>
      </c>
      <c r="F216" s="635"/>
      <c r="G216" s="21">
        <f t="shared" si="28"/>
        <v>1</v>
      </c>
      <c r="H216" s="635"/>
      <c r="I216" s="21">
        <f t="shared" si="29"/>
        <v>1</v>
      </c>
      <c r="J216" s="635"/>
      <c r="K216" s="21">
        <f t="shared" si="30"/>
        <v>1</v>
      </c>
      <c r="L216" s="635"/>
      <c r="M216" s="21">
        <f t="shared" si="31"/>
        <v>1</v>
      </c>
      <c r="N216" s="635"/>
      <c r="O216" s="21">
        <f t="shared" si="32"/>
        <v>1</v>
      </c>
      <c r="P216" s="635"/>
      <c r="Q216" s="21">
        <f t="shared" si="33"/>
        <v>1</v>
      </c>
      <c r="R216" s="21">
        <f t="shared" ca="1" si="34"/>
        <v>5044</v>
      </c>
      <c r="S216" s="308">
        <f t="shared" ref="S216:S279" ca="1" si="35">ROUND(R216*B216/10000,0)</f>
        <v>15</v>
      </c>
    </row>
    <row r="217" spans="1:19">
      <c r="A217" s="3228" t="s">
        <v>4204</v>
      </c>
      <c r="B217" s="3228">
        <v>29.47</v>
      </c>
      <c r="C217" s="21">
        <f t="shared" si="26"/>
        <v>1</v>
      </c>
      <c r="D217" s="3237" t="s">
        <v>4041</v>
      </c>
      <c r="E217" s="21">
        <f t="shared" si="27"/>
        <v>1</v>
      </c>
      <c r="F217" s="635"/>
      <c r="G217" s="21">
        <f t="shared" si="28"/>
        <v>1</v>
      </c>
      <c r="H217" s="635"/>
      <c r="I217" s="21">
        <f t="shared" si="29"/>
        <v>1</v>
      </c>
      <c r="J217" s="635"/>
      <c r="K217" s="21">
        <f t="shared" si="30"/>
        <v>1</v>
      </c>
      <c r="L217" s="635"/>
      <c r="M217" s="21">
        <f t="shared" si="31"/>
        <v>1</v>
      </c>
      <c r="N217" s="635"/>
      <c r="O217" s="21">
        <f t="shared" si="32"/>
        <v>1</v>
      </c>
      <c r="P217" s="635"/>
      <c r="Q217" s="21">
        <f t="shared" si="33"/>
        <v>1</v>
      </c>
      <c r="R217" s="21">
        <f t="shared" ca="1" si="34"/>
        <v>5044</v>
      </c>
      <c r="S217" s="308">
        <f t="shared" ca="1" si="35"/>
        <v>15</v>
      </c>
    </row>
    <row r="218" spans="1:19">
      <c r="A218" s="3228" t="s">
        <v>5369</v>
      </c>
      <c r="B218" s="3228">
        <v>29.47</v>
      </c>
      <c r="C218" s="21">
        <f t="shared" ref="C218:C281" si="36">IF(B218="",1,(LOOKUP(B218,$3:$3,$4:$4)-LOOKUP($B$24,$3:$3,$4:$4)+100)/100)</f>
        <v>1</v>
      </c>
      <c r="D218" s="3237" t="s">
        <v>5208</v>
      </c>
      <c r="E218" s="21">
        <f t="shared" ref="E218:E281" si="37">(SUMIF($5:$5,D218,$6:$6)-SUMIF($5:$5,$D$24,$6:$6)+100)/100</f>
        <v>1</v>
      </c>
      <c r="F218" s="635"/>
      <c r="G218" s="21">
        <f t="shared" ref="G218:G281" si="38">(SUMIF($7:$7,F218,$8:$8)-SUMIF($7:$7,$F$24,$8:$8)+100)/100</f>
        <v>1</v>
      </c>
      <c r="H218" s="635"/>
      <c r="I218" s="21">
        <f t="shared" ref="I218:I281" si="39">(SUMIF($9:$9,H218,$10:$10)-SUMIF($9:$9,$H$24,$10:$10)+100)/100</f>
        <v>1</v>
      </c>
      <c r="J218" s="635"/>
      <c r="K218" s="21">
        <f t="shared" ref="K218:K281" si="40">(SUMIF($11:$11,J218,$12:$12)-SUMIF($11:$11,$J$24,$12:$12)+100)/100</f>
        <v>1</v>
      </c>
      <c r="L218" s="635"/>
      <c r="M218" s="21">
        <f t="shared" ref="M218:M281" si="41">(SUMIF($13:$13,L218,$14:$14)-SUMIF($13:$13,$L$24,$14:$14)+100)/100</f>
        <v>1</v>
      </c>
      <c r="N218" s="635"/>
      <c r="O218" s="21">
        <f t="shared" ref="O218:O281" si="42">(SUMIF($15:$15,N218,$16:$16)-SUMIF($15:$15,$N$24,$16:$16)+100)/100</f>
        <v>1</v>
      </c>
      <c r="P218" s="635"/>
      <c r="Q218" s="21">
        <f t="shared" ref="Q218:Q281" si="43">(SUMIF($17:$17,P218,$18:$18)-SUMIF($17:$17,$P$24,$18:$18)+100)/100</f>
        <v>1</v>
      </c>
      <c r="R218" s="21">
        <f t="shared" ref="R218:R281" ca="1" si="44">IF(B218="",0,ROUND($R$24*C218*E218*G218*I218*K218*M218*O218*Q218,0))</f>
        <v>5044</v>
      </c>
      <c r="S218" s="308">
        <f t="shared" ca="1" si="35"/>
        <v>15</v>
      </c>
    </row>
    <row r="219" spans="1:19">
      <c r="A219" s="3228" t="s">
        <v>4206</v>
      </c>
      <c r="B219" s="3228">
        <v>29.47</v>
      </c>
      <c r="C219" s="21">
        <f t="shared" si="36"/>
        <v>1</v>
      </c>
      <c r="D219" s="3228" t="s">
        <v>4009</v>
      </c>
      <c r="E219" s="21">
        <f t="shared" si="37"/>
        <v>1</v>
      </c>
      <c r="F219" s="635"/>
      <c r="G219" s="21">
        <f t="shared" si="38"/>
        <v>1</v>
      </c>
      <c r="H219" s="635"/>
      <c r="I219" s="21">
        <f t="shared" si="39"/>
        <v>1</v>
      </c>
      <c r="J219" s="635"/>
      <c r="K219" s="21">
        <f t="shared" si="40"/>
        <v>1</v>
      </c>
      <c r="L219" s="635"/>
      <c r="M219" s="21">
        <f t="shared" si="41"/>
        <v>1</v>
      </c>
      <c r="N219" s="635"/>
      <c r="O219" s="21">
        <f t="shared" si="42"/>
        <v>1</v>
      </c>
      <c r="P219" s="635"/>
      <c r="Q219" s="21">
        <f t="shared" si="43"/>
        <v>1</v>
      </c>
      <c r="R219" s="21">
        <f t="shared" ca="1" si="44"/>
        <v>5044</v>
      </c>
      <c r="S219" s="308">
        <f t="shared" ca="1" si="35"/>
        <v>15</v>
      </c>
    </row>
    <row r="220" spans="1:19">
      <c r="A220" s="3228" t="s">
        <v>5371</v>
      </c>
      <c r="B220" s="3228">
        <v>29.47</v>
      </c>
      <c r="C220" s="21">
        <f t="shared" si="36"/>
        <v>1</v>
      </c>
      <c r="D220" s="3228" t="s">
        <v>5171</v>
      </c>
      <c r="E220" s="21">
        <f t="shared" si="37"/>
        <v>1</v>
      </c>
      <c r="F220" s="635"/>
      <c r="G220" s="21">
        <f t="shared" si="38"/>
        <v>1</v>
      </c>
      <c r="H220" s="635"/>
      <c r="I220" s="21">
        <f t="shared" si="39"/>
        <v>1</v>
      </c>
      <c r="J220" s="635"/>
      <c r="K220" s="21">
        <f t="shared" si="40"/>
        <v>1</v>
      </c>
      <c r="L220" s="635"/>
      <c r="M220" s="21">
        <f t="shared" si="41"/>
        <v>1</v>
      </c>
      <c r="N220" s="635"/>
      <c r="O220" s="21">
        <f t="shared" si="42"/>
        <v>1</v>
      </c>
      <c r="P220" s="635"/>
      <c r="Q220" s="21">
        <f t="shared" si="43"/>
        <v>1</v>
      </c>
      <c r="R220" s="21">
        <f t="shared" ca="1" si="44"/>
        <v>5044</v>
      </c>
      <c r="S220" s="308">
        <f t="shared" ca="1" si="35"/>
        <v>15</v>
      </c>
    </row>
    <row r="221" spans="1:19">
      <c r="A221" s="3228" t="s">
        <v>4208</v>
      </c>
      <c r="B221" s="3228">
        <v>29.47</v>
      </c>
      <c r="C221" s="21">
        <f t="shared" si="36"/>
        <v>1</v>
      </c>
      <c r="D221" s="3228" t="s">
        <v>4009</v>
      </c>
      <c r="E221" s="21">
        <f t="shared" si="37"/>
        <v>1</v>
      </c>
      <c r="F221" s="635"/>
      <c r="G221" s="21">
        <f t="shared" si="38"/>
        <v>1</v>
      </c>
      <c r="H221" s="635"/>
      <c r="I221" s="21">
        <f t="shared" si="39"/>
        <v>1</v>
      </c>
      <c r="J221" s="635"/>
      <c r="K221" s="21">
        <f t="shared" si="40"/>
        <v>1</v>
      </c>
      <c r="L221" s="635"/>
      <c r="M221" s="21">
        <f t="shared" si="41"/>
        <v>1</v>
      </c>
      <c r="N221" s="635"/>
      <c r="O221" s="21">
        <f t="shared" si="42"/>
        <v>1</v>
      </c>
      <c r="P221" s="635"/>
      <c r="Q221" s="21">
        <f t="shared" si="43"/>
        <v>1</v>
      </c>
      <c r="R221" s="21">
        <f t="shared" ca="1" si="44"/>
        <v>5044</v>
      </c>
      <c r="S221" s="308">
        <f t="shared" ca="1" si="35"/>
        <v>15</v>
      </c>
    </row>
    <row r="222" spans="1:19">
      <c r="A222" s="3228" t="s">
        <v>5373</v>
      </c>
      <c r="B222" s="3228">
        <v>29.47</v>
      </c>
      <c r="C222" s="21">
        <f t="shared" si="36"/>
        <v>1</v>
      </c>
      <c r="D222" s="3228" t="s">
        <v>5171</v>
      </c>
      <c r="E222" s="21">
        <f t="shared" si="37"/>
        <v>1</v>
      </c>
      <c r="F222" s="635"/>
      <c r="G222" s="21">
        <f t="shared" si="38"/>
        <v>1</v>
      </c>
      <c r="H222" s="635"/>
      <c r="I222" s="21">
        <f t="shared" si="39"/>
        <v>1</v>
      </c>
      <c r="J222" s="635"/>
      <c r="K222" s="21">
        <f t="shared" si="40"/>
        <v>1</v>
      </c>
      <c r="L222" s="635"/>
      <c r="M222" s="21">
        <f t="shared" si="41"/>
        <v>1</v>
      </c>
      <c r="N222" s="635"/>
      <c r="O222" s="21">
        <f t="shared" si="42"/>
        <v>1</v>
      </c>
      <c r="P222" s="635"/>
      <c r="Q222" s="21">
        <f t="shared" si="43"/>
        <v>1</v>
      </c>
      <c r="R222" s="21">
        <f t="shared" ca="1" si="44"/>
        <v>5044</v>
      </c>
      <c r="S222" s="308">
        <f t="shared" ca="1" si="35"/>
        <v>15</v>
      </c>
    </row>
    <row r="223" spans="1:19">
      <c r="A223" s="3228" t="s">
        <v>4210</v>
      </c>
      <c r="B223" s="3228">
        <v>29.47</v>
      </c>
      <c r="C223" s="21">
        <f t="shared" si="36"/>
        <v>1</v>
      </c>
      <c r="D223" s="3228" t="s">
        <v>4009</v>
      </c>
      <c r="E223" s="21">
        <f t="shared" si="37"/>
        <v>1</v>
      </c>
      <c r="F223" s="635"/>
      <c r="G223" s="21">
        <f t="shared" si="38"/>
        <v>1</v>
      </c>
      <c r="H223" s="635"/>
      <c r="I223" s="21">
        <f t="shared" si="39"/>
        <v>1</v>
      </c>
      <c r="J223" s="635"/>
      <c r="K223" s="21">
        <f t="shared" si="40"/>
        <v>1</v>
      </c>
      <c r="L223" s="635"/>
      <c r="M223" s="21">
        <f t="shared" si="41"/>
        <v>1</v>
      </c>
      <c r="N223" s="635"/>
      <c r="O223" s="21">
        <f t="shared" si="42"/>
        <v>1</v>
      </c>
      <c r="P223" s="635"/>
      <c r="Q223" s="21">
        <f t="shared" si="43"/>
        <v>1</v>
      </c>
      <c r="R223" s="21">
        <f t="shared" ca="1" si="44"/>
        <v>5044</v>
      </c>
      <c r="S223" s="308">
        <f t="shared" ca="1" si="35"/>
        <v>15</v>
      </c>
    </row>
    <row r="224" spans="1:19">
      <c r="A224" s="3228" t="s">
        <v>5375</v>
      </c>
      <c r="B224" s="3228">
        <v>29.47</v>
      </c>
      <c r="C224" s="21">
        <f t="shared" si="36"/>
        <v>1</v>
      </c>
      <c r="D224" s="3228" t="s">
        <v>5171</v>
      </c>
      <c r="E224" s="21">
        <f t="shared" si="37"/>
        <v>1</v>
      </c>
      <c r="F224" s="635"/>
      <c r="G224" s="21">
        <f t="shared" si="38"/>
        <v>1</v>
      </c>
      <c r="H224" s="635"/>
      <c r="I224" s="21">
        <f t="shared" si="39"/>
        <v>1</v>
      </c>
      <c r="J224" s="635"/>
      <c r="K224" s="21">
        <f t="shared" si="40"/>
        <v>1</v>
      </c>
      <c r="L224" s="635"/>
      <c r="M224" s="21">
        <f t="shared" si="41"/>
        <v>1</v>
      </c>
      <c r="N224" s="635"/>
      <c r="O224" s="21">
        <f t="shared" si="42"/>
        <v>1</v>
      </c>
      <c r="P224" s="635"/>
      <c r="Q224" s="21">
        <f t="shared" si="43"/>
        <v>1</v>
      </c>
      <c r="R224" s="21">
        <f t="shared" ca="1" si="44"/>
        <v>5044</v>
      </c>
      <c r="S224" s="308">
        <f t="shared" ca="1" si="35"/>
        <v>15</v>
      </c>
    </row>
    <row r="225" spans="1:19">
      <c r="A225" s="3228" t="s">
        <v>4212</v>
      </c>
      <c r="B225" s="3228">
        <v>29.76</v>
      </c>
      <c r="C225" s="21">
        <f t="shared" si="36"/>
        <v>1</v>
      </c>
      <c r="D225" s="3228" t="s">
        <v>4009</v>
      </c>
      <c r="E225" s="21">
        <f t="shared" si="37"/>
        <v>1</v>
      </c>
      <c r="F225" s="635"/>
      <c r="G225" s="21">
        <f t="shared" si="38"/>
        <v>1</v>
      </c>
      <c r="H225" s="635"/>
      <c r="I225" s="21">
        <f t="shared" si="39"/>
        <v>1</v>
      </c>
      <c r="J225" s="635"/>
      <c r="K225" s="21">
        <f t="shared" si="40"/>
        <v>1</v>
      </c>
      <c r="L225" s="635"/>
      <c r="M225" s="21">
        <f t="shared" si="41"/>
        <v>1</v>
      </c>
      <c r="N225" s="635"/>
      <c r="O225" s="21">
        <f t="shared" si="42"/>
        <v>1</v>
      </c>
      <c r="P225" s="635"/>
      <c r="Q225" s="21">
        <f t="shared" si="43"/>
        <v>1</v>
      </c>
      <c r="R225" s="21">
        <f t="shared" ca="1" si="44"/>
        <v>5044</v>
      </c>
      <c r="S225" s="308">
        <f t="shared" ca="1" si="35"/>
        <v>15</v>
      </c>
    </row>
    <row r="226" spans="1:19">
      <c r="A226" s="3228" t="s">
        <v>5377</v>
      </c>
      <c r="B226" s="3228">
        <v>29.76</v>
      </c>
      <c r="C226" s="21">
        <f t="shared" si="36"/>
        <v>1</v>
      </c>
      <c r="D226" s="3228" t="s">
        <v>5171</v>
      </c>
      <c r="E226" s="21">
        <f t="shared" si="37"/>
        <v>1</v>
      </c>
      <c r="F226" s="635"/>
      <c r="G226" s="21">
        <f t="shared" si="38"/>
        <v>1</v>
      </c>
      <c r="H226" s="635"/>
      <c r="I226" s="21">
        <f t="shared" si="39"/>
        <v>1</v>
      </c>
      <c r="J226" s="635"/>
      <c r="K226" s="21">
        <f t="shared" si="40"/>
        <v>1</v>
      </c>
      <c r="L226" s="635"/>
      <c r="M226" s="21">
        <f t="shared" si="41"/>
        <v>1</v>
      </c>
      <c r="N226" s="635"/>
      <c r="O226" s="21">
        <f t="shared" si="42"/>
        <v>1</v>
      </c>
      <c r="P226" s="635"/>
      <c r="Q226" s="21">
        <f t="shared" si="43"/>
        <v>1</v>
      </c>
      <c r="R226" s="21">
        <f t="shared" ca="1" si="44"/>
        <v>5044</v>
      </c>
      <c r="S226" s="308">
        <f t="shared" ca="1" si="35"/>
        <v>15</v>
      </c>
    </row>
    <row r="227" spans="1:19">
      <c r="A227" s="3228" t="s">
        <v>4214</v>
      </c>
      <c r="B227" s="3228">
        <v>29.76</v>
      </c>
      <c r="C227" s="21">
        <f t="shared" si="36"/>
        <v>1</v>
      </c>
      <c r="D227" s="3228" t="s">
        <v>4009</v>
      </c>
      <c r="E227" s="21">
        <f t="shared" si="37"/>
        <v>1</v>
      </c>
      <c r="F227" s="635"/>
      <c r="G227" s="21">
        <f t="shared" si="38"/>
        <v>1</v>
      </c>
      <c r="H227" s="635"/>
      <c r="I227" s="21">
        <f t="shared" si="39"/>
        <v>1</v>
      </c>
      <c r="J227" s="635"/>
      <c r="K227" s="21">
        <f t="shared" si="40"/>
        <v>1</v>
      </c>
      <c r="L227" s="635"/>
      <c r="M227" s="21">
        <f t="shared" si="41"/>
        <v>1</v>
      </c>
      <c r="N227" s="635"/>
      <c r="O227" s="21">
        <f t="shared" si="42"/>
        <v>1</v>
      </c>
      <c r="P227" s="635"/>
      <c r="Q227" s="21">
        <f t="shared" si="43"/>
        <v>1</v>
      </c>
      <c r="R227" s="21">
        <f t="shared" ca="1" si="44"/>
        <v>5044</v>
      </c>
      <c r="S227" s="308">
        <f t="shared" ca="1" si="35"/>
        <v>15</v>
      </c>
    </row>
    <row r="228" spans="1:19">
      <c r="A228" s="3228" t="s">
        <v>5379</v>
      </c>
      <c r="B228" s="3228">
        <v>29.76</v>
      </c>
      <c r="C228" s="21">
        <f t="shared" si="36"/>
        <v>1</v>
      </c>
      <c r="D228" s="3228" t="s">
        <v>5171</v>
      </c>
      <c r="E228" s="21">
        <f t="shared" si="37"/>
        <v>1</v>
      </c>
      <c r="F228" s="635"/>
      <c r="G228" s="21">
        <f t="shared" si="38"/>
        <v>1</v>
      </c>
      <c r="H228" s="635"/>
      <c r="I228" s="21">
        <f t="shared" si="39"/>
        <v>1</v>
      </c>
      <c r="J228" s="635"/>
      <c r="K228" s="21">
        <f t="shared" si="40"/>
        <v>1</v>
      </c>
      <c r="L228" s="635"/>
      <c r="M228" s="21">
        <f t="shared" si="41"/>
        <v>1</v>
      </c>
      <c r="N228" s="635"/>
      <c r="O228" s="21">
        <f t="shared" si="42"/>
        <v>1</v>
      </c>
      <c r="P228" s="635"/>
      <c r="Q228" s="21">
        <f t="shared" si="43"/>
        <v>1</v>
      </c>
      <c r="R228" s="21">
        <f t="shared" ca="1" si="44"/>
        <v>5044</v>
      </c>
      <c r="S228" s="308">
        <f t="shared" ca="1" si="35"/>
        <v>15</v>
      </c>
    </row>
    <row r="229" spans="1:19">
      <c r="A229" s="3228" t="s">
        <v>4216</v>
      </c>
      <c r="B229" s="3228">
        <v>29.76</v>
      </c>
      <c r="C229" s="21">
        <f t="shared" si="36"/>
        <v>1</v>
      </c>
      <c r="D229" s="3228" t="s">
        <v>4009</v>
      </c>
      <c r="E229" s="21">
        <f t="shared" si="37"/>
        <v>1</v>
      </c>
      <c r="F229" s="635"/>
      <c r="G229" s="21">
        <f t="shared" si="38"/>
        <v>1</v>
      </c>
      <c r="H229" s="635"/>
      <c r="I229" s="21">
        <f t="shared" si="39"/>
        <v>1</v>
      </c>
      <c r="J229" s="635"/>
      <c r="K229" s="21">
        <f t="shared" si="40"/>
        <v>1</v>
      </c>
      <c r="L229" s="635"/>
      <c r="M229" s="21">
        <f t="shared" si="41"/>
        <v>1</v>
      </c>
      <c r="N229" s="635"/>
      <c r="O229" s="21">
        <f t="shared" si="42"/>
        <v>1</v>
      </c>
      <c r="P229" s="635"/>
      <c r="Q229" s="21">
        <f t="shared" si="43"/>
        <v>1</v>
      </c>
      <c r="R229" s="21">
        <f t="shared" ca="1" si="44"/>
        <v>5044</v>
      </c>
      <c r="S229" s="308">
        <f t="shared" ca="1" si="35"/>
        <v>15</v>
      </c>
    </row>
    <row r="230" spans="1:19">
      <c r="A230" s="3228" t="s">
        <v>5381</v>
      </c>
      <c r="B230" s="3228">
        <v>29.76</v>
      </c>
      <c r="C230" s="21">
        <f t="shared" si="36"/>
        <v>1</v>
      </c>
      <c r="D230" s="3228" t="s">
        <v>5171</v>
      </c>
      <c r="E230" s="21">
        <f t="shared" si="37"/>
        <v>1</v>
      </c>
      <c r="F230" s="635"/>
      <c r="G230" s="21">
        <f t="shared" si="38"/>
        <v>1</v>
      </c>
      <c r="H230" s="635"/>
      <c r="I230" s="21">
        <f t="shared" si="39"/>
        <v>1</v>
      </c>
      <c r="J230" s="635"/>
      <c r="K230" s="21">
        <f t="shared" si="40"/>
        <v>1</v>
      </c>
      <c r="L230" s="635"/>
      <c r="M230" s="21">
        <f t="shared" si="41"/>
        <v>1</v>
      </c>
      <c r="N230" s="635"/>
      <c r="O230" s="21">
        <f t="shared" si="42"/>
        <v>1</v>
      </c>
      <c r="P230" s="635"/>
      <c r="Q230" s="21">
        <f t="shared" si="43"/>
        <v>1</v>
      </c>
      <c r="R230" s="21">
        <f t="shared" ca="1" si="44"/>
        <v>5044</v>
      </c>
      <c r="S230" s="308">
        <f t="shared" ca="1" si="35"/>
        <v>15</v>
      </c>
    </row>
    <row r="231" spans="1:19">
      <c r="A231" s="3228" t="s">
        <v>4218</v>
      </c>
      <c r="B231" s="3228">
        <v>29.76</v>
      </c>
      <c r="C231" s="21">
        <f t="shared" si="36"/>
        <v>1</v>
      </c>
      <c r="D231" s="3228" t="s">
        <v>4009</v>
      </c>
      <c r="E231" s="21">
        <f t="shared" si="37"/>
        <v>1</v>
      </c>
      <c r="F231" s="635"/>
      <c r="G231" s="21">
        <f t="shared" si="38"/>
        <v>1</v>
      </c>
      <c r="H231" s="635"/>
      <c r="I231" s="21">
        <f t="shared" si="39"/>
        <v>1</v>
      </c>
      <c r="J231" s="635"/>
      <c r="K231" s="21">
        <f t="shared" si="40"/>
        <v>1</v>
      </c>
      <c r="L231" s="635"/>
      <c r="M231" s="21">
        <f t="shared" si="41"/>
        <v>1</v>
      </c>
      <c r="N231" s="635"/>
      <c r="O231" s="21">
        <f t="shared" si="42"/>
        <v>1</v>
      </c>
      <c r="P231" s="635"/>
      <c r="Q231" s="21">
        <f t="shared" si="43"/>
        <v>1</v>
      </c>
      <c r="R231" s="21">
        <f t="shared" ca="1" si="44"/>
        <v>5044</v>
      </c>
      <c r="S231" s="308">
        <f t="shared" ca="1" si="35"/>
        <v>15</v>
      </c>
    </row>
    <row r="232" spans="1:19">
      <c r="A232" s="3228" t="s">
        <v>5383</v>
      </c>
      <c r="B232" s="3228">
        <v>29.76</v>
      </c>
      <c r="C232" s="21">
        <f t="shared" si="36"/>
        <v>1</v>
      </c>
      <c r="D232" s="3237" t="s">
        <v>5208</v>
      </c>
      <c r="E232" s="21">
        <f t="shared" si="37"/>
        <v>1</v>
      </c>
      <c r="F232" s="635"/>
      <c r="G232" s="21">
        <f t="shared" si="38"/>
        <v>1</v>
      </c>
      <c r="H232" s="635"/>
      <c r="I232" s="21">
        <f t="shared" si="39"/>
        <v>1</v>
      </c>
      <c r="J232" s="635"/>
      <c r="K232" s="21">
        <f t="shared" si="40"/>
        <v>1</v>
      </c>
      <c r="L232" s="635"/>
      <c r="M232" s="21">
        <f t="shared" si="41"/>
        <v>1</v>
      </c>
      <c r="N232" s="635"/>
      <c r="O232" s="21">
        <f t="shared" si="42"/>
        <v>1</v>
      </c>
      <c r="P232" s="635"/>
      <c r="Q232" s="21">
        <f t="shared" si="43"/>
        <v>1</v>
      </c>
      <c r="R232" s="21">
        <f t="shared" ca="1" si="44"/>
        <v>5044</v>
      </c>
      <c r="S232" s="308">
        <f t="shared" ca="1" si="35"/>
        <v>15</v>
      </c>
    </row>
    <row r="233" spans="1:19">
      <c r="A233" s="3228" t="s">
        <v>4220</v>
      </c>
      <c r="B233" s="3228">
        <v>29.76</v>
      </c>
      <c r="C233" s="21">
        <f t="shared" si="36"/>
        <v>1</v>
      </c>
      <c r="D233" s="3228" t="s">
        <v>4009</v>
      </c>
      <c r="E233" s="21">
        <f t="shared" si="37"/>
        <v>1</v>
      </c>
      <c r="F233" s="635"/>
      <c r="G233" s="21">
        <f t="shared" si="38"/>
        <v>1</v>
      </c>
      <c r="H233" s="635"/>
      <c r="I233" s="21">
        <f t="shared" si="39"/>
        <v>1</v>
      </c>
      <c r="J233" s="635"/>
      <c r="K233" s="21">
        <f t="shared" si="40"/>
        <v>1</v>
      </c>
      <c r="L233" s="635"/>
      <c r="M233" s="21">
        <f t="shared" si="41"/>
        <v>1</v>
      </c>
      <c r="N233" s="635"/>
      <c r="O233" s="21">
        <f t="shared" si="42"/>
        <v>1</v>
      </c>
      <c r="P233" s="635"/>
      <c r="Q233" s="21">
        <f t="shared" si="43"/>
        <v>1</v>
      </c>
      <c r="R233" s="21">
        <f t="shared" ca="1" si="44"/>
        <v>5044</v>
      </c>
      <c r="S233" s="308">
        <f t="shared" ca="1" si="35"/>
        <v>15</v>
      </c>
    </row>
    <row r="234" spans="1:19">
      <c r="A234" s="3228" t="s">
        <v>5385</v>
      </c>
      <c r="B234" s="3228">
        <v>29.76</v>
      </c>
      <c r="C234" s="21">
        <f t="shared" si="36"/>
        <v>1</v>
      </c>
      <c r="D234" s="3228" t="s">
        <v>5171</v>
      </c>
      <c r="E234" s="21">
        <f t="shared" si="37"/>
        <v>1</v>
      </c>
      <c r="F234" s="635"/>
      <c r="G234" s="21">
        <f t="shared" si="38"/>
        <v>1</v>
      </c>
      <c r="H234" s="635"/>
      <c r="I234" s="21">
        <f t="shared" si="39"/>
        <v>1</v>
      </c>
      <c r="J234" s="635"/>
      <c r="K234" s="21">
        <f t="shared" si="40"/>
        <v>1</v>
      </c>
      <c r="L234" s="635"/>
      <c r="M234" s="21">
        <f t="shared" si="41"/>
        <v>1</v>
      </c>
      <c r="N234" s="635"/>
      <c r="O234" s="21">
        <f t="shared" si="42"/>
        <v>1</v>
      </c>
      <c r="P234" s="635"/>
      <c r="Q234" s="21">
        <f t="shared" si="43"/>
        <v>1</v>
      </c>
      <c r="R234" s="21">
        <f t="shared" ca="1" si="44"/>
        <v>5044</v>
      </c>
      <c r="S234" s="308">
        <f t="shared" ca="1" si="35"/>
        <v>15</v>
      </c>
    </row>
    <row r="235" spans="1:19">
      <c r="A235" s="3228" t="s">
        <v>4222</v>
      </c>
      <c r="B235" s="3228">
        <v>29.76</v>
      </c>
      <c r="C235" s="21">
        <f t="shared" si="36"/>
        <v>1</v>
      </c>
      <c r="D235" s="3228" t="s">
        <v>4009</v>
      </c>
      <c r="E235" s="21">
        <f t="shared" si="37"/>
        <v>1</v>
      </c>
      <c r="F235" s="635"/>
      <c r="G235" s="21">
        <f t="shared" si="38"/>
        <v>1</v>
      </c>
      <c r="H235" s="635"/>
      <c r="I235" s="21">
        <f t="shared" si="39"/>
        <v>1</v>
      </c>
      <c r="J235" s="635"/>
      <c r="K235" s="21">
        <f t="shared" si="40"/>
        <v>1</v>
      </c>
      <c r="L235" s="635"/>
      <c r="M235" s="21">
        <f t="shared" si="41"/>
        <v>1</v>
      </c>
      <c r="N235" s="635"/>
      <c r="O235" s="21">
        <f t="shared" si="42"/>
        <v>1</v>
      </c>
      <c r="P235" s="635"/>
      <c r="Q235" s="21">
        <f t="shared" si="43"/>
        <v>1</v>
      </c>
      <c r="R235" s="21">
        <f t="shared" ca="1" si="44"/>
        <v>5044</v>
      </c>
      <c r="S235" s="308">
        <f t="shared" ca="1" si="35"/>
        <v>15</v>
      </c>
    </row>
    <row r="236" spans="1:19">
      <c r="A236" s="3228" t="s">
        <v>5387</v>
      </c>
      <c r="B236" s="3228">
        <v>29.76</v>
      </c>
      <c r="C236" s="21">
        <f t="shared" si="36"/>
        <v>1</v>
      </c>
      <c r="D236" s="3228" t="s">
        <v>5171</v>
      </c>
      <c r="E236" s="21">
        <f t="shared" si="37"/>
        <v>1</v>
      </c>
      <c r="F236" s="635"/>
      <c r="G236" s="21">
        <f t="shared" si="38"/>
        <v>1</v>
      </c>
      <c r="H236" s="635"/>
      <c r="I236" s="21">
        <f t="shared" si="39"/>
        <v>1</v>
      </c>
      <c r="J236" s="635"/>
      <c r="K236" s="21">
        <f t="shared" si="40"/>
        <v>1</v>
      </c>
      <c r="L236" s="635"/>
      <c r="M236" s="21">
        <f t="shared" si="41"/>
        <v>1</v>
      </c>
      <c r="N236" s="635"/>
      <c r="O236" s="21">
        <f t="shared" si="42"/>
        <v>1</v>
      </c>
      <c r="P236" s="635"/>
      <c r="Q236" s="21">
        <f t="shared" si="43"/>
        <v>1</v>
      </c>
      <c r="R236" s="21">
        <f t="shared" ca="1" si="44"/>
        <v>5044</v>
      </c>
      <c r="S236" s="308">
        <f t="shared" ca="1" si="35"/>
        <v>15</v>
      </c>
    </row>
    <row r="237" spans="1:19">
      <c r="A237" s="3228" t="s">
        <v>4224</v>
      </c>
      <c r="B237" s="3228">
        <v>29.76</v>
      </c>
      <c r="C237" s="21">
        <f t="shared" si="36"/>
        <v>1</v>
      </c>
      <c r="D237" s="3228" t="s">
        <v>4009</v>
      </c>
      <c r="E237" s="21">
        <f t="shared" si="37"/>
        <v>1</v>
      </c>
      <c r="F237" s="635"/>
      <c r="G237" s="21">
        <f t="shared" si="38"/>
        <v>1</v>
      </c>
      <c r="H237" s="635"/>
      <c r="I237" s="21">
        <f t="shared" si="39"/>
        <v>1</v>
      </c>
      <c r="J237" s="635"/>
      <c r="K237" s="21">
        <f t="shared" si="40"/>
        <v>1</v>
      </c>
      <c r="L237" s="635"/>
      <c r="M237" s="21">
        <f t="shared" si="41"/>
        <v>1</v>
      </c>
      <c r="N237" s="635"/>
      <c r="O237" s="21">
        <f t="shared" si="42"/>
        <v>1</v>
      </c>
      <c r="P237" s="635"/>
      <c r="Q237" s="21">
        <f t="shared" si="43"/>
        <v>1</v>
      </c>
      <c r="R237" s="21">
        <f t="shared" ca="1" si="44"/>
        <v>5044</v>
      </c>
      <c r="S237" s="308">
        <f t="shared" ca="1" si="35"/>
        <v>15</v>
      </c>
    </row>
    <row r="238" spans="1:19">
      <c r="A238" s="3228" t="s">
        <v>5389</v>
      </c>
      <c r="B238" s="3228">
        <v>28.47</v>
      </c>
      <c r="C238" s="21">
        <f t="shared" si="36"/>
        <v>1</v>
      </c>
      <c r="D238" s="3228" t="s">
        <v>5171</v>
      </c>
      <c r="E238" s="21">
        <f t="shared" si="37"/>
        <v>1</v>
      </c>
      <c r="F238" s="635"/>
      <c r="G238" s="21">
        <f t="shared" si="38"/>
        <v>1</v>
      </c>
      <c r="H238" s="635"/>
      <c r="I238" s="21">
        <f t="shared" si="39"/>
        <v>1</v>
      </c>
      <c r="J238" s="635"/>
      <c r="K238" s="21">
        <f t="shared" si="40"/>
        <v>1</v>
      </c>
      <c r="L238" s="635"/>
      <c r="M238" s="21">
        <f t="shared" si="41"/>
        <v>1</v>
      </c>
      <c r="N238" s="635"/>
      <c r="O238" s="21">
        <f t="shared" si="42"/>
        <v>1</v>
      </c>
      <c r="P238" s="635"/>
      <c r="Q238" s="21">
        <f t="shared" si="43"/>
        <v>1</v>
      </c>
      <c r="R238" s="21">
        <f t="shared" ca="1" si="44"/>
        <v>5044</v>
      </c>
      <c r="S238" s="308">
        <f t="shared" ca="1" si="35"/>
        <v>14</v>
      </c>
    </row>
    <row r="239" spans="1:19">
      <c r="A239" s="3228" t="s">
        <v>4226</v>
      </c>
      <c r="B239" s="3228">
        <v>30.74</v>
      </c>
      <c r="C239" s="21">
        <f t="shared" si="36"/>
        <v>1</v>
      </c>
      <c r="D239" s="3228" t="s">
        <v>4009</v>
      </c>
      <c r="E239" s="21">
        <f t="shared" si="37"/>
        <v>1</v>
      </c>
      <c r="F239" s="635"/>
      <c r="G239" s="21">
        <f t="shared" si="38"/>
        <v>1</v>
      </c>
      <c r="H239" s="635"/>
      <c r="I239" s="21">
        <f t="shared" si="39"/>
        <v>1</v>
      </c>
      <c r="J239" s="635"/>
      <c r="K239" s="21">
        <f t="shared" si="40"/>
        <v>1</v>
      </c>
      <c r="L239" s="635"/>
      <c r="M239" s="21">
        <f t="shared" si="41"/>
        <v>1</v>
      </c>
      <c r="N239" s="635"/>
      <c r="O239" s="21">
        <f t="shared" si="42"/>
        <v>1</v>
      </c>
      <c r="P239" s="635"/>
      <c r="Q239" s="21">
        <f t="shared" si="43"/>
        <v>1</v>
      </c>
      <c r="R239" s="21">
        <f t="shared" ca="1" si="44"/>
        <v>5044</v>
      </c>
      <c r="S239" s="308">
        <f t="shared" ca="1" si="35"/>
        <v>16</v>
      </c>
    </row>
    <row r="240" spans="1:19">
      <c r="A240" s="3228" t="s">
        <v>5391</v>
      </c>
      <c r="B240" s="3228">
        <v>30.74</v>
      </c>
      <c r="C240" s="21">
        <f t="shared" si="36"/>
        <v>1</v>
      </c>
      <c r="D240" s="3228" t="s">
        <v>5171</v>
      </c>
      <c r="E240" s="21">
        <f t="shared" si="37"/>
        <v>1</v>
      </c>
      <c r="F240" s="635"/>
      <c r="G240" s="21">
        <f t="shared" si="38"/>
        <v>1</v>
      </c>
      <c r="H240" s="635"/>
      <c r="I240" s="21">
        <f t="shared" si="39"/>
        <v>1</v>
      </c>
      <c r="J240" s="635"/>
      <c r="K240" s="21">
        <f t="shared" si="40"/>
        <v>1</v>
      </c>
      <c r="L240" s="635"/>
      <c r="M240" s="21">
        <f t="shared" si="41"/>
        <v>1</v>
      </c>
      <c r="N240" s="635"/>
      <c r="O240" s="21">
        <f t="shared" si="42"/>
        <v>1</v>
      </c>
      <c r="P240" s="635"/>
      <c r="Q240" s="21">
        <f t="shared" si="43"/>
        <v>1</v>
      </c>
      <c r="R240" s="21">
        <f t="shared" ca="1" si="44"/>
        <v>5044</v>
      </c>
      <c r="S240" s="308">
        <f t="shared" ca="1" si="35"/>
        <v>16</v>
      </c>
    </row>
    <row r="241" spans="1:19">
      <c r="A241" s="3228" t="s">
        <v>4228</v>
      </c>
      <c r="B241" s="3228">
        <v>29.47</v>
      </c>
      <c r="C241" s="21">
        <f t="shared" si="36"/>
        <v>1</v>
      </c>
      <c r="D241" s="3228" t="s">
        <v>4009</v>
      </c>
      <c r="E241" s="21">
        <f t="shared" si="37"/>
        <v>1</v>
      </c>
      <c r="F241" s="635"/>
      <c r="G241" s="21">
        <f t="shared" si="38"/>
        <v>1</v>
      </c>
      <c r="H241" s="635"/>
      <c r="I241" s="21">
        <f t="shared" si="39"/>
        <v>1</v>
      </c>
      <c r="J241" s="635"/>
      <c r="K241" s="21">
        <f t="shared" si="40"/>
        <v>1</v>
      </c>
      <c r="L241" s="635"/>
      <c r="M241" s="21">
        <f t="shared" si="41"/>
        <v>1</v>
      </c>
      <c r="N241" s="635"/>
      <c r="O241" s="21">
        <f t="shared" si="42"/>
        <v>1</v>
      </c>
      <c r="P241" s="635"/>
      <c r="Q241" s="21">
        <f t="shared" si="43"/>
        <v>1</v>
      </c>
      <c r="R241" s="21">
        <f t="shared" ca="1" si="44"/>
        <v>5044</v>
      </c>
      <c r="S241" s="308">
        <f t="shared" ca="1" si="35"/>
        <v>15</v>
      </c>
    </row>
    <row r="242" spans="1:19">
      <c r="A242" s="3228" t="s">
        <v>5393</v>
      </c>
      <c r="B242" s="3228">
        <v>29.47</v>
      </c>
      <c r="C242" s="21">
        <f t="shared" si="36"/>
        <v>1</v>
      </c>
      <c r="D242" s="3228" t="s">
        <v>5171</v>
      </c>
      <c r="E242" s="21">
        <f t="shared" si="37"/>
        <v>1</v>
      </c>
      <c r="F242" s="635"/>
      <c r="G242" s="21">
        <f t="shared" si="38"/>
        <v>1</v>
      </c>
      <c r="H242" s="635"/>
      <c r="I242" s="21">
        <f t="shared" si="39"/>
        <v>1</v>
      </c>
      <c r="J242" s="635"/>
      <c r="K242" s="21">
        <f t="shared" si="40"/>
        <v>1</v>
      </c>
      <c r="L242" s="635"/>
      <c r="M242" s="21">
        <f t="shared" si="41"/>
        <v>1</v>
      </c>
      <c r="N242" s="635"/>
      <c r="O242" s="21">
        <f t="shared" si="42"/>
        <v>1</v>
      </c>
      <c r="P242" s="635"/>
      <c r="Q242" s="21">
        <f t="shared" si="43"/>
        <v>1</v>
      </c>
      <c r="R242" s="21">
        <f t="shared" ca="1" si="44"/>
        <v>5044</v>
      </c>
      <c r="S242" s="308">
        <f t="shared" ca="1" si="35"/>
        <v>15</v>
      </c>
    </row>
    <row r="243" spans="1:19">
      <c r="A243" s="3228" t="s">
        <v>4230</v>
      </c>
      <c r="B243" s="3228">
        <v>29.47</v>
      </c>
      <c r="C243" s="21">
        <f t="shared" si="36"/>
        <v>1</v>
      </c>
      <c r="D243" s="3228" t="s">
        <v>4009</v>
      </c>
      <c r="E243" s="21">
        <f t="shared" si="37"/>
        <v>1</v>
      </c>
      <c r="F243" s="635"/>
      <c r="G243" s="21">
        <f t="shared" si="38"/>
        <v>1</v>
      </c>
      <c r="H243" s="635"/>
      <c r="I243" s="21">
        <f t="shared" si="39"/>
        <v>1</v>
      </c>
      <c r="J243" s="635"/>
      <c r="K243" s="21">
        <f t="shared" si="40"/>
        <v>1</v>
      </c>
      <c r="L243" s="635"/>
      <c r="M243" s="21">
        <f t="shared" si="41"/>
        <v>1</v>
      </c>
      <c r="N243" s="635"/>
      <c r="O243" s="21">
        <f t="shared" si="42"/>
        <v>1</v>
      </c>
      <c r="P243" s="635"/>
      <c r="Q243" s="21">
        <f t="shared" si="43"/>
        <v>1</v>
      </c>
      <c r="R243" s="21">
        <f t="shared" ca="1" si="44"/>
        <v>5044</v>
      </c>
      <c r="S243" s="308">
        <f t="shared" ca="1" si="35"/>
        <v>15</v>
      </c>
    </row>
    <row r="244" spans="1:19">
      <c r="A244" s="3228" t="s">
        <v>5395</v>
      </c>
      <c r="B244" s="3228">
        <v>29.47</v>
      </c>
      <c r="C244" s="21">
        <f t="shared" si="36"/>
        <v>1</v>
      </c>
      <c r="D244" s="3228" t="s">
        <v>5171</v>
      </c>
      <c r="E244" s="21">
        <f t="shared" si="37"/>
        <v>1</v>
      </c>
      <c r="F244" s="635"/>
      <c r="G244" s="21">
        <f t="shared" si="38"/>
        <v>1</v>
      </c>
      <c r="H244" s="635"/>
      <c r="I244" s="21">
        <f t="shared" si="39"/>
        <v>1</v>
      </c>
      <c r="J244" s="635"/>
      <c r="K244" s="21">
        <f t="shared" si="40"/>
        <v>1</v>
      </c>
      <c r="L244" s="635"/>
      <c r="M244" s="21">
        <f t="shared" si="41"/>
        <v>1</v>
      </c>
      <c r="N244" s="635"/>
      <c r="O244" s="21">
        <f t="shared" si="42"/>
        <v>1</v>
      </c>
      <c r="P244" s="635"/>
      <c r="Q244" s="21">
        <f t="shared" si="43"/>
        <v>1</v>
      </c>
      <c r="R244" s="21">
        <f t="shared" ca="1" si="44"/>
        <v>5044</v>
      </c>
      <c r="S244" s="308">
        <f t="shared" ca="1" si="35"/>
        <v>15</v>
      </c>
    </row>
    <row r="245" spans="1:19">
      <c r="A245" s="3228" t="s">
        <v>4232</v>
      </c>
      <c r="B245" s="3228">
        <v>31.06</v>
      </c>
      <c r="C245" s="21">
        <f t="shared" si="36"/>
        <v>1</v>
      </c>
      <c r="D245" s="3228" t="s">
        <v>4009</v>
      </c>
      <c r="E245" s="21">
        <f t="shared" si="37"/>
        <v>1</v>
      </c>
      <c r="F245" s="635"/>
      <c r="G245" s="21">
        <f t="shared" si="38"/>
        <v>1</v>
      </c>
      <c r="H245" s="635"/>
      <c r="I245" s="21">
        <f t="shared" si="39"/>
        <v>1</v>
      </c>
      <c r="J245" s="635"/>
      <c r="K245" s="21">
        <f t="shared" si="40"/>
        <v>1</v>
      </c>
      <c r="L245" s="635"/>
      <c r="M245" s="21">
        <f t="shared" si="41"/>
        <v>1</v>
      </c>
      <c r="N245" s="635"/>
      <c r="O245" s="21">
        <f t="shared" si="42"/>
        <v>1</v>
      </c>
      <c r="P245" s="635"/>
      <c r="Q245" s="21">
        <f t="shared" si="43"/>
        <v>1</v>
      </c>
      <c r="R245" s="21">
        <f t="shared" ca="1" si="44"/>
        <v>5044</v>
      </c>
      <c r="S245" s="308">
        <f t="shared" ca="1" si="35"/>
        <v>16</v>
      </c>
    </row>
    <row r="246" spans="1:19">
      <c r="A246" s="3228" t="s">
        <v>5397</v>
      </c>
      <c r="B246" s="3228">
        <v>31.06</v>
      </c>
      <c r="C246" s="21">
        <f t="shared" si="36"/>
        <v>1</v>
      </c>
      <c r="D246" s="3228" t="s">
        <v>5171</v>
      </c>
      <c r="E246" s="21">
        <f t="shared" si="37"/>
        <v>1</v>
      </c>
      <c r="F246" s="635"/>
      <c r="G246" s="21">
        <f t="shared" si="38"/>
        <v>1</v>
      </c>
      <c r="H246" s="635"/>
      <c r="I246" s="21">
        <f t="shared" si="39"/>
        <v>1</v>
      </c>
      <c r="J246" s="635"/>
      <c r="K246" s="21">
        <f t="shared" si="40"/>
        <v>1</v>
      </c>
      <c r="L246" s="635"/>
      <c r="M246" s="21">
        <f t="shared" si="41"/>
        <v>1</v>
      </c>
      <c r="N246" s="635"/>
      <c r="O246" s="21">
        <f t="shared" si="42"/>
        <v>1</v>
      </c>
      <c r="P246" s="635"/>
      <c r="Q246" s="21">
        <f t="shared" si="43"/>
        <v>1</v>
      </c>
      <c r="R246" s="21">
        <f t="shared" ca="1" si="44"/>
        <v>5044</v>
      </c>
      <c r="S246" s="308">
        <f t="shared" ca="1" si="35"/>
        <v>16</v>
      </c>
    </row>
    <row r="247" spans="1:19">
      <c r="A247" s="3228" t="s">
        <v>4234</v>
      </c>
      <c r="B247" s="3228">
        <v>31.06</v>
      </c>
      <c r="C247" s="21">
        <f t="shared" si="36"/>
        <v>1</v>
      </c>
      <c r="D247" s="3228" t="s">
        <v>4009</v>
      </c>
      <c r="E247" s="21">
        <f t="shared" si="37"/>
        <v>1</v>
      </c>
      <c r="F247" s="635"/>
      <c r="G247" s="21">
        <f t="shared" si="38"/>
        <v>1</v>
      </c>
      <c r="H247" s="635"/>
      <c r="I247" s="21">
        <f t="shared" si="39"/>
        <v>1</v>
      </c>
      <c r="J247" s="635"/>
      <c r="K247" s="21">
        <f t="shared" si="40"/>
        <v>1</v>
      </c>
      <c r="L247" s="635"/>
      <c r="M247" s="21">
        <f t="shared" si="41"/>
        <v>1</v>
      </c>
      <c r="N247" s="635"/>
      <c r="O247" s="21">
        <f t="shared" si="42"/>
        <v>1</v>
      </c>
      <c r="P247" s="635"/>
      <c r="Q247" s="21">
        <f t="shared" si="43"/>
        <v>1</v>
      </c>
      <c r="R247" s="21">
        <f t="shared" ca="1" si="44"/>
        <v>5044</v>
      </c>
      <c r="S247" s="308">
        <f t="shared" ca="1" si="35"/>
        <v>16</v>
      </c>
    </row>
    <row r="248" spans="1:19">
      <c r="A248" s="3228" t="s">
        <v>5399</v>
      </c>
      <c r="B248" s="3228">
        <v>31.06</v>
      </c>
      <c r="C248" s="21">
        <f t="shared" si="36"/>
        <v>1</v>
      </c>
      <c r="D248" s="3228" t="s">
        <v>5171</v>
      </c>
      <c r="E248" s="21">
        <f t="shared" si="37"/>
        <v>1</v>
      </c>
      <c r="F248" s="635"/>
      <c r="G248" s="21">
        <f t="shared" si="38"/>
        <v>1</v>
      </c>
      <c r="H248" s="635"/>
      <c r="I248" s="21">
        <f t="shared" si="39"/>
        <v>1</v>
      </c>
      <c r="J248" s="635"/>
      <c r="K248" s="21">
        <f t="shared" si="40"/>
        <v>1</v>
      </c>
      <c r="L248" s="635"/>
      <c r="M248" s="21">
        <f t="shared" si="41"/>
        <v>1</v>
      </c>
      <c r="N248" s="635"/>
      <c r="O248" s="21">
        <f t="shared" si="42"/>
        <v>1</v>
      </c>
      <c r="P248" s="635"/>
      <c r="Q248" s="21">
        <f t="shared" si="43"/>
        <v>1</v>
      </c>
      <c r="R248" s="21">
        <f t="shared" ca="1" si="44"/>
        <v>5044</v>
      </c>
      <c r="S248" s="308">
        <f t="shared" ca="1" si="35"/>
        <v>16</v>
      </c>
    </row>
    <row r="249" spans="1:19">
      <c r="A249" s="3228" t="s">
        <v>4236</v>
      </c>
      <c r="B249" s="3228">
        <v>29.76</v>
      </c>
      <c r="C249" s="21">
        <f t="shared" si="36"/>
        <v>1</v>
      </c>
      <c r="D249" s="3228" t="s">
        <v>4009</v>
      </c>
      <c r="E249" s="21">
        <f t="shared" si="37"/>
        <v>1</v>
      </c>
      <c r="F249" s="635"/>
      <c r="G249" s="21">
        <f t="shared" si="38"/>
        <v>1</v>
      </c>
      <c r="H249" s="635"/>
      <c r="I249" s="21">
        <f t="shared" si="39"/>
        <v>1</v>
      </c>
      <c r="J249" s="635"/>
      <c r="K249" s="21">
        <f t="shared" si="40"/>
        <v>1</v>
      </c>
      <c r="L249" s="635"/>
      <c r="M249" s="21">
        <f t="shared" si="41"/>
        <v>1</v>
      </c>
      <c r="N249" s="635"/>
      <c r="O249" s="21">
        <f t="shared" si="42"/>
        <v>1</v>
      </c>
      <c r="P249" s="635"/>
      <c r="Q249" s="21">
        <f t="shared" si="43"/>
        <v>1</v>
      </c>
      <c r="R249" s="21">
        <f t="shared" ca="1" si="44"/>
        <v>5044</v>
      </c>
      <c r="S249" s="308">
        <f t="shared" ca="1" si="35"/>
        <v>15</v>
      </c>
    </row>
    <row r="250" spans="1:19">
      <c r="A250" s="3228" t="s">
        <v>5401</v>
      </c>
      <c r="B250" s="3228">
        <v>29.76</v>
      </c>
      <c r="C250" s="21">
        <f t="shared" si="36"/>
        <v>1</v>
      </c>
      <c r="D250" s="3228" t="s">
        <v>5171</v>
      </c>
      <c r="E250" s="21">
        <f t="shared" si="37"/>
        <v>1</v>
      </c>
      <c r="F250" s="635"/>
      <c r="G250" s="21">
        <f t="shared" si="38"/>
        <v>1</v>
      </c>
      <c r="H250" s="635"/>
      <c r="I250" s="21">
        <f t="shared" si="39"/>
        <v>1</v>
      </c>
      <c r="J250" s="635"/>
      <c r="K250" s="21">
        <f t="shared" si="40"/>
        <v>1</v>
      </c>
      <c r="L250" s="635"/>
      <c r="M250" s="21">
        <f t="shared" si="41"/>
        <v>1</v>
      </c>
      <c r="N250" s="635"/>
      <c r="O250" s="21">
        <f t="shared" si="42"/>
        <v>1</v>
      </c>
      <c r="P250" s="635"/>
      <c r="Q250" s="21">
        <f t="shared" si="43"/>
        <v>1</v>
      </c>
      <c r="R250" s="21">
        <f t="shared" ca="1" si="44"/>
        <v>5044</v>
      </c>
      <c r="S250" s="308">
        <f t="shared" ca="1" si="35"/>
        <v>15</v>
      </c>
    </row>
    <row r="251" spans="1:19">
      <c r="A251" s="3228" t="s">
        <v>4238</v>
      </c>
      <c r="B251" s="3228">
        <v>29.76</v>
      </c>
      <c r="C251" s="21">
        <f t="shared" si="36"/>
        <v>1</v>
      </c>
      <c r="D251" s="3228" t="s">
        <v>4009</v>
      </c>
      <c r="E251" s="21">
        <f t="shared" si="37"/>
        <v>1</v>
      </c>
      <c r="F251" s="635"/>
      <c r="G251" s="21">
        <f t="shared" si="38"/>
        <v>1</v>
      </c>
      <c r="H251" s="635"/>
      <c r="I251" s="21">
        <f t="shared" si="39"/>
        <v>1</v>
      </c>
      <c r="J251" s="635"/>
      <c r="K251" s="21">
        <f t="shared" si="40"/>
        <v>1</v>
      </c>
      <c r="L251" s="635"/>
      <c r="M251" s="21">
        <f t="shared" si="41"/>
        <v>1</v>
      </c>
      <c r="N251" s="635"/>
      <c r="O251" s="21">
        <f t="shared" si="42"/>
        <v>1</v>
      </c>
      <c r="P251" s="635"/>
      <c r="Q251" s="21">
        <f t="shared" si="43"/>
        <v>1</v>
      </c>
      <c r="R251" s="21">
        <f t="shared" ca="1" si="44"/>
        <v>5044</v>
      </c>
      <c r="S251" s="308">
        <f t="shared" ca="1" si="35"/>
        <v>15</v>
      </c>
    </row>
    <row r="252" spans="1:19">
      <c r="A252" s="3228" t="s">
        <v>5403</v>
      </c>
      <c r="B252" s="3228">
        <v>29.76</v>
      </c>
      <c r="C252" s="21">
        <f t="shared" si="36"/>
        <v>1</v>
      </c>
      <c r="D252" s="3228" t="s">
        <v>5171</v>
      </c>
      <c r="E252" s="21">
        <f t="shared" si="37"/>
        <v>1</v>
      </c>
      <c r="F252" s="635"/>
      <c r="G252" s="21">
        <f t="shared" si="38"/>
        <v>1</v>
      </c>
      <c r="H252" s="635"/>
      <c r="I252" s="21">
        <f t="shared" si="39"/>
        <v>1</v>
      </c>
      <c r="J252" s="635"/>
      <c r="K252" s="21">
        <f t="shared" si="40"/>
        <v>1</v>
      </c>
      <c r="L252" s="635"/>
      <c r="M252" s="21">
        <f t="shared" si="41"/>
        <v>1</v>
      </c>
      <c r="N252" s="635"/>
      <c r="O252" s="21">
        <f t="shared" si="42"/>
        <v>1</v>
      </c>
      <c r="P252" s="635"/>
      <c r="Q252" s="21">
        <f t="shared" si="43"/>
        <v>1</v>
      </c>
      <c r="R252" s="21">
        <f t="shared" ca="1" si="44"/>
        <v>5044</v>
      </c>
      <c r="S252" s="308">
        <f t="shared" ca="1" si="35"/>
        <v>15</v>
      </c>
    </row>
    <row r="253" spans="1:19">
      <c r="A253" s="3228" t="s">
        <v>4240</v>
      </c>
      <c r="B253" s="3228">
        <v>29.76</v>
      </c>
      <c r="C253" s="21">
        <f t="shared" si="36"/>
        <v>1</v>
      </c>
      <c r="D253" s="3228" t="s">
        <v>4009</v>
      </c>
      <c r="E253" s="21">
        <f t="shared" si="37"/>
        <v>1</v>
      </c>
      <c r="F253" s="635"/>
      <c r="G253" s="21">
        <f t="shared" si="38"/>
        <v>1</v>
      </c>
      <c r="H253" s="635"/>
      <c r="I253" s="21">
        <f t="shared" si="39"/>
        <v>1</v>
      </c>
      <c r="J253" s="635"/>
      <c r="K253" s="21">
        <f t="shared" si="40"/>
        <v>1</v>
      </c>
      <c r="L253" s="635"/>
      <c r="M253" s="21">
        <f t="shared" si="41"/>
        <v>1</v>
      </c>
      <c r="N253" s="635"/>
      <c r="O253" s="21">
        <f t="shared" si="42"/>
        <v>1</v>
      </c>
      <c r="P253" s="635"/>
      <c r="Q253" s="21">
        <f t="shared" si="43"/>
        <v>1</v>
      </c>
      <c r="R253" s="21">
        <f t="shared" ca="1" si="44"/>
        <v>5044</v>
      </c>
      <c r="S253" s="308">
        <f t="shared" ca="1" si="35"/>
        <v>15</v>
      </c>
    </row>
    <row r="254" spans="1:19">
      <c r="A254" s="3228" t="s">
        <v>5405</v>
      </c>
      <c r="B254" s="3228">
        <v>29.76</v>
      </c>
      <c r="C254" s="21">
        <f t="shared" si="36"/>
        <v>1</v>
      </c>
      <c r="D254" s="3228" t="s">
        <v>5171</v>
      </c>
      <c r="E254" s="21">
        <f t="shared" si="37"/>
        <v>1</v>
      </c>
      <c r="F254" s="635"/>
      <c r="G254" s="21">
        <f t="shared" si="38"/>
        <v>1</v>
      </c>
      <c r="H254" s="635"/>
      <c r="I254" s="21">
        <f t="shared" si="39"/>
        <v>1</v>
      </c>
      <c r="J254" s="635"/>
      <c r="K254" s="21">
        <f t="shared" si="40"/>
        <v>1</v>
      </c>
      <c r="L254" s="635"/>
      <c r="M254" s="21">
        <f t="shared" si="41"/>
        <v>1</v>
      </c>
      <c r="N254" s="635"/>
      <c r="O254" s="21">
        <f t="shared" si="42"/>
        <v>1</v>
      </c>
      <c r="P254" s="635"/>
      <c r="Q254" s="21">
        <f t="shared" si="43"/>
        <v>1</v>
      </c>
      <c r="R254" s="21">
        <f t="shared" ca="1" si="44"/>
        <v>5044</v>
      </c>
      <c r="S254" s="308">
        <f t="shared" ca="1" si="35"/>
        <v>15</v>
      </c>
    </row>
    <row r="255" spans="1:19">
      <c r="A255" s="3228" t="s">
        <v>4242</v>
      </c>
      <c r="B255" s="3228">
        <v>29.47</v>
      </c>
      <c r="C255" s="21">
        <f t="shared" si="36"/>
        <v>1</v>
      </c>
      <c r="D255" s="3228" t="s">
        <v>4009</v>
      </c>
      <c r="E255" s="21">
        <f t="shared" si="37"/>
        <v>1</v>
      </c>
      <c r="F255" s="635"/>
      <c r="G255" s="21">
        <f t="shared" si="38"/>
        <v>1</v>
      </c>
      <c r="H255" s="635"/>
      <c r="I255" s="21">
        <f t="shared" si="39"/>
        <v>1</v>
      </c>
      <c r="J255" s="635"/>
      <c r="K255" s="21">
        <f t="shared" si="40"/>
        <v>1</v>
      </c>
      <c r="L255" s="635"/>
      <c r="M255" s="21">
        <f t="shared" si="41"/>
        <v>1</v>
      </c>
      <c r="N255" s="635"/>
      <c r="O255" s="21">
        <f t="shared" si="42"/>
        <v>1</v>
      </c>
      <c r="P255" s="635"/>
      <c r="Q255" s="21">
        <f t="shared" si="43"/>
        <v>1</v>
      </c>
      <c r="R255" s="21">
        <f t="shared" ca="1" si="44"/>
        <v>5044</v>
      </c>
      <c r="S255" s="308">
        <f t="shared" ca="1" si="35"/>
        <v>15</v>
      </c>
    </row>
    <row r="256" spans="1:19">
      <c r="A256" s="3227" t="s">
        <v>5407</v>
      </c>
      <c r="B256" s="3228">
        <v>29.47</v>
      </c>
      <c r="C256" s="21">
        <f t="shared" si="36"/>
        <v>1</v>
      </c>
      <c r="D256" s="3237" t="s">
        <v>5208</v>
      </c>
      <c r="E256" s="21">
        <f t="shared" si="37"/>
        <v>1</v>
      </c>
      <c r="F256" s="635"/>
      <c r="G256" s="21">
        <f t="shared" si="38"/>
        <v>1</v>
      </c>
      <c r="H256" s="635"/>
      <c r="I256" s="21">
        <f t="shared" si="39"/>
        <v>1</v>
      </c>
      <c r="J256" s="635"/>
      <c r="K256" s="21">
        <f t="shared" si="40"/>
        <v>1</v>
      </c>
      <c r="L256" s="635"/>
      <c r="M256" s="21">
        <f t="shared" si="41"/>
        <v>1</v>
      </c>
      <c r="N256" s="635"/>
      <c r="O256" s="21">
        <f t="shared" si="42"/>
        <v>1</v>
      </c>
      <c r="P256" s="635"/>
      <c r="Q256" s="21">
        <f t="shared" si="43"/>
        <v>1</v>
      </c>
      <c r="R256" s="21">
        <f t="shared" ca="1" si="44"/>
        <v>5044</v>
      </c>
      <c r="S256" s="308">
        <f t="shared" ca="1" si="35"/>
        <v>15</v>
      </c>
    </row>
    <row r="257" spans="1:19">
      <c r="A257" s="3227" t="s">
        <v>4244</v>
      </c>
      <c r="B257" s="3228">
        <v>29.47</v>
      </c>
      <c r="C257" s="21">
        <f t="shared" si="36"/>
        <v>1</v>
      </c>
      <c r="D257" s="3237" t="s">
        <v>4009</v>
      </c>
      <c r="E257" s="21">
        <f t="shared" si="37"/>
        <v>1</v>
      </c>
      <c r="F257" s="635"/>
      <c r="G257" s="21">
        <f t="shared" si="38"/>
        <v>1</v>
      </c>
      <c r="H257" s="635"/>
      <c r="I257" s="21">
        <f t="shared" si="39"/>
        <v>1</v>
      </c>
      <c r="J257" s="635"/>
      <c r="K257" s="21">
        <f t="shared" si="40"/>
        <v>1</v>
      </c>
      <c r="L257" s="635"/>
      <c r="M257" s="21">
        <f t="shared" si="41"/>
        <v>1</v>
      </c>
      <c r="N257" s="635"/>
      <c r="O257" s="21">
        <f t="shared" si="42"/>
        <v>1</v>
      </c>
      <c r="P257" s="635"/>
      <c r="Q257" s="21">
        <f t="shared" si="43"/>
        <v>1</v>
      </c>
      <c r="R257" s="21">
        <f t="shared" ca="1" si="44"/>
        <v>5044</v>
      </c>
      <c r="S257" s="308">
        <f t="shared" ca="1" si="35"/>
        <v>15</v>
      </c>
    </row>
    <row r="258" spans="1:19">
      <c r="A258" s="3227" t="s">
        <v>5409</v>
      </c>
      <c r="B258" s="3228">
        <v>29.47</v>
      </c>
      <c r="C258" s="21">
        <f t="shared" si="36"/>
        <v>1</v>
      </c>
      <c r="D258" s="3237" t="s">
        <v>5171</v>
      </c>
      <c r="E258" s="21">
        <f t="shared" si="37"/>
        <v>1</v>
      </c>
      <c r="F258" s="635"/>
      <c r="G258" s="21">
        <f t="shared" si="38"/>
        <v>1</v>
      </c>
      <c r="H258" s="635"/>
      <c r="I258" s="21">
        <f t="shared" si="39"/>
        <v>1</v>
      </c>
      <c r="J258" s="635"/>
      <c r="K258" s="21">
        <f t="shared" si="40"/>
        <v>1</v>
      </c>
      <c r="L258" s="635"/>
      <c r="M258" s="21">
        <f t="shared" si="41"/>
        <v>1</v>
      </c>
      <c r="N258" s="635"/>
      <c r="O258" s="21">
        <f t="shared" si="42"/>
        <v>1</v>
      </c>
      <c r="P258" s="635"/>
      <c r="Q258" s="21">
        <f t="shared" si="43"/>
        <v>1</v>
      </c>
      <c r="R258" s="21">
        <f t="shared" ca="1" si="44"/>
        <v>5044</v>
      </c>
      <c r="S258" s="308">
        <f t="shared" ca="1" si="35"/>
        <v>15</v>
      </c>
    </row>
    <row r="259" spans="1:19">
      <c r="A259" s="3227" t="s">
        <v>4246</v>
      </c>
      <c r="B259" s="3228">
        <v>29.47</v>
      </c>
      <c r="C259" s="21">
        <f t="shared" si="36"/>
        <v>1</v>
      </c>
      <c r="D259" s="3237" t="s">
        <v>4009</v>
      </c>
      <c r="E259" s="21">
        <f t="shared" si="37"/>
        <v>1</v>
      </c>
      <c r="F259" s="635"/>
      <c r="G259" s="21">
        <f t="shared" si="38"/>
        <v>1</v>
      </c>
      <c r="H259" s="635"/>
      <c r="I259" s="21">
        <f t="shared" si="39"/>
        <v>1</v>
      </c>
      <c r="J259" s="635"/>
      <c r="K259" s="21">
        <f t="shared" si="40"/>
        <v>1</v>
      </c>
      <c r="L259" s="635"/>
      <c r="M259" s="21">
        <f t="shared" si="41"/>
        <v>1</v>
      </c>
      <c r="N259" s="635"/>
      <c r="O259" s="21">
        <f t="shared" si="42"/>
        <v>1</v>
      </c>
      <c r="P259" s="635"/>
      <c r="Q259" s="21">
        <f t="shared" si="43"/>
        <v>1</v>
      </c>
      <c r="R259" s="21">
        <f t="shared" ca="1" si="44"/>
        <v>5044</v>
      </c>
      <c r="S259" s="308">
        <f t="shared" ca="1" si="35"/>
        <v>15</v>
      </c>
    </row>
    <row r="260" spans="1:19">
      <c r="A260" s="3227" t="s">
        <v>5411</v>
      </c>
      <c r="B260" s="3228">
        <v>29.47</v>
      </c>
      <c r="C260" s="21">
        <f t="shared" si="36"/>
        <v>1</v>
      </c>
      <c r="D260" s="3237" t="s">
        <v>5171</v>
      </c>
      <c r="E260" s="21">
        <f t="shared" si="37"/>
        <v>1</v>
      </c>
      <c r="F260" s="635"/>
      <c r="G260" s="21">
        <f t="shared" si="38"/>
        <v>1</v>
      </c>
      <c r="H260" s="635"/>
      <c r="I260" s="21">
        <f t="shared" si="39"/>
        <v>1</v>
      </c>
      <c r="J260" s="635"/>
      <c r="K260" s="21">
        <f t="shared" si="40"/>
        <v>1</v>
      </c>
      <c r="L260" s="635"/>
      <c r="M260" s="21">
        <f t="shared" si="41"/>
        <v>1</v>
      </c>
      <c r="N260" s="635"/>
      <c r="O260" s="21">
        <f t="shared" si="42"/>
        <v>1</v>
      </c>
      <c r="P260" s="635"/>
      <c r="Q260" s="21">
        <f t="shared" si="43"/>
        <v>1</v>
      </c>
      <c r="R260" s="21">
        <f t="shared" ca="1" si="44"/>
        <v>5044</v>
      </c>
      <c r="S260" s="308">
        <f t="shared" ca="1" si="35"/>
        <v>15</v>
      </c>
    </row>
    <row r="261" spans="1:19">
      <c r="A261" s="3227" t="s">
        <v>4248</v>
      </c>
      <c r="B261" s="3228">
        <v>29.47</v>
      </c>
      <c r="C261" s="21">
        <f t="shared" si="36"/>
        <v>1</v>
      </c>
      <c r="D261" s="3237" t="s">
        <v>4009</v>
      </c>
      <c r="E261" s="21">
        <f t="shared" si="37"/>
        <v>1</v>
      </c>
      <c r="F261" s="635"/>
      <c r="G261" s="21">
        <f t="shared" si="38"/>
        <v>1</v>
      </c>
      <c r="H261" s="635"/>
      <c r="I261" s="21">
        <f t="shared" si="39"/>
        <v>1</v>
      </c>
      <c r="J261" s="635"/>
      <c r="K261" s="21">
        <f t="shared" si="40"/>
        <v>1</v>
      </c>
      <c r="L261" s="635"/>
      <c r="M261" s="21">
        <f t="shared" si="41"/>
        <v>1</v>
      </c>
      <c r="N261" s="635"/>
      <c r="O261" s="21">
        <f t="shared" si="42"/>
        <v>1</v>
      </c>
      <c r="P261" s="635"/>
      <c r="Q261" s="21">
        <f t="shared" si="43"/>
        <v>1</v>
      </c>
      <c r="R261" s="21">
        <f t="shared" ca="1" si="44"/>
        <v>5044</v>
      </c>
      <c r="S261" s="308">
        <f t="shared" ca="1" si="35"/>
        <v>15</v>
      </c>
    </row>
    <row r="262" spans="1:19">
      <c r="A262" s="3227" t="s">
        <v>5413</v>
      </c>
      <c r="B262" s="3228">
        <v>29.47</v>
      </c>
      <c r="C262" s="21">
        <f t="shared" si="36"/>
        <v>1</v>
      </c>
      <c r="D262" s="3237" t="s">
        <v>5171</v>
      </c>
      <c r="E262" s="21">
        <f t="shared" si="37"/>
        <v>1</v>
      </c>
      <c r="F262" s="635"/>
      <c r="G262" s="21">
        <f t="shared" si="38"/>
        <v>1</v>
      </c>
      <c r="H262" s="635"/>
      <c r="I262" s="21">
        <f t="shared" si="39"/>
        <v>1</v>
      </c>
      <c r="J262" s="635"/>
      <c r="K262" s="21">
        <f t="shared" si="40"/>
        <v>1</v>
      </c>
      <c r="L262" s="635"/>
      <c r="M262" s="21">
        <f t="shared" si="41"/>
        <v>1</v>
      </c>
      <c r="N262" s="635"/>
      <c r="O262" s="21">
        <f t="shared" si="42"/>
        <v>1</v>
      </c>
      <c r="P262" s="635"/>
      <c r="Q262" s="21">
        <f t="shared" si="43"/>
        <v>1</v>
      </c>
      <c r="R262" s="21">
        <f t="shared" ca="1" si="44"/>
        <v>5044</v>
      </c>
      <c r="S262" s="308">
        <f t="shared" ca="1" si="35"/>
        <v>15</v>
      </c>
    </row>
    <row r="263" spans="1:19">
      <c r="A263" s="3227" t="s">
        <v>4250</v>
      </c>
      <c r="B263" s="3228">
        <v>29.47</v>
      </c>
      <c r="C263" s="21">
        <f t="shared" si="36"/>
        <v>1</v>
      </c>
      <c r="D263" s="3237" t="s">
        <v>4009</v>
      </c>
      <c r="E263" s="21">
        <f t="shared" si="37"/>
        <v>1</v>
      </c>
      <c r="F263" s="635"/>
      <c r="G263" s="21">
        <f t="shared" si="38"/>
        <v>1</v>
      </c>
      <c r="H263" s="635"/>
      <c r="I263" s="21">
        <f t="shared" si="39"/>
        <v>1</v>
      </c>
      <c r="J263" s="635"/>
      <c r="K263" s="21">
        <f t="shared" si="40"/>
        <v>1</v>
      </c>
      <c r="L263" s="635"/>
      <c r="M263" s="21">
        <f t="shared" si="41"/>
        <v>1</v>
      </c>
      <c r="N263" s="635"/>
      <c r="O263" s="21">
        <f t="shared" si="42"/>
        <v>1</v>
      </c>
      <c r="P263" s="635"/>
      <c r="Q263" s="21">
        <f t="shared" si="43"/>
        <v>1</v>
      </c>
      <c r="R263" s="21">
        <f t="shared" ca="1" si="44"/>
        <v>5044</v>
      </c>
      <c r="S263" s="308">
        <f t="shared" ca="1" si="35"/>
        <v>15</v>
      </c>
    </row>
    <row r="264" spans="1:19">
      <c r="A264" s="3227" t="s">
        <v>5415</v>
      </c>
      <c r="B264" s="3228">
        <v>29.47</v>
      </c>
      <c r="C264" s="21">
        <f t="shared" si="36"/>
        <v>1</v>
      </c>
      <c r="D264" s="3237" t="s">
        <v>5171</v>
      </c>
      <c r="E264" s="21">
        <f t="shared" si="37"/>
        <v>1</v>
      </c>
      <c r="F264" s="635"/>
      <c r="G264" s="21">
        <f t="shared" si="38"/>
        <v>1</v>
      </c>
      <c r="H264" s="635"/>
      <c r="I264" s="21">
        <f t="shared" si="39"/>
        <v>1</v>
      </c>
      <c r="J264" s="635"/>
      <c r="K264" s="21">
        <f t="shared" si="40"/>
        <v>1</v>
      </c>
      <c r="L264" s="635"/>
      <c r="M264" s="21">
        <f t="shared" si="41"/>
        <v>1</v>
      </c>
      <c r="N264" s="635"/>
      <c r="O264" s="21">
        <f t="shared" si="42"/>
        <v>1</v>
      </c>
      <c r="P264" s="635"/>
      <c r="Q264" s="21">
        <f t="shared" si="43"/>
        <v>1</v>
      </c>
      <c r="R264" s="21">
        <f t="shared" ca="1" si="44"/>
        <v>5044</v>
      </c>
      <c r="S264" s="308">
        <f t="shared" ca="1" si="35"/>
        <v>15</v>
      </c>
    </row>
    <row r="265" spans="1:19">
      <c r="A265" s="3227" t="s">
        <v>4252</v>
      </c>
      <c r="B265" s="3228">
        <v>29.47</v>
      </c>
      <c r="C265" s="21">
        <f t="shared" si="36"/>
        <v>1</v>
      </c>
      <c r="D265" s="3237" t="s">
        <v>4009</v>
      </c>
      <c r="E265" s="21">
        <f t="shared" si="37"/>
        <v>1</v>
      </c>
      <c r="F265" s="635"/>
      <c r="G265" s="21">
        <f t="shared" si="38"/>
        <v>1</v>
      </c>
      <c r="H265" s="635"/>
      <c r="I265" s="21">
        <f t="shared" si="39"/>
        <v>1</v>
      </c>
      <c r="J265" s="635"/>
      <c r="K265" s="21">
        <f t="shared" si="40"/>
        <v>1</v>
      </c>
      <c r="L265" s="635"/>
      <c r="M265" s="21">
        <f t="shared" si="41"/>
        <v>1</v>
      </c>
      <c r="N265" s="635"/>
      <c r="O265" s="21">
        <f t="shared" si="42"/>
        <v>1</v>
      </c>
      <c r="P265" s="635"/>
      <c r="Q265" s="21">
        <f t="shared" si="43"/>
        <v>1</v>
      </c>
      <c r="R265" s="21">
        <f t="shared" ca="1" si="44"/>
        <v>5044</v>
      </c>
      <c r="S265" s="308">
        <f t="shared" ca="1" si="35"/>
        <v>15</v>
      </c>
    </row>
    <row r="266" spans="1:19">
      <c r="A266" s="3227" t="s">
        <v>5417</v>
      </c>
      <c r="B266" s="3228">
        <v>29.47</v>
      </c>
      <c r="C266" s="21">
        <f t="shared" si="36"/>
        <v>1</v>
      </c>
      <c r="D266" s="3237" t="s">
        <v>5171</v>
      </c>
      <c r="E266" s="21">
        <f t="shared" si="37"/>
        <v>1</v>
      </c>
      <c r="F266" s="635"/>
      <c r="G266" s="21">
        <f t="shared" si="38"/>
        <v>1</v>
      </c>
      <c r="H266" s="635"/>
      <c r="I266" s="21">
        <f t="shared" si="39"/>
        <v>1</v>
      </c>
      <c r="J266" s="635"/>
      <c r="K266" s="21">
        <f t="shared" si="40"/>
        <v>1</v>
      </c>
      <c r="L266" s="635"/>
      <c r="M266" s="21">
        <f t="shared" si="41"/>
        <v>1</v>
      </c>
      <c r="N266" s="635"/>
      <c r="O266" s="21">
        <f t="shared" si="42"/>
        <v>1</v>
      </c>
      <c r="P266" s="635"/>
      <c r="Q266" s="21">
        <f t="shared" si="43"/>
        <v>1</v>
      </c>
      <c r="R266" s="21">
        <f t="shared" ca="1" si="44"/>
        <v>5044</v>
      </c>
      <c r="S266" s="308">
        <f t="shared" ca="1" si="35"/>
        <v>15</v>
      </c>
    </row>
    <row r="267" spans="1:19">
      <c r="A267" s="3227" t="s">
        <v>4254</v>
      </c>
      <c r="B267" s="3228">
        <v>29.47</v>
      </c>
      <c r="C267" s="21">
        <f t="shared" si="36"/>
        <v>1</v>
      </c>
      <c r="D267" s="3237" t="s">
        <v>4009</v>
      </c>
      <c r="E267" s="21">
        <f t="shared" si="37"/>
        <v>1</v>
      </c>
      <c r="F267" s="635"/>
      <c r="G267" s="21">
        <f t="shared" si="38"/>
        <v>1</v>
      </c>
      <c r="H267" s="635"/>
      <c r="I267" s="21">
        <f t="shared" si="39"/>
        <v>1</v>
      </c>
      <c r="J267" s="635"/>
      <c r="K267" s="21">
        <f t="shared" si="40"/>
        <v>1</v>
      </c>
      <c r="L267" s="635"/>
      <c r="M267" s="21">
        <f t="shared" si="41"/>
        <v>1</v>
      </c>
      <c r="N267" s="635"/>
      <c r="O267" s="21">
        <f t="shared" si="42"/>
        <v>1</v>
      </c>
      <c r="P267" s="635"/>
      <c r="Q267" s="21">
        <f t="shared" si="43"/>
        <v>1</v>
      </c>
      <c r="R267" s="21">
        <f t="shared" ca="1" si="44"/>
        <v>5044</v>
      </c>
      <c r="S267" s="308">
        <f t="shared" ca="1" si="35"/>
        <v>15</v>
      </c>
    </row>
    <row r="268" spans="1:19">
      <c r="A268" s="3227" t="s">
        <v>5419</v>
      </c>
      <c r="B268" s="3228">
        <v>29.47</v>
      </c>
      <c r="C268" s="21">
        <f t="shared" si="36"/>
        <v>1</v>
      </c>
      <c r="D268" s="3237" t="s">
        <v>5171</v>
      </c>
      <c r="E268" s="21">
        <f t="shared" si="37"/>
        <v>1</v>
      </c>
      <c r="F268" s="635"/>
      <c r="G268" s="21">
        <f t="shared" si="38"/>
        <v>1</v>
      </c>
      <c r="H268" s="635"/>
      <c r="I268" s="21">
        <f t="shared" si="39"/>
        <v>1</v>
      </c>
      <c r="J268" s="635"/>
      <c r="K268" s="21">
        <f t="shared" si="40"/>
        <v>1</v>
      </c>
      <c r="L268" s="635"/>
      <c r="M268" s="21">
        <f t="shared" si="41"/>
        <v>1</v>
      </c>
      <c r="N268" s="635"/>
      <c r="O268" s="21">
        <f t="shared" si="42"/>
        <v>1</v>
      </c>
      <c r="P268" s="635"/>
      <c r="Q268" s="21">
        <f t="shared" si="43"/>
        <v>1</v>
      </c>
      <c r="R268" s="21">
        <f t="shared" ca="1" si="44"/>
        <v>5044</v>
      </c>
      <c r="S268" s="308">
        <f t="shared" ca="1" si="35"/>
        <v>15</v>
      </c>
    </row>
    <row r="269" spans="1:19">
      <c r="A269" s="3227" t="s">
        <v>4256</v>
      </c>
      <c r="B269" s="3228">
        <v>26.91</v>
      </c>
      <c r="C269" s="21">
        <f t="shared" si="36"/>
        <v>1</v>
      </c>
      <c r="D269" s="3237" t="s">
        <v>4009</v>
      </c>
      <c r="E269" s="21">
        <f t="shared" si="37"/>
        <v>1</v>
      </c>
      <c r="F269" s="635"/>
      <c r="G269" s="21">
        <f t="shared" si="38"/>
        <v>1</v>
      </c>
      <c r="H269" s="635"/>
      <c r="I269" s="21">
        <f t="shared" si="39"/>
        <v>1</v>
      </c>
      <c r="J269" s="635"/>
      <c r="K269" s="21">
        <f t="shared" si="40"/>
        <v>1</v>
      </c>
      <c r="L269" s="635"/>
      <c r="M269" s="21">
        <f t="shared" si="41"/>
        <v>1</v>
      </c>
      <c r="N269" s="635"/>
      <c r="O269" s="21">
        <f t="shared" si="42"/>
        <v>1</v>
      </c>
      <c r="P269" s="635"/>
      <c r="Q269" s="21">
        <f t="shared" si="43"/>
        <v>1</v>
      </c>
      <c r="R269" s="21">
        <f t="shared" ca="1" si="44"/>
        <v>5044</v>
      </c>
      <c r="S269" s="308">
        <f t="shared" ca="1" si="35"/>
        <v>14</v>
      </c>
    </row>
    <row r="270" spans="1:19">
      <c r="A270" s="3227" t="s">
        <v>5421</v>
      </c>
      <c r="B270" s="3228">
        <v>29.47</v>
      </c>
      <c r="C270" s="21">
        <f t="shared" si="36"/>
        <v>1</v>
      </c>
      <c r="D270" s="3237" t="s">
        <v>5171</v>
      </c>
      <c r="E270" s="21">
        <f t="shared" si="37"/>
        <v>1</v>
      </c>
      <c r="F270" s="635"/>
      <c r="G270" s="21">
        <f t="shared" si="38"/>
        <v>1</v>
      </c>
      <c r="H270" s="635"/>
      <c r="I270" s="21">
        <f t="shared" si="39"/>
        <v>1</v>
      </c>
      <c r="J270" s="635"/>
      <c r="K270" s="21">
        <f t="shared" si="40"/>
        <v>1</v>
      </c>
      <c r="L270" s="635"/>
      <c r="M270" s="21">
        <f t="shared" si="41"/>
        <v>1</v>
      </c>
      <c r="N270" s="635"/>
      <c r="O270" s="21">
        <f t="shared" si="42"/>
        <v>1</v>
      </c>
      <c r="P270" s="635"/>
      <c r="Q270" s="21">
        <f t="shared" si="43"/>
        <v>1</v>
      </c>
      <c r="R270" s="21">
        <f t="shared" ca="1" si="44"/>
        <v>5044</v>
      </c>
      <c r="S270" s="308">
        <f t="shared" ca="1" si="35"/>
        <v>15</v>
      </c>
    </row>
    <row r="271" spans="1:19">
      <c r="A271" s="3227" t="s">
        <v>4258</v>
      </c>
      <c r="B271" s="3228">
        <v>29.47</v>
      </c>
      <c r="C271" s="21">
        <f t="shared" si="36"/>
        <v>1</v>
      </c>
      <c r="D271" s="3237" t="s">
        <v>4009</v>
      </c>
      <c r="E271" s="21">
        <f t="shared" si="37"/>
        <v>1</v>
      </c>
      <c r="F271" s="635"/>
      <c r="G271" s="21">
        <f t="shared" si="38"/>
        <v>1</v>
      </c>
      <c r="H271" s="635"/>
      <c r="I271" s="21">
        <f t="shared" si="39"/>
        <v>1</v>
      </c>
      <c r="J271" s="635"/>
      <c r="K271" s="21">
        <f t="shared" si="40"/>
        <v>1</v>
      </c>
      <c r="L271" s="635"/>
      <c r="M271" s="21">
        <f t="shared" si="41"/>
        <v>1</v>
      </c>
      <c r="N271" s="635"/>
      <c r="O271" s="21">
        <f t="shared" si="42"/>
        <v>1</v>
      </c>
      <c r="P271" s="635"/>
      <c r="Q271" s="21">
        <f t="shared" si="43"/>
        <v>1</v>
      </c>
      <c r="R271" s="21">
        <f t="shared" ca="1" si="44"/>
        <v>5044</v>
      </c>
      <c r="S271" s="308">
        <f t="shared" ca="1" si="35"/>
        <v>15</v>
      </c>
    </row>
    <row r="272" spans="1:19">
      <c r="A272" s="3227" t="s">
        <v>5423</v>
      </c>
      <c r="B272" s="3228">
        <v>29.47</v>
      </c>
      <c r="C272" s="21">
        <f t="shared" si="36"/>
        <v>1</v>
      </c>
      <c r="D272" s="3237" t="s">
        <v>5171</v>
      </c>
      <c r="E272" s="21">
        <f t="shared" si="37"/>
        <v>1</v>
      </c>
      <c r="F272" s="635"/>
      <c r="G272" s="21">
        <f t="shared" si="38"/>
        <v>1</v>
      </c>
      <c r="H272" s="635"/>
      <c r="I272" s="21">
        <f t="shared" si="39"/>
        <v>1</v>
      </c>
      <c r="J272" s="635"/>
      <c r="K272" s="21">
        <f t="shared" si="40"/>
        <v>1</v>
      </c>
      <c r="L272" s="635"/>
      <c r="M272" s="21">
        <f t="shared" si="41"/>
        <v>1</v>
      </c>
      <c r="N272" s="635"/>
      <c r="O272" s="21">
        <f t="shared" si="42"/>
        <v>1</v>
      </c>
      <c r="P272" s="635"/>
      <c r="Q272" s="21">
        <f t="shared" si="43"/>
        <v>1</v>
      </c>
      <c r="R272" s="21">
        <f t="shared" ca="1" si="44"/>
        <v>5044</v>
      </c>
      <c r="S272" s="308">
        <f t="shared" ca="1" si="35"/>
        <v>15</v>
      </c>
    </row>
    <row r="273" spans="1:19">
      <c r="A273" s="3227" t="s">
        <v>4260</v>
      </c>
      <c r="B273" s="3228">
        <v>32.03</v>
      </c>
      <c r="C273" s="21">
        <f t="shared" si="36"/>
        <v>1</v>
      </c>
      <c r="D273" s="3237" t="s">
        <v>4009</v>
      </c>
      <c r="E273" s="21">
        <f t="shared" si="37"/>
        <v>1</v>
      </c>
      <c r="F273" s="635"/>
      <c r="G273" s="21">
        <f t="shared" si="38"/>
        <v>1</v>
      </c>
      <c r="H273" s="635"/>
      <c r="I273" s="21">
        <f t="shared" si="39"/>
        <v>1</v>
      </c>
      <c r="J273" s="635"/>
      <c r="K273" s="21">
        <f t="shared" si="40"/>
        <v>1</v>
      </c>
      <c r="L273" s="635"/>
      <c r="M273" s="21">
        <f t="shared" si="41"/>
        <v>1</v>
      </c>
      <c r="N273" s="635"/>
      <c r="O273" s="21">
        <f t="shared" si="42"/>
        <v>1</v>
      </c>
      <c r="P273" s="635"/>
      <c r="Q273" s="21">
        <f t="shared" si="43"/>
        <v>1</v>
      </c>
      <c r="R273" s="21">
        <f t="shared" ca="1" si="44"/>
        <v>5044</v>
      </c>
      <c r="S273" s="308">
        <f t="shared" ca="1" si="35"/>
        <v>16</v>
      </c>
    </row>
    <row r="274" spans="1:19">
      <c r="A274" s="3227" t="s">
        <v>5425</v>
      </c>
      <c r="B274" s="3228">
        <v>30.74</v>
      </c>
      <c r="C274" s="21">
        <f t="shared" si="36"/>
        <v>1</v>
      </c>
      <c r="D274" s="3237" t="s">
        <v>5171</v>
      </c>
      <c r="E274" s="21">
        <f t="shared" si="37"/>
        <v>1</v>
      </c>
      <c r="F274" s="635"/>
      <c r="G274" s="21">
        <f t="shared" si="38"/>
        <v>1</v>
      </c>
      <c r="H274" s="635"/>
      <c r="I274" s="21">
        <f t="shared" si="39"/>
        <v>1</v>
      </c>
      <c r="J274" s="635"/>
      <c r="K274" s="21">
        <f t="shared" si="40"/>
        <v>1</v>
      </c>
      <c r="L274" s="635"/>
      <c r="M274" s="21">
        <f t="shared" si="41"/>
        <v>1</v>
      </c>
      <c r="N274" s="635"/>
      <c r="O274" s="21">
        <f t="shared" si="42"/>
        <v>1</v>
      </c>
      <c r="P274" s="635"/>
      <c r="Q274" s="21">
        <f t="shared" si="43"/>
        <v>1</v>
      </c>
      <c r="R274" s="21">
        <f t="shared" ca="1" si="44"/>
        <v>5044</v>
      </c>
      <c r="S274" s="308">
        <f t="shared" ca="1" si="35"/>
        <v>16</v>
      </c>
    </row>
    <row r="275" spans="1:19">
      <c r="A275" s="3227" t="s">
        <v>4262</v>
      </c>
      <c r="B275" s="3228">
        <v>30.74</v>
      </c>
      <c r="C275" s="21">
        <f t="shared" si="36"/>
        <v>1</v>
      </c>
      <c r="D275" s="3237" t="s">
        <v>4009</v>
      </c>
      <c r="E275" s="21">
        <f t="shared" si="37"/>
        <v>1</v>
      </c>
      <c r="F275" s="635"/>
      <c r="G275" s="21">
        <f t="shared" si="38"/>
        <v>1</v>
      </c>
      <c r="H275" s="635"/>
      <c r="I275" s="21">
        <f t="shared" si="39"/>
        <v>1</v>
      </c>
      <c r="J275" s="635"/>
      <c r="K275" s="21">
        <f t="shared" si="40"/>
        <v>1</v>
      </c>
      <c r="L275" s="635"/>
      <c r="M275" s="21">
        <f t="shared" si="41"/>
        <v>1</v>
      </c>
      <c r="N275" s="635"/>
      <c r="O275" s="21">
        <f t="shared" si="42"/>
        <v>1</v>
      </c>
      <c r="P275" s="635"/>
      <c r="Q275" s="21">
        <f t="shared" si="43"/>
        <v>1</v>
      </c>
      <c r="R275" s="21">
        <f t="shared" ca="1" si="44"/>
        <v>5044</v>
      </c>
      <c r="S275" s="308">
        <f t="shared" ca="1" si="35"/>
        <v>16</v>
      </c>
    </row>
    <row r="276" spans="1:19">
      <c r="A276" s="3227" t="s">
        <v>5427</v>
      </c>
      <c r="B276" s="3228">
        <v>30.74</v>
      </c>
      <c r="C276" s="21">
        <f t="shared" si="36"/>
        <v>1</v>
      </c>
      <c r="D276" s="3237" t="s">
        <v>5171</v>
      </c>
      <c r="E276" s="21">
        <f t="shared" si="37"/>
        <v>1</v>
      </c>
      <c r="F276" s="635"/>
      <c r="G276" s="21">
        <f t="shared" si="38"/>
        <v>1</v>
      </c>
      <c r="H276" s="635"/>
      <c r="I276" s="21">
        <f t="shared" si="39"/>
        <v>1</v>
      </c>
      <c r="J276" s="635"/>
      <c r="K276" s="21">
        <f t="shared" si="40"/>
        <v>1</v>
      </c>
      <c r="L276" s="635"/>
      <c r="M276" s="21">
        <f t="shared" si="41"/>
        <v>1</v>
      </c>
      <c r="N276" s="635"/>
      <c r="O276" s="21">
        <f t="shared" si="42"/>
        <v>1</v>
      </c>
      <c r="P276" s="635"/>
      <c r="Q276" s="21">
        <f t="shared" si="43"/>
        <v>1</v>
      </c>
      <c r="R276" s="21">
        <f t="shared" ca="1" si="44"/>
        <v>5044</v>
      </c>
      <c r="S276" s="308">
        <f t="shared" ca="1" si="35"/>
        <v>16</v>
      </c>
    </row>
    <row r="277" spans="1:19">
      <c r="A277" s="3227" t="s">
        <v>4264</v>
      </c>
      <c r="B277" s="3228">
        <v>30.74</v>
      </c>
      <c r="C277" s="21">
        <f t="shared" si="36"/>
        <v>1</v>
      </c>
      <c r="D277" s="3237" t="s">
        <v>4009</v>
      </c>
      <c r="E277" s="21">
        <f t="shared" si="37"/>
        <v>1</v>
      </c>
      <c r="F277" s="635"/>
      <c r="G277" s="21">
        <f t="shared" si="38"/>
        <v>1</v>
      </c>
      <c r="H277" s="635"/>
      <c r="I277" s="21">
        <f t="shared" si="39"/>
        <v>1</v>
      </c>
      <c r="J277" s="635"/>
      <c r="K277" s="21">
        <f t="shared" si="40"/>
        <v>1</v>
      </c>
      <c r="L277" s="635"/>
      <c r="M277" s="21">
        <f t="shared" si="41"/>
        <v>1</v>
      </c>
      <c r="N277" s="635"/>
      <c r="O277" s="21">
        <f t="shared" si="42"/>
        <v>1</v>
      </c>
      <c r="P277" s="635"/>
      <c r="Q277" s="21">
        <f t="shared" si="43"/>
        <v>1</v>
      </c>
      <c r="R277" s="21">
        <f t="shared" ca="1" si="44"/>
        <v>5044</v>
      </c>
      <c r="S277" s="308">
        <f t="shared" ca="1" si="35"/>
        <v>16</v>
      </c>
    </row>
    <row r="278" spans="1:19">
      <c r="A278" s="3227" t="s">
        <v>5429</v>
      </c>
      <c r="B278" s="3228">
        <v>30.74</v>
      </c>
      <c r="C278" s="21">
        <f t="shared" si="36"/>
        <v>1</v>
      </c>
      <c r="D278" s="3237" t="s">
        <v>5171</v>
      </c>
      <c r="E278" s="21">
        <f t="shared" si="37"/>
        <v>1</v>
      </c>
      <c r="F278" s="635"/>
      <c r="G278" s="21">
        <f t="shared" si="38"/>
        <v>1</v>
      </c>
      <c r="H278" s="635"/>
      <c r="I278" s="21">
        <f t="shared" si="39"/>
        <v>1</v>
      </c>
      <c r="J278" s="635"/>
      <c r="K278" s="21">
        <f t="shared" si="40"/>
        <v>1</v>
      </c>
      <c r="L278" s="635"/>
      <c r="M278" s="21">
        <f t="shared" si="41"/>
        <v>1</v>
      </c>
      <c r="N278" s="635"/>
      <c r="O278" s="21">
        <f t="shared" si="42"/>
        <v>1</v>
      </c>
      <c r="P278" s="635"/>
      <c r="Q278" s="21">
        <f t="shared" si="43"/>
        <v>1</v>
      </c>
      <c r="R278" s="21">
        <f t="shared" ca="1" si="44"/>
        <v>5044</v>
      </c>
      <c r="S278" s="308">
        <f t="shared" ca="1" si="35"/>
        <v>16</v>
      </c>
    </row>
    <row r="279" spans="1:19">
      <c r="A279" s="3227" t="s">
        <v>4266</v>
      </c>
      <c r="B279" s="3228">
        <v>30.74</v>
      </c>
      <c r="C279" s="21">
        <f t="shared" si="36"/>
        <v>1</v>
      </c>
      <c r="D279" s="3237" t="s">
        <v>4009</v>
      </c>
      <c r="E279" s="21">
        <f t="shared" si="37"/>
        <v>1</v>
      </c>
      <c r="F279" s="635"/>
      <c r="G279" s="21">
        <f t="shared" si="38"/>
        <v>1</v>
      </c>
      <c r="H279" s="635"/>
      <c r="I279" s="21">
        <f t="shared" si="39"/>
        <v>1</v>
      </c>
      <c r="J279" s="635"/>
      <c r="K279" s="21">
        <f t="shared" si="40"/>
        <v>1</v>
      </c>
      <c r="L279" s="635"/>
      <c r="M279" s="21">
        <f t="shared" si="41"/>
        <v>1</v>
      </c>
      <c r="N279" s="635"/>
      <c r="O279" s="21">
        <f t="shared" si="42"/>
        <v>1</v>
      </c>
      <c r="P279" s="635"/>
      <c r="Q279" s="21">
        <f t="shared" si="43"/>
        <v>1</v>
      </c>
      <c r="R279" s="21">
        <f t="shared" ca="1" si="44"/>
        <v>5044</v>
      </c>
      <c r="S279" s="308">
        <f t="shared" ca="1" si="35"/>
        <v>16</v>
      </c>
    </row>
    <row r="280" spans="1:19">
      <c r="A280" s="3227" t="s">
        <v>5431</v>
      </c>
      <c r="B280" s="3228">
        <v>30.74</v>
      </c>
      <c r="C280" s="21">
        <f t="shared" si="36"/>
        <v>1</v>
      </c>
      <c r="D280" s="3237" t="s">
        <v>5171</v>
      </c>
      <c r="E280" s="21">
        <f t="shared" si="37"/>
        <v>1</v>
      </c>
      <c r="F280" s="635"/>
      <c r="G280" s="21">
        <f t="shared" si="38"/>
        <v>1</v>
      </c>
      <c r="H280" s="635"/>
      <c r="I280" s="21">
        <f t="shared" si="39"/>
        <v>1</v>
      </c>
      <c r="J280" s="635"/>
      <c r="K280" s="21">
        <f t="shared" si="40"/>
        <v>1</v>
      </c>
      <c r="L280" s="635"/>
      <c r="M280" s="21">
        <f t="shared" si="41"/>
        <v>1</v>
      </c>
      <c r="N280" s="635"/>
      <c r="O280" s="21">
        <f t="shared" si="42"/>
        <v>1</v>
      </c>
      <c r="P280" s="635"/>
      <c r="Q280" s="21">
        <f t="shared" si="43"/>
        <v>1</v>
      </c>
      <c r="R280" s="21">
        <f t="shared" ca="1" si="44"/>
        <v>5044</v>
      </c>
      <c r="S280" s="308">
        <f t="shared" ref="S280:S343" ca="1" si="45">ROUND(R280*B280/10000,0)</f>
        <v>16</v>
      </c>
    </row>
    <row r="281" spans="1:19">
      <c r="A281" s="3227" t="s">
        <v>4268</v>
      </c>
      <c r="B281" s="3228">
        <v>30.74</v>
      </c>
      <c r="C281" s="21">
        <f t="shared" si="36"/>
        <v>1</v>
      </c>
      <c r="D281" s="3237" t="s">
        <v>4009</v>
      </c>
      <c r="E281" s="21">
        <f t="shared" si="37"/>
        <v>1</v>
      </c>
      <c r="F281" s="635"/>
      <c r="G281" s="21">
        <f t="shared" si="38"/>
        <v>1</v>
      </c>
      <c r="H281" s="635"/>
      <c r="I281" s="21">
        <f t="shared" si="39"/>
        <v>1</v>
      </c>
      <c r="J281" s="635"/>
      <c r="K281" s="21">
        <f t="shared" si="40"/>
        <v>1</v>
      </c>
      <c r="L281" s="635"/>
      <c r="M281" s="21">
        <f t="shared" si="41"/>
        <v>1</v>
      </c>
      <c r="N281" s="635"/>
      <c r="O281" s="21">
        <f t="shared" si="42"/>
        <v>1</v>
      </c>
      <c r="P281" s="635"/>
      <c r="Q281" s="21">
        <f t="shared" si="43"/>
        <v>1</v>
      </c>
      <c r="R281" s="21">
        <f t="shared" ca="1" si="44"/>
        <v>5044</v>
      </c>
      <c r="S281" s="308">
        <f t="shared" ca="1" si="45"/>
        <v>16</v>
      </c>
    </row>
    <row r="282" spans="1:19">
      <c r="A282" s="3227" t="s">
        <v>5433</v>
      </c>
      <c r="B282" s="3228">
        <v>30.74</v>
      </c>
      <c r="C282" s="21">
        <f t="shared" ref="C282:C345" si="46">IF(B282="",1,(LOOKUP(B282,$3:$3,$4:$4)-LOOKUP($B$24,$3:$3,$4:$4)+100)/100)</f>
        <v>1</v>
      </c>
      <c r="D282" s="3237" t="s">
        <v>5171</v>
      </c>
      <c r="E282" s="21">
        <f t="shared" ref="E282:E345" si="47">(SUMIF($5:$5,D282,$6:$6)-SUMIF($5:$5,$D$24,$6:$6)+100)/100</f>
        <v>1</v>
      </c>
      <c r="F282" s="635"/>
      <c r="G282" s="21">
        <f t="shared" ref="G282:G345" si="48">(SUMIF($7:$7,F282,$8:$8)-SUMIF($7:$7,$F$24,$8:$8)+100)/100</f>
        <v>1</v>
      </c>
      <c r="H282" s="635"/>
      <c r="I282" s="21">
        <f t="shared" ref="I282:I345" si="49">(SUMIF($9:$9,H282,$10:$10)-SUMIF($9:$9,$H$24,$10:$10)+100)/100</f>
        <v>1</v>
      </c>
      <c r="J282" s="635"/>
      <c r="K282" s="21">
        <f t="shared" ref="K282:K345" si="50">(SUMIF($11:$11,J282,$12:$12)-SUMIF($11:$11,$J$24,$12:$12)+100)/100</f>
        <v>1</v>
      </c>
      <c r="L282" s="635"/>
      <c r="M282" s="21">
        <f t="shared" ref="M282:M345" si="51">(SUMIF($13:$13,L282,$14:$14)-SUMIF($13:$13,$L$24,$14:$14)+100)/100</f>
        <v>1</v>
      </c>
      <c r="N282" s="635"/>
      <c r="O282" s="21">
        <f t="shared" ref="O282:O345" si="52">(SUMIF($15:$15,N282,$16:$16)-SUMIF($15:$15,$N$24,$16:$16)+100)/100</f>
        <v>1</v>
      </c>
      <c r="P282" s="635"/>
      <c r="Q282" s="21">
        <f t="shared" ref="Q282:Q345" si="53">(SUMIF($17:$17,P282,$18:$18)-SUMIF($17:$17,$P$24,$18:$18)+100)/100</f>
        <v>1</v>
      </c>
      <c r="R282" s="21">
        <f t="shared" ref="R282:R345" ca="1" si="54">IF(B282="",0,ROUND($R$24*C282*E282*G282*I282*K282*M282*O282*Q282,0))</f>
        <v>5044</v>
      </c>
      <c r="S282" s="308">
        <f t="shared" ca="1" si="45"/>
        <v>16</v>
      </c>
    </row>
    <row r="283" spans="1:19">
      <c r="A283" s="3227" t="s">
        <v>4270</v>
      </c>
      <c r="B283" s="3228">
        <v>30.74</v>
      </c>
      <c r="C283" s="21">
        <f t="shared" si="46"/>
        <v>1</v>
      </c>
      <c r="D283" s="3237" t="s">
        <v>4009</v>
      </c>
      <c r="E283" s="21">
        <f t="shared" si="47"/>
        <v>1</v>
      </c>
      <c r="F283" s="635"/>
      <c r="G283" s="21">
        <f t="shared" si="48"/>
        <v>1</v>
      </c>
      <c r="H283" s="635"/>
      <c r="I283" s="21">
        <f t="shared" si="49"/>
        <v>1</v>
      </c>
      <c r="J283" s="635"/>
      <c r="K283" s="21">
        <f t="shared" si="50"/>
        <v>1</v>
      </c>
      <c r="L283" s="635"/>
      <c r="M283" s="21">
        <f t="shared" si="51"/>
        <v>1</v>
      </c>
      <c r="N283" s="635"/>
      <c r="O283" s="21">
        <f t="shared" si="52"/>
        <v>1</v>
      </c>
      <c r="P283" s="635"/>
      <c r="Q283" s="21">
        <f t="shared" si="53"/>
        <v>1</v>
      </c>
      <c r="R283" s="21">
        <f t="shared" ca="1" si="54"/>
        <v>5044</v>
      </c>
      <c r="S283" s="308">
        <f t="shared" ca="1" si="45"/>
        <v>16</v>
      </c>
    </row>
    <row r="284" spans="1:19">
      <c r="A284" s="3227" t="s">
        <v>5435</v>
      </c>
      <c r="B284" s="3228">
        <v>30.74</v>
      </c>
      <c r="C284" s="21">
        <f t="shared" si="46"/>
        <v>1</v>
      </c>
      <c r="D284" s="3237" t="s">
        <v>5171</v>
      </c>
      <c r="E284" s="21">
        <f t="shared" si="47"/>
        <v>1</v>
      </c>
      <c r="F284" s="635"/>
      <c r="G284" s="21">
        <f t="shared" si="48"/>
        <v>1</v>
      </c>
      <c r="H284" s="635"/>
      <c r="I284" s="21">
        <f t="shared" si="49"/>
        <v>1</v>
      </c>
      <c r="J284" s="635"/>
      <c r="K284" s="21">
        <f t="shared" si="50"/>
        <v>1</v>
      </c>
      <c r="L284" s="635"/>
      <c r="M284" s="21">
        <f t="shared" si="51"/>
        <v>1</v>
      </c>
      <c r="N284" s="635"/>
      <c r="O284" s="21">
        <f t="shared" si="52"/>
        <v>1</v>
      </c>
      <c r="P284" s="635"/>
      <c r="Q284" s="21">
        <f t="shared" si="53"/>
        <v>1</v>
      </c>
      <c r="R284" s="21">
        <f t="shared" ca="1" si="54"/>
        <v>5044</v>
      </c>
      <c r="S284" s="308">
        <f t="shared" ca="1" si="45"/>
        <v>16</v>
      </c>
    </row>
    <row r="285" spans="1:19">
      <c r="A285" s="3227" t="s">
        <v>4272</v>
      </c>
      <c r="B285" s="3228">
        <v>30.74</v>
      </c>
      <c r="C285" s="21">
        <f t="shared" si="46"/>
        <v>1</v>
      </c>
      <c r="D285" s="3237" t="s">
        <v>4009</v>
      </c>
      <c r="E285" s="21">
        <f t="shared" si="47"/>
        <v>1</v>
      </c>
      <c r="F285" s="635"/>
      <c r="G285" s="21">
        <f t="shared" si="48"/>
        <v>1</v>
      </c>
      <c r="H285" s="635"/>
      <c r="I285" s="21">
        <f t="shared" si="49"/>
        <v>1</v>
      </c>
      <c r="J285" s="635"/>
      <c r="K285" s="21">
        <f t="shared" si="50"/>
        <v>1</v>
      </c>
      <c r="L285" s="635"/>
      <c r="M285" s="21">
        <f t="shared" si="51"/>
        <v>1</v>
      </c>
      <c r="N285" s="635"/>
      <c r="O285" s="21">
        <f t="shared" si="52"/>
        <v>1</v>
      </c>
      <c r="P285" s="635"/>
      <c r="Q285" s="21">
        <f t="shared" si="53"/>
        <v>1</v>
      </c>
      <c r="R285" s="21">
        <f t="shared" ca="1" si="54"/>
        <v>5044</v>
      </c>
      <c r="S285" s="308">
        <f t="shared" ca="1" si="45"/>
        <v>16</v>
      </c>
    </row>
    <row r="286" spans="1:19">
      <c r="A286" s="3227" t="s">
        <v>5437</v>
      </c>
      <c r="B286" s="3228">
        <v>30.74</v>
      </c>
      <c r="C286" s="21">
        <f t="shared" si="46"/>
        <v>1</v>
      </c>
      <c r="D286" s="3237" t="s">
        <v>5171</v>
      </c>
      <c r="E286" s="21">
        <f t="shared" si="47"/>
        <v>1</v>
      </c>
      <c r="F286" s="635"/>
      <c r="G286" s="21">
        <f t="shared" si="48"/>
        <v>1</v>
      </c>
      <c r="H286" s="635"/>
      <c r="I286" s="21">
        <f t="shared" si="49"/>
        <v>1</v>
      </c>
      <c r="J286" s="635"/>
      <c r="K286" s="21">
        <f t="shared" si="50"/>
        <v>1</v>
      </c>
      <c r="L286" s="635"/>
      <c r="M286" s="21">
        <f t="shared" si="51"/>
        <v>1</v>
      </c>
      <c r="N286" s="635"/>
      <c r="O286" s="21">
        <f t="shared" si="52"/>
        <v>1</v>
      </c>
      <c r="P286" s="635"/>
      <c r="Q286" s="21">
        <f t="shared" si="53"/>
        <v>1</v>
      </c>
      <c r="R286" s="21">
        <f t="shared" ca="1" si="54"/>
        <v>5044</v>
      </c>
      <c r="S286" s="308">
        <f t="shared" ca="1" si="45"/>
        <v>16</v>
      </c>
    </row>
    <row r="287" spans="1:19">
      <c r="A287" s="3227" t="s">
        <v>4274</v>
      </c>
      <c r="B287" s="3228">
        <v>30.74</v>
      </c>
      <c r="C287" s="21">
        <f t="shared" si="46"/>
        <v>1</v>
      </c>
      <c r="D287" s="3237" t="s">
        <v>4009</v>
      </c>
      <c r="E287" s="21">
        <f t="shared" si="47"/>
        <v>1</v>
      </c>
      <c r="F287" s="635"/>
      <c r="G287" s="21">
        <f t="shared" si="48"/>
        <v>1</v>
      </c>
      <c r="H287" s="635"/>
      <c r="I287" s="21">
        <f t="shared" si="49"/>
        <v>1</v>
      </c>
      <c r="J287" s="635"/>
      <c r="K287" s="21">
        <f t="shared" si="50"/>
        <v>1</v>
      </c>
      <c r="L287" s="635"/>
      <c r="M287" s="21">
        <f t="shared" si="51"/>
        <v>1</v>
      </c>
      <c r="N287" s="635"/>
      <c r="O287" s="21">
        <f t="shared" si="52"/>
        <v>1</v>
      </c>
      <c r="P287" s="635"/>
      <c r="Q287" s="21">
        <f t="shared" si="53"/>
        <v>1</v>
      </c>
      <c r="R287" s="21">
        <f t="shared" ca="1" si="54"/>
        <v>5044</v>
      </c>
      <c r="S287" s="308">
        <f t="shared" ca="1" si="45"/>
        <v>16</v>
      </c>
    </row>
    <row r="288" spans="1:19">
      <c r="A288" s="3227" t="s">
        <v>5439</v>
      </c>
      <c r="B288" s="3228">
        <v>30.74</v>
      </c>
      <c r="C288" s="21">
        <f t="shared" si="46"/>
        <v>1</v>
      </c>
      <c r="D288" s="3237" t="s">
        <v>5171</v>
      </c>
      <c r="E288" s="21">
        <f t="shared" si="47"/>
        <v>1</v>
      </c>
      <c r="F288" s="635"/>
      <c r="G288" s="21">
        <f t="shared" si="48"/>
        <v>1</v>
      </c>
      <c r="H288" s="635"/>
      <c r="I288" s="21">
        <f t="shared" si="49"/>
        <v>1</v>
      </c>
      <c r="J288" s="635"/>
      <c r="K288" s="21">
        <f t="shared" si="50"/>
        <v>1</v>
      </c>
      <c r="L288" s="635"/>
      <c r="M288" s="21">
        <f t="shared" si="51"/>
        <v>1</v>
      </c>
      <c r="N288" s="635"/>
      <c r="O288" s="21">
        <f t="shared" si="52"/>
        <v>1</v>
      </c>
      <c r="P288" s="635"/>
      <c r="Q288" s="21">
        <f t="shared" si="53"/>
        <v>1</v>
      </c>
      <c r="R288" s="21">
        <f t="shared" ca="1" si="54"/>
        <v>5044</v>
      </c>
      <c r="S288" s="308">
        <f t="shared" ca="1" si="45"/>
        <v>16</v>
      </c>
    </row>
    <row r="289" spans="1:19">
      <c r="A289" s="3227" t="s">
        <v>4276</v>
      </c>
      <c r="B289" s="3228">
        <v>29.47</v>
      </c>
      <c r="C289" s="21">
        <f t="shared" si="46"/>
        <v>1</v>
      </c>
      <c r="D289" s="3237" t="s">
        <v>4041</v>
      </c>
      <c r="E289" s="21">
        <f t="shared" si="47"/>
        <v>1</v>
      </c>
      <c r="F289" s="635"/>
      <c r="G289" s="21">
        <f t="shared" si="48"/>
        <v>1</v>
      </c>
      <c r="H289" s="635"/>
      <c r="I289" s="21">
        <f t="shared" si="49"/>
        <v>1</v>
      </c>
      <c r="J289" s="635"/>
      <c r="K289" s="21">
        <f t="shared" si="50"/>
        <v>1</v>
      </c>
      <c r="L289" s="635"/>
      <c r="M289" s="21">
        <f t="shared" si="51"/>
        <v>1</v>
      </c>
      <c r="N289" s="635"/>
      <c r="O289" s="21">
        <f t="shared" si="52"/>
        <v>1</v>
      </c>
      <c r="P289" s="635"/>
      <c r="Q289" s="21">
        <f t="shared" si="53"/>
        <v>1</v>
      </c>
      <c r="R289" s="21">
        <f t="shared" ca="1" si="54"/>
        <v>5044</v>
      </c>
      <c r="S289" s="308">
        <f t="shared" ca="1" si="45"/>
        <v>15</v>
      </c>
    </row>
    <row r="290" spans="1:19">
      <c r="A290" s="3227" t="s">
        <v>5441</v>
      </c>
      <c r="B290" s="3228">
        <v>29.47</v>
      </c>
      <c r="C290" s="21">
        <f t="shared" si="46"/>
        <v>1</v>
      </c>
      <c r="D290" s="3237" t="s">
        <v>5208</v>
      </c>
      <c r="E290" s="21">
        <f t="shared" si="47"/>
        <v>1</v>
      </c>
      <c r="F290" s="635"/>
      <c r="G290" s="21">
        <f t="shared" si="48"/>
        <v>1</v>
      </c>
      <c r="H290" s="635"/>
      <c r="I290" s="21">
        <f t="shared" si="49"/>
        <v>1</v>
      </c>
      <c r="J290" s="635"/>
      <c r="K290" s="21">
        <f t="shared" si="50"/>
        <v>1</v>
      </c>
      <c r="L290" s="635"/>
      <c r="M290" s="21">
        <f t="shared" si="51"/>
        <v>1</v>
      </c>
      <c r="N290" s="635"/>
      <c r="O290" s="21">
        <f t="shared" si="52"/>
        <v>1</v>
      </c>
      <c r="P290" s="635"/>
      <c r="Q290" s="21">
        <f t="shared" si="53"/>
        <v>1</v>
      </c>
      <c r="R290" s="21">
        <f t="shared" ca="1" si="54"/>
        <v>5044</v>
      </c>
      <c r="S290" s="308">
        <f t="shared" ca="1" si="45"/>
        <v>15</v>
      </c>
    </row>
    <row r="291" spans="1:19">
      <c r="A291" s="3227" t="s">
        <v>4278</v>
      </c>
      <c r="B291" s="3228">
        <v>29.47</v>
      </c>
      <c r="C291" s="21">
        <f t="shared" si="46"/>
        <v>1</v>
      </c>
      <c r="D291" s="3237" t="s">
        <v>4009</v>
      </c>
      <c r="E291" s="21">
        <f t="shared" si="47"/>
        <v>1</v>
      </c>
      <c r="F291" s="635"/>
      <c r="G291" s="21">
        <f t="shared" si="48"/>
        <v>1</v>
      </c>
      <c r="H291" s="635"/>
      <c r="I291" s="21">
        <f t="shared" si="49"/>
        <v>1</v>
      </c>
      <c r="J291" s="635"/>
      <c r="K291" s="21">
        <f t="shared" si="50"/>
        <v>1</v>
      </c>
      <c r="L291" s="635"/>
      <c r="M291" s="21">
        <f t="shared" si="51"/>
        <v>1</v>
      </c>
      <c r="N291" s="635"/>
      <c r="O291" s="21">
        <f t="shared" si="52"/>
        <v>1</v>
      </c>
      <c r="P291" s="635"/>
      <c r="Q291" s="21">
        <f t="shared" si="53"/>
        <v>1</v>
      </c>
      <c r="R291" s="21">
        <f t="shared" ca="1" si="54"/>
        <v>5044</v>
      </c>
      <c r="S291" s="308">
        <f t="shared" ca="1" si="45"/>
        <v>15</v>
      </c>
    </row>
    <row r="292" spans="1:19">
      <c r="A292" s="3227" t="s">
        <v>5443</v>
      </c>
      <c r="B292" s="3228">
        <v>29.47</v>
      </c>
      <c r="C292" s="21">
        <f t="shared" si="46"/>
        <v>1</v>
      </c>
      <c r="D292" s="3237" t="s">
        <v>5171</v>
      </c>
      <c r="E292" s="21">
        <f t="shared" si="47"/>
        <v>1</v>
      </c>
      <c r="F292" s="635"/>
      <c r="G292" s="21">
        <f t="shared" si="48"/>
        <v>1</v>
      </c>
      <c r="H292" s="635"/>
      <c r="I292" s="21">
        <f t="shared" si="49"/>
        <v>1</v>
      </c>
      <c r="J292" s="635"/>
      <c r="K292" s="21">
        <f t="shared" si="50"/>
        <v>1</v>
      </c>
      <c r="L292" s="635"/>
      <c r="M292" s="21">
        <f t="shared" si="51"/>
        <v>1</v>
      </c>
      <c r="N292" s="635"/>
      <c r="O292" s="21">
        <f t="shared" si="52"/>
        <v>1</v>
      </c>
      <c r="P292" s="635"/>
      <c r="Q292" s="21">
        <f t="shared" si="53"/>
        <v>1</v>
      </c>
      <c r="R292" s="21">
        <f t="shared" ca="1" si="54"/>
        <v>5044</v>
      </c>
      <c r="S292" s="308">
        <f t="shared" ca="1" si="45"/>
        <v>15</v>
      </c>
    </row>
    <row r="293" spans="1:19">
      <c r="A293" s="3227" t="s">
        <v>4280</v>
      </c>
      <c r="B293" s="3228">
        <v>30.74</v>
      </c>
      <c r="C293" s="21">
        <f t="shared" si="46"/>
        <v>1</v>
      </c>
      <c r="D293" s="3237" t="s">
        <v>4009</v>
      </c>
      <c r="E293" s="21">
        <f t="shared" si="47"/>
        <v>1</v>
      </c>
      <c r="F293" s="635"/>
      <c r="G293" s="21">
        <f t="shared" si="48"/>
        <v>1</v>
      </c>
      <c r="H293" s="635"/>
      <c r="I293" s="21">
        <f t="shared" si="49"/>
        <v>1</v>
      </c>
      <c r="J293" s="635"/>
      <c r="K293" s="21">
        <f t="shared" si="50"/>
        <v>1</v>
      </c>
      <c r="L293" s="635"/>
      <c r="M293" s="21">
        <f t="shared" si="51"/>
        <v>1</v>
      </c>
      <c r="N293" s="635"/>
      <c r="O293" s="21">
        <f t="shared" si="52"/>
        <v>1</v>
      </c>
      <c r="P293" s="635"/>
      <c r="Q293" s="21">
        <f t="shared" si="53"/>
        <v>1</v>
      </c>
      <c r="R293" s="21">
        <f t="shared" ca="1" si="54"/>
        <v>5044</v>
      </c>
      <c r="S293" s="308">
        <f t="shared" ca="1" si="45"/>
        <v>16</v>
      </c>
    </row>
    <row r="294" spans="1:19">
      <c r="A294" s="3227" t="s">
        <v>5445</v>
      </c>
      <c r="B294" s="3228">
        <v>30.74</v>
      </c>
      <c r="C294" s="21">
        <f t="shared" si="46"/>
        <v>1</v>
      </c>
      <c r="D294" s="3237" t="s">
        <v>5171</v>
      </c>
      <c r="E294" s="21">
        <f t="shared" si="47"/>
        <v>1</v>
      </c>
      <c r="F294" s="635"/>
      <c r="G294" s="21">
        <f t="shared" si="48"/>
        <v>1</v>
      </c>
      <c r="H294" s="635"/>
      <c r="I294" s="21">
        <f t="shared" si="49"/>
        <v>1</v>
      </c>
      <c r="J294" s="635"/>
      <c r="K294" s="21">
        <f t="shared" si="50"/>
        <v>1</v>
      </c>
      <c r="L294" s="635"/>
      <c r="M294" s="21">
        <f t="shared" si="51"/>
        <v>1</v>
      </c>
      <c r="N294" s="635"/>
      <c r="O294" s="21">
        <f t="shared" si="52"/>
        <v>1</v>
      </c>
      <c r="P294" s="635"/>
      <c r="Q294" s="21">
        <f t="shared" si="53"/>
        <v>1</v>
      </c>
      <c r="R294" s="21">
        <f t="shared" ca="1" si="54"/>
        <v>5044</v>
      </c>
      <c r="S294" s="308">
        <f t="shared" ca="1" si="45"/>
        <v>16</v>
      </c>
    </row>
    <row r="295" spans="1:19">
      <c r="A295" s="3227" t="s">
        <v>4282</v>
      </c>
      <c r="B295" s="3228">
        <v>30.74</v>
      </c>
      <c r="C295" s="21">
        <f t="shared" si="46"/>
        <v>1</v>
      </c>
      <c r="D295" s="3237" t="s">
        <v>4009</v>
      </c>
      <c r="E295" s="21">
        <f t="shared" si="47"/>
        <v>1</v>
      </c>
      <c r="F295" s="635"/>
      <c r="G295" s="21">
        <f t="shared" si="48"/>
        <v>1</v>
      </c>
      <c r="H295" s="635"/>
      <c r="I295" s="21">
        <f t="shared" si="49"/>
        <v>1</v>
      </c>
      <c r="J295" s="635"/>
      <c r="K295" s="21">
        <f t="shared" si="50"/>
        <v>1</v>
      </c>
      <c r="L295" s="635"/>
      <c r="M295" s="21">
        <f t="shared" si="51"/>
        <v>1</v>
      </c>
      <c r="N295" s="635"/>
      <c r="O295" s="21">
        <f t="shared" si="52"/>
        <v>1</v>
      </c>
      <c r="P295" s="635"/>
      <c r="Q295" s="21">
        <f t="shared" si="53"/>
        <v>1</v>
      </c>
      <c r="R295" s="21">
        <f t="shared" ca="1" si="54"/>
        <v>5044</v>
      </c>
      <c r="S295" s="308">
        <f t="shared" ca="1" si="45"/>
        <v>16</v>
      </c>
    </row>
    <row r="296" spans="1:19">
      <c r="A296" s="3227" t="s">
        <v>5447</v>
      </c>
      <c r="B296" s="3228">
        <v>30.74</v>
      </c>
      <c r="C296" s="21">
        <f t="shared" si="46"/>
        <v>1</v>
      </c>
      <c r="D296" s="3237" t="s">
        <v>5171</v>
      </c>
      <c r="E296" s="21">
        <f t="shared" si="47"/>
        <v>1</v>
      </c>
      <c r="F296" s="635"/>
      <c r="G296" s="21">
        <f t="shared" si="48"/>
        <v>1</v>
      </c>
      <c r="H296" s="635"/>
      <c r="I296" s="21">
        <f t="shared" si="49"/>
        <v>1</v>
      </c>
      <c r="J296" s="635"/>
      <c r="K296" s="21">
        <f t="shared" si="50"/>
        <v>1</v>
      </c>
      <c r="L296" s="635"/>
      <c r="M296" s="21">
        <f t="shared" si="51"/>
        <v>1</v>
      </c>
      <c r="N296" s="635"/>
      <c r="O296" s="21">
        <f t="shared" si="52"/>
        <v>1</v>
      </c>
      <c r="P296" s="635"/>
      <c r="Q296" s="21">
        <f t="shared" si="53"/>
        <v>1</v>
      </c>
      <c r="R296" s="21">
        <f t="shared" ca="1" si="54"/>
        <v>5044</v>
      </c>
      <c r="S296" s="308">
        <f t="shared" ca="1" si="45"/>
        <v>16</v>
      </c>
    </row>
    <row r="297" spans="1:19">
      <c r="A297" s="3227" t="s">
        <v>4284</v>
      </c>
      <c r="B297" s="3228">
        <v>30.74</v>
      </c>
      <c r="C297" s="21">
        <f t="shared" si="46"/>
        <v>1</v>
      </c>
      <c r="D297" s="3237" t="s">
        <v>4009</v>
      </c>
      <c r="E297" s="21">
        <f t="shared" si="47"/>
        <v>1</v>
      </c>
      <c r="F297" s="635"/>
      <c r="G297" s="21">
        <f t="shared" si="48"/>
        <v>1</v>
      </c>
      <c r="H297" s="635"/>
      <c r="I297" s="21">
        <f t="shared" si="49"/>
        <v>1</v>
      </c>
      <c r="J297" s="635"/>
      <c r="K297" s="21">
        <f t="shared" si="50"/>
        <v>1</v>
      </c>
      <c r="L297" s="635"/>
      <c r="M297" s="21">
        <f t="shared" si="51"/>
        <v>1</v>
      </c>
      <c r="N297" s="635"/>
      <c r="O297" s="21">
        <f t="shared" si="52"/>
        <v>1</v>
      </c>
      <c r="P297" s="635"/>
      <c r="Q297" s="21">
        <f t="shared" si="53"/>
        <v>1</v>
      </c>
      <c r="R297" s="21">
        <f t="shared" ca="1" si="54"/>
        <v>5044</v>
      </c>
      <c r="S297" s="308">
        <f t="shared" ca="1" si="45"/>
        <v>16</v>
      </c>
    </row>
    <row r="298" spans="1:19">
      <c r="A298" s="3227" t="s">
        <v>5449</v>
      </c>
      <c r="B298" s="3228">
        <v>30.74</v>
      </c>
      <c r="C298" s="21">
        <f t="shared" si="46"/>
        <v>1</v>
      </c>
      <c r="D298" s="3237" t="s">
        <v>5171</v>
      </c>
      <c r="E298" s="21">
        <f t="shared" si="47"/>
        <v>1</v>
      </c>
      <c r="F298" s="635"/>
      <c r="G298" s="21">
        <f t="shared" si="48"/>
        <v>1</v>
      </c>
      <c r="H298" s="635"/>
      <c r="I298" s="21">
        <f t="shared" si="49"/>
        <v>1</v>
      </c>
      <c r="J298" s="635"/>
      <c r="K298" s="21">
        <f t="shared" si="50"/>
        <v>1</v>
      </c>
      <c r="L298" s="635"/>
      <c r="M298" s="21">
        <f t="shared" si="51"/>
        <v>1</v>
      </c>
      <c r="N298" s="635"/>
      <c r="O298" s="21">
        <f t="shared" si="52"/>
        <v>1</v>
      </c>
      <c r="P298" s="635"/>
      <c r="Q298" s="21">
        <f t="shared" si="53"/>
        <v>1</v>
      </c>
      <c r="R298" s="21">
        <f t="shared" ca="1" si="54"/>
        <v>5044</v>
      </c>
      <c r="S298" s="308">
        <f t="shared" ca="1" si="45"/>
        <v>16</v>
      </c>
    </row>
    <row r="299" spans="1:19">
      <c r="A299" s="3227" t="s">
        <v>4286</v>
      </c>
      <c r="B299" s="3228">
        <v>30.74</v>
      </c>
      <c r="C299" s="21">
        <f t="shared" si="46"/>
        <v>1</v>
      </c>
      <c r="D299" s="3237" t="s">
        <v>4009</v>
      </c>
      <c r="E299" s="21">
        <f t="shared" si="47"/>
        <v>1</v>
      </c>
      <c r="F299" s="635"/>
      <c r="G299" s="21">
        <f t="shared" si="48"/>
        <v>1</v>
      </c>
      <c r="H299" s="635"/>
      <c r="I299" s="21">
        <f t="shared" si="49"/>
        <v>1</v>
      </c>
      <c r="J299" s="635"/>
      <c r="K299" s="21">
        <f t="shared" si="50"/>
        <v>1</v>
      </c>
      <c r="L299" s="635"/>
      <c r="M299" s="21">
        <f t="shared" si="51"/>
        <v>1</v>
      </c>
      <c r="N299" s="635"/>
      <c r="O299" s="21">
        <f t="shared" si="52"/>
        <v>1</v>
      </c>
      <c r="P299" s="635"/>
      <c r="Q299" s="21">
        <f t="shared" si="53"/>
        <v>1</v>
      </c>
      <c r="R299" s="21">
        <f t="shared" ca="1" si="54"/>
        <v>5044</v>
      </c>
      <c r="S299" s="308">
        <f t="shared" ca="1" si="45"/>
        <v>16</v>
      </c>
    </row>
    <row r="300" spans="1:19">
      <c r="A300" s="3227" t="s">
        <v>5451</v>
      </c>
      <c r="B300" s="3228">
        <v>30.74</v>
      </c>
      <c r="C300" s="21">
        <f t="shared" si="46"/>
        <v>1</v>
      </c>
      <c r="D300" s="3237" t="s">
        <v>5171</v>
      </c>
      <c r="E300" s="21">
        <f t="shared" si="47"/>
        <v>1</v>
      </c>
      <c r="F300" s="635"/>
      <c r="G300" s="21">
        <f t="shared" si="48"/>
        <v>1</v>
      </c>
      <c r="H300" s="635"/>
      <c r="I300" s="21">
        <f t="shared" si="49"/>
        <v>1</v>
      </c>
      <c r="J300" s="635"/>
      <c r="K300" s="21">
        <f t="shared" si="50"/>
        <v>1</v>
      </c>
      <c r="L300" s="635"/>
      <c r="M300" s="21">
        <f t="shared" si="51"/>
        <v>1</v>
      </c>
      <c r="N300" s="635"/>
      <c r="O300" s="21">
        <f t="shared" si="52"/>
        <v>1</v>
      </c>
      <c r="P300" s="635"/>
      <c r="Q300" s="21">
        <f t="shared" si="53"/>
        <v>1</v>
      </c>
      <c r="R300" s="21">
        <f t="shared" ca="1" si="54"/>
        <v>5044</v>
      </c>
      <c r="S300" s="308">
        <f t="shared" ca="1" si="45"/>
        <v>16</v>
      </c>
    </row>
    <row r="301" spans="1:19">
      <c r="A301" s="3227" t="s">
        <v>4288</v>
      </c>
      <c r="B301" s="3228">
        <v>30.74</v>
      </c>
      <c r="C301" s="21">
        <f t="shared" si="46"/>
        <v>1</v>
      </c>
      <c r="D301" s="3237" t="s">
        <v>4009</v>
      </c>
      <c r="E301" s="21">
        <f t="shared" si="47"/>
        <v>1</v>
      </c>
      <c r="F301" s="635"/>
      <c r="G301" s="21">
        <f t="shared" si="48"/>
        <v>1</v>
      </c>
      <c r="H301" s="635"/>
      <c r="I301" s="21">
        <f t="shared" si="49"/>
        <v>1</v>
      </c>
      <c r="J301" s="635"/>
      <c r="K301" s="21">
        <f t="shared" si="50"/>
        <v>1</v>
      </c>
      <c r="L301" s="635"/>
      <c r="M301" s="21">
        <f t="shared" si="51"/>
        <v>1</v>
      </c>
      <c r="N301" s="635"/>
      <c r="O301" s="21">
        <f t="shared" si="52"/>
        <v>1</v>
      </c>
      <c r="P301" s="635"/>
      <c r="Q301" s="21">
        <f t="shared" si="53"/>
        <v>1</v>
      </c>
      <c r="R301" s="21">
        <f t="shared" ca="1" si="54"/>
        <v>5044</v>
      </c>
      <c r="S301" s="308">
        <f t="shared" ca="1" si="45"/>
        <v>16</v>
      </c>
    </row>
    <row r="302" spans="1:19">
      <c r="A302" s="3227" t="s">
        <v>5453</v>
      </c>
      <c r="B302" s="3228">
        <v>30.74</v>
      </c>
      <c r="C302" s="21">
        <f t="shared" si="46"/>
        <v>1</v>
      </c>
      <c r="D302" s="3237" t="s">
        <v>5171</v>
      </c>
      <c r="E302" s="21">
        <f t="shared" si="47"/>
        <v>1</v>
      </c>
      <c r="F302" s="635"/>
      <c r="G302" s="21">
        <f t="shared" si="48"/>
        <v>1</v>
      </c>
      <c r="H302" s="635"/>
      <c r="I302" s="21">
        <f t="shared" si="49"/>
        <v>1</v>
      </c>
      <c r="J302" s="635"/>
      <c r="K302" s="21">
        <f t="shared" si="50"/>
        <v>1</v>
      </c>
      <c r="L302" s="635"/>
      <c r="M302" s="21">
        <f t="shared" si="51"/>
        <v>1</v>
      </c>
      <c r="N302" s="635"/>
      <c r="O302" s="21">
        <f t="shared" si="52"/>
        <v>1</v>
      </c>
      <c r="P302" s="635"/>
      <c r="Q302" s="21">
        <f t="shared" si="53"/>
        <v>1</v>
      </c>
      <c r="R302" s="21">
        <f t="shared" ca="1" si="54"/>
        <v>5044</v>
      </c>
      <c r="S302" s="308">
        <f t="shared" ca="1" si="45"/>
        <v>16</v>
      </c>
    </row>
    <row r="303" spans="1:19">
      <c r="A303" s="3227" t="s">
        <v>4290</v>
      </c>
      <c r="B303" s="3228">
        <v>30.74</v>
      </c>
      <c r="C303" s="21">
        <f t="shared" si="46"/>
        <v>1</v>
      </c>
      <c r="D303" s="3237" t="s">
        <v>4009</v>
      </c>
      <c r="E303" s="21">
        <f t="shared" si="47"/>
        <v>1</v>
      </c>
      <c r="F303" s="635"/>
      <c r="G303" s="21">
        <f t="shared" si="48"/>
        <v>1</v>
      </c>
      <c r="H303" s="635"/>
      <c r="I303" s="21">
        <f t="shared" si="49"/>
        <v>1</v>
      </c>
      <c r="J303" s="635"/>
      <c r="K303" s="21">
        <f t="shared" si="50"/>
        <v>1</v>
      </c>
      <c r="L303" s="635"/>
      <c r="M303" s="21">
        <f t="shared" si="51"/>
        <v>1</v>
      </c>
      <c r="N303" s="635"/>
      <c r="O303" s="21">
        <f t="shared" si="52"/>
        <v>1</v>
      </c>
      <c r="P303" s="635"/>
      <c r="Q303" s="21">
        <f t="shared" si="53"/>
        <v>1</v>
      </c>
      <c r="R303" s="21">
        <f t="shared" ca="1" si="54"/>
        <v>5044</v>
      </c>
      <c r="S303" s="308">
        <f t="shared" ca="1" si="45"/>
        <v>16</v>
      </c>
    </row>
    <row r="304" spans="1:19">
      <c r="A304" s="3227" t="s">
        <v>5455</v>
      </c>
      <c r="B304" s="3228">
        <v>30.74</v>
      </c>
      <c r="C304" s="21">
        <f t="shared" si="46"/>
        <v>1</v>
      </c>
      <c r="D304" s="3237" t="s">
        <v>5171</v>
      </c>
      <c r="E304" s="21">
        <f t="shared" si="47"/>
        <v>1</v>
      </c>
      <c r="F304" s="635"/>
      <c r="G304" s="21">
        <f t="shared" si="48"/>
        <v>1</v>
      </c>
      <c r="H304" s="635"/>
      <c r="I304" s="21">
        <f t="shared" si="49"/>
        <v>1</v>
      </c>
      <c r="J304" s="635"/>
      <c r="K304" s="21">
        <f t="shared" si="50"/>
        <v>1</v>
      </c>
      <c r="L304" s="635"/>
      <c r="M304" s="21">
        <f t="shared" si="51"/>
        <v>1</v>
      </c>
      <c r="N304" s="635"/>
      <c r="O304" s="21">
        <f t="shared" si="52"/>
        <v>1</v>
      </c>
      <c r="P304" s="635"/>
      <c r="Q304" s="21">
        <f t="shared" si="53"/>
        <v>1</v>
      </c>
      <c r="R304" s="21">
        <f t="shared" ca="1" si="54"/>
        <v>5044</v>
      </c>
      <c r="S304" s="308">
        <f t="shared" ca="1" si="45"/>
        <v>16</v>
      </c>
    </row>
    <row r="305" spans="1:19">
      <c r="A305" s="3227" t="s">
        <v>4292</v>
      </c>
      <c r="B305" s="3228">
        <v>30.74</v>
      </c>
      <c r="C305" s="21">
        <f t="shared" si="46"/>
        <v>1</v>
      </c>
      <c r="D305" s="3237" t="s">
        <v>4009</v>
      </c>
      <c r="E305" s="21">
        <f t="shared" si="47"/>
        <v>1</v>
      </c>
      <c r="F305" s="635"/>
      <c r="G305" s="21">
        <f t="shared" si="48"/>
        <v>1</v>
      </c>
      <c r="H305" s="635"/>
      <c r="I305" s="21">
        <f t="shared" si="49"/>
        <v>1</v>
      </c>
      <c r="J305" s="635"/>
      <c r="K305" s="21">
        <f t="shared" si="50"/>
        <v>1</v>
      </c>
      <c r="L305" s="635"/>
      <c r="M305" s="21">
        <f t="shared" si="51"/>
        <v>1</v>
      </c>
      <c r="N305" s="635"/>
      <c r="O305" s="21">
        <f t="shared" si="52"/>
        <v>1</v>
      </c>
      <c r="P305" s="635"/>
      <c r="Q305" s="21">
        <f t="shared" si="53"/>
        <v>1</v>
      </c>
      <c r="R305" s="21">
        <f t="shared" ca="1" si="54"/>
        <v>5044</v>
      </c>
      <c r="S305" s="308">
        <f t="shared" ca="1" si="45"/>
        <v>16</v>
      </c>
    </row>
    <row r="306" spans="1:19">
      <c r="A306" s="3227" t="s">
        <v>5457</v>
      </c>
      <c r="B306" s="3228">
        <v>30.74</v>
      </c>
      <c r="C306" s="21">
        <f t="shared" si="46"/>
        <v>1</v>
      </c>
      <c r="D306" s="3237" t="s">
        <v>5208</v>
      </c>
      <c r="E306" s="21">
        <f t="shared" si="47"/>
        <v>1</v>
      </c>
      <c r="F306" s="635"/>
      <c r="G306" s="21">
        <f t="shared" si="48"/>
        <v>1</v>
      </c>
      <c r="H306" s="635"/>
      <c r="I306" s="21">
        <f t="shared" si="49"/>
        <v>1</v>
      </c>
      <c r="J306" s="635"/>
      <c r="K306" s="21">
        <f t="shared" si="50"/>
        <v>1</v>
      </c>
      <c r="L306" s="635"/>
      <c r="M306" s="21">
        <f t="shared" si="51"/>
        <v>1</v>
      </c>
      <c r="N306" s="635"/>
      <c r="O306" s="21">
        <f t="shared" si="52"/>
        <v>1</v>
      </c>
      <c r="P306" s="635"/>
      <c r="Q306" s="21">
        <f t="shared" si="53"/>
        <v>1</v>
      </c>
      <c r="R306" s="21">
        <f t="shared" ca="1" si="54"/>
        <v>5044</v>
      </c>
      <c r="S306" s="308">
        <f t="shared" ca="1" si="45"/>
        <v>16</v>
      </c>
    </row>
    <row r="307" spans="1:19">
      <c r="A307" s="3227" t="s">
        <v>4294</v>
      </c>
      <c r="B307" s="3228">
        <v>30.74</v>
      </c>
      <c r="C307" s="21">
        <f t="shared" si="46"/>
        <v>1</v>
      </c>
      <c r="D307" s="3237" t="s">
        <v>4041</v>
      </c>
      <c r="E307" s="21">
        <f t="shared" si="47"/>
        <v>1</v>
      </c>
      <c r="F307" s="635"/>
      <c r="G307" s="21">
        <f t="shared" si="48"/>
        <v>1</v>
      </c>
      <c r="H307" s="635"/>
      <c r="I307" s="21">
        <f t="shared" si="49"/>
        <v>1</v>
      </c>
      <c r="J307" s="635"/>
      <c r="K307" s="21">
        <f t="shared" si="50"/>
        <v>1</v>
      </c>
      <c r="L307" s="635"/>
      <c r="M307" s="21">
        <f t="shared" si="51"/>
        <v>1</v>
      </c>
      <c r="N307" s="635"/>
      <c r="O307" s="21">
        <f t="shared" si="52"/>
        <v>1</v>
      </c>
      <c r="P307" s="635"/>
      <c r="Q307" s="21">
        <f t="shared" si="53"/>
        <v>1</v>
      </c>
      <c r="R307" s="21">
        <f t="shared" ca="1" si="54"/>
        <v>5044</v>
      </c>
      <c r="S307" s="308">
        <f t="shared" ca="1" si="45"/>
        <v>16</v>
      </c>
    </row>
    <row r="308" spans="1:19">
      <c r="A308" s="3227" t="s">
        <v>5459</v>
      </c>
      <c r="B308" s="3228">
        <v>30.74</v>
      </c>
      <c r="C308" s="21">
        <f t="shared" si="46"/>
        <v>1</v>
      </c>
      <c r="D308" s="3237" t="s">
        <v>5171</v>
      </c>
      <c r="E308" s="21">
        <f t="shared" si="47"/>
        <v>1</v>
      </c>
      <c r="F308" s="635"/>
      <c r="G308" s="21">
        <f t="shared" si="48"/>
        <v>1</v>
      </c>
      <c r="H308" s="635"/>
      <c r="I308" s="21">
        <f t="shared" si="49"/>
        <v>1</v>
      </c>
      <c r="J308" s="635"/>
      <c r="K308" s="21">
        <f t="shared" si="50"/>
        <v>1</v>
      </c>
      <c r="L308" s="635"/>
      <c r="M308" s="21">
        <f t="shared" si="51"/>
        <v>1</v>
      </c>
      <c r="N308" s="635"/>
      <c r="O308" s="21">
        <f t="shared" si="52"/>
        <v>1</v>
      </c>
      <c r="P308" s="635"/>
      <c r="Q308" s="21">
        <f t="shared" si="53"/>
        <v>1</v>
      </c>
      <c r="R308" s="21">
        <f t="shared" ca="1" si="54"/>
        <v>5044</v>
      </c>
      <c r="S308" s="308">
        <f t="shared" ca="1" si="45"/>
        <v>16</v>
      </c>
    </row>
    <row r="309" spans="1:19">
      <c r="A309" s="3227" t="s">
        <v>4296</v>
      </c>
      <c r="B309" s="3228">
        <v>30.74</v>
      </c>
      <c r="C309" s="21">
        <f t="shared" si="46"/>
        <v>1</v>
      </c>
      <c r="D309" s="3237" t="s">
        <v>4009</v>
      </c>
      <c r="E309" s="21">
        <f t="shared" si="47"/>
        <v>1</v>
      </c>
      <c r="F309" s="635"/>
      <c r="G309" s="21">
        <f t="shared" si="48"/>
        <v>1</v>
      </c>
      <c r="H309" s="635"/>
      <c r="I309" s="21">
        <f t="shared" si="49"/>
        <v>1</v>
      </c>
      <c r="J309" s="635"/>
      <c r="K309" s="21">
        <f t="shared" si="50"/>
        <v>1</v>
      </c>
      <c r="L309" s="635"/>
      <c r="M309" s="21">
        <f t="shared" si="51"/>
        <v>1</v>
      </c>
      <c r="N309" s="635"/>
      <c r="O309" s="21">
        <f t="shared" si="52"/>
        <v>1</v>
      </c>
      <c r="P309" s="635"/>
      <c r="Q309" s="21">
        <f t="shared" si="53"/>
        <v>1</v>
      </c>
      <c r="R309" s="21">
        <f t="shared" ca="1" si="54"/>
        <v>5044</v>
      </c>
      <c r="S309" s="308">
        <f t="shared" ca="1" si="45"/>
        <v>16</v>
      </c>
    </row>
    <row r="310" spans="1:19">
      <c r="A310" s="3227" t="s">
        <v>5461</v>
      </c>
      <c r="B310" s="3228">
        <v>30.74</v>
      </c>
      <c r="C310" s="21">
        <f t="shared" si="46"/>
        <v>1</v>
      </c>
      <c r="D310" s="3237" t="s">
        <v>5171</v>
      </c>
      <c r="E310" s="21">
        <f t="shared" si="47"/>
        <v>1</v>
      </c>
      <c r="F310" s="635"/>
      <c r="G310" s="21">
        <f t="shared" si="48"/>
        <v>1</v>
      </c>
      <c r="H310" s="635"/>
      <c r="I310" s="21">
        <f t="shared" si="49"/>
        <v>1</v>
      </c>
      <c r="J310" s="635"/>
      <c r="K310" s="21">
        <f t="shared" si="50"/>
        <v>1</v>
      </c>
      <c r="L310" s="635"/>
      <c r="M310" s="21">
        <f t="shared" si="51"/>
        <v>1</v>
      </c>
      <c r="N310" s="635"/>
      <c r="O310" s="21">
        <f t="shared" si="52"/>
        <v>1</v>
      </c>
      <c r="P310" s="635"/>
      <c r="Q310" s="21">
        <f t="shared" si="53"/>
        <v>1</v>
      </c>
      <c r="R310" s="21">
        <f t="shared" ca="1" si="54"/>
        <v>5044</v>
      </c>
      <c r="S310" s="308">
        <f t="shared" ca="1" si="45"/>
        <v>16</v>
      </c>
    </row>
    <row r="311" spans="1:19">
      <c r="A311" s="3227" t="s">
        <v>4298</v>
      </c>
      <c r="B311" s="3228">
        <v>30.74</v>
      </c>
      <c r="C311" s="21">
        <f t="shared" si="46"/>
        <v>1</v>
      </c>
      <c r="D311" s="3237" t="s">
        <v>4009</v>
      </c>
      <c r="E311" s="21">
        <f t="shared" si="47"/>
        <v>1</v>
      </c>
      <c r="F311" s="635"/>
      <c r="G311" s="21">
        <f t="shared" si="48"/>
        <v>1</v>
      </c>
      <c r="H311" s="635"/>
      <c r="I311" s="21">
        <f t="shared" si="49"/>
        <v>1</v>
      </c>
      <c r="J311" s="635"/>
      <c r="K311" s="21">
        <f t="shared" si="50"/>
        <v>1</v>
      </c>
      <c r="L311" s="635"/>
      <c r="M311" s="21">
        <f t="shared" si="51"/>
        <v>1</v>
      </c>
      <c r="N311" s="635"/>
      <c r="O311" s="21">
        <f t="shared" si="52"/>
        <v>1</v>
      </c>
      <c r="P311" s="635"/>
      <c r="Q311" s="21">
        <f t="shared" si="53"/>
        <v>1</v>
      </c>
      <c r="R311" s="21">
        <f t="shared" ca="1" si="54"/>
        <v>5044</v>
      </c>
      <c r="S311" s="308">
        <f t="shared" ca="1" si="45"/>
        <v>16</v>
      </c>
    </row>
    <row r="312" spans="1:19">
      <c r="A312" s="3227" t="s">
        <v>5463</v>
      </c>
      <c r="B312" s="3228">
        <v>30.74</v>
      </c>
      <c r="C312" s="21">
        <f t="shared" si="46"/>
        <v>1</v>
      </c>
      <c r="D312" s="3237" t="s">
        <v>5171</v>
      </c>
      <c r="E312" s="21">
        <f t="shared" si="47"/>
        <v>1</v>
      </c>
      <c r="F312" s="635"/>
      <c r="G312" s="21">
        <f t="shared" si="48"/>
        <v>1</v>
      </c>
      <c r="H312" s="635"/>
      <c r="I312" s="21">
        <f t="shared" si="49"/>
        <v>1</v>
      </c>
      <c r="J312" s="635"/>
      <c r="K312" s="21">
        <f t="shared" si="50"/>
        <v>1</v>
      </c>
      <c r="L312" s="635"/>
      <c r="M312" s="21">
        <f t="shared" si="51"/>
        <v>1</v>
      </c>
      <c r="N312" s="635"/>
      <c r="O312" s="21">
        <f t="shared" si="52"/>
        <v>1</v>
      </c>
      <c r="P312" s="635"/>
      <c r="Q312" s="21">
        <f t="shared" si="53"/>
        <v>1</v>
      </c>
      <c r="R312" s="21">
        <f t="shared" ca="1" si="54"/>
        <v>5044</v>
      </c>
      <c r="S312" s="308">
        <f t="shared" ca="1" si="45"/>
        <v>16</v>
      </c>
    </row>
    <row r="313" spans="1:19">
      <c r="A313" s="3227" t="s">
        <v>4300</v>
      </c>
      <c r="B313" s="3228">
        <v>30.74</v>
      </c>
      <c r="C313" s="21">
        <f t="shared" si="46"/>
        <v>1</v>
      </c>
      <c r="D313" s="3237" t="s">
        <v>4009</v>
      </c>
      <c r="E313" s="21">
        <f t="shared" si="47"/>
        <v>1</v>
      </c>
      <c r="F313" s="635"/>
      <c r="G313" s="21">
        <f t="shared" si="48"/>
        <v>1</v>
      </c>
      <c r="H313" s="635"/>
      <c r="I313" s="21">
        <f t="shared" si="49"/>
        <v>1</v>
      </c>
      <c r="J313" s="635"/>
      <c r="K313" s="21">
        <f t="shared" si="50"/>
        <v>1</v>
      </c>
      <c r="L313" s="635"/>
      <c r="M313" s="21">
        <f t="shared" si="51"/>
        <v>1</v>
      </c>
      <c r="N313" s="635"/>
      <c r="O313" s="21">
        <f t="shared" si="52"/>
        <v>1</v>
      </c>
      <c r="P313" s="635"/>
      <c r="Q313" s="21">
        <f t="shared" si="53"/>
        <v>1</v>
      </c>
      <c r="R313" s="21">
        <f t="shared" ca="1" si="54"/>
        <v>5044</v>
      </c>
      <c r="S313" s="308">
        <f t="shared" ca="1" si="45"/>
        <v>16</v>
      </c>
    </row>
    <row r="314" spans="1:19">
      <c r="A314" s="3227" t="s">
        <v>5465</v>
      </c>
      <c r="B314" s="3228">
        <v>29.47</v>
      </c>
      <c r="C314" s="21">
        <f t="shared" si="46"/>
        <v>1</v>
      </c>
      <c r="D314" s="3237" t="s">
        <v>5171</v>
      </c>
      <c r="E314" s="21">
        <f t="shared" si="47"/>
        <v>1</v>
      </c>
      <c r="F314" s="635"/>
      <c r="G314" s="21">
        <f t="shared" si="48"/>
        <v>1</v>
      </c>
      <c r="H314" s="635"/>
      <c r="I314" s="21">
        <f t="shared" si="49"/>
        <v>1</v>
      </c>
      <c r="J314" s="635"/>
      <c r="K314" s="21">
        <f t="shared" si="50"/>
        <v>1</v>
      </c>
      <c r="L314" s="635"/>
      <c r="M314" s="21">
        <f t="shared" si="51"/>
        <v>1</v>
      </c>
      <c r="N314" s="635"/>
      <c r="O314" s="21">
        <f t="shared" si="52"/>
        <v>1</v>
      </c>
      <c r="P314" s="635"/>
      <c r="Q314" s="21">
        <f t="shared" si="53"/>
        <v>1</v>
      </c>
      <c r="R314" s="21">
        <f t="shared" ca="1" si="54"/>
        <v>5044</v>
      </c>
      <c r="S314" s="308">
        <f t="shared" ca="1" si="45"/>
        <v>15</v>
      </c>
    </row>
    <row r="315" spans="1:19">
      <c r="A315" s="3227" t="s">
        <v>4302</v>
      </c>
      <c r="B315" s="3228">
        <v>30.74</v>
      </c>
      <c r="C315" s="21">
        <f t="shared" si="46"/>
        <v>1</v>
      </c>
      <c r="D315" s="3237" t="s">
        <v>4009</v>
      </c>
      <c r="E315" s="21">
        <f t="shared" si="47"/>
        <v>1</v>
      </c>
      <c r="F315" s="635"/>
      <c r="G315" s="21">
        <f t="shared" si="48"/>
        <v>1</v>
      </c>
      <c r="H315" s="635"/>
      <c r="I315" s="21">
        <f t="shared" si="49"/>
        <v>1</v>
      </c>
      <c r="J315" s="635"/>
      <c r="K315" s="21">
        <f t="shared" si="50"/>
        <v>1</v>
      </c>
      <c r="L315" s="635"/>
      <c r="M315" s="21">
        <f t="shared" si="51"/>
        <v>1</v>
      </c>
      <c r="N315" s="635"/>
      <c r="O315" s="21">
        <f t="shared" si="52"/>
        <v>1</v>
      </c>
      <c r="P315" s="635"/>
      <c r="Q315" s="21">
        <f t="shared" si="53"/>
        <v>1</v>
      </c>
      <c r="R315" s="21">
        <f t="shared" ca="1" si="54"/>
        <v>5044</v>
      </c>
      <c r="S315" s="308">
        <f t="shared" ca="1" si="45"/>
        <v>16</v>
      </c>
    </row>
    <row r="316" spans="1:19">
      <c r="A316" s="3227" t="s">
        <v>5467</v>
      </c>
      <c r="B316" s="3228">
        <v>30.74</v>
      </c>
      <c r="C316" s="21">
        <f t="shared" si="46"/>
        <v>1</v>
      </c>
      <c r="D316" s="3237" t="s">
        <v>5171</v>
      </c>
      <c r="E316" s="21">
        <f t="shared" si="47"/>
        <v>1</v>
      </c>
      <c r="F316" s="635"/>
      <c r="G316" s="21">
        <f t="shared" si="48"/>
        <v>1</v>
      </c>
      <c r="H316" s="635"/>
      <c r="I316" s="21">
        <f t="shared" si="49"/>
        <v>1</v>
      </c>
      <c r="J316" s="635"/>
      <c r="K316" s="21">
        <f t="shared" si="50"/>
        <v>1</v>
      </c>
      <c r="L316" s="635"/>
      <c r="M316" s="21">
        <f t="shared" si="51"/>
        <v>1</v>
      </c>
      <c r="N316" s="635"/>
      <c r="O316" s="21">
        <f t="shared" si="52"/>
        <v>1</v>
      </c>
      <c r="P316" s="635"/>
      <c r="Q316" s="21">
        <f t="shared" si="53"/>
        <v>1</v>
      </c>
      <c r="R316" s="21">
        <f t="shared" ca="1" si="54"/>
        <v>5044</v>
      </c>
      <c r="S316" s="308">
        <f t="shared" ca="1" si="45"/>
        <v>16</v>
      </c>
    </row>
    <row r="317" spans="1:19">
      <c r="A317" s="3227" t="s">
        <v>4304</v>
      </c>
      <c r="B317" s="3233">
        <v>33.299999999999997</v>
      </c>
      <c r="C317" s="21">
        <f t="shared" si="46"/>
        <v>1</v>
      </c>
      <c r="D317" s="3237" t="s">
        <v>4009</v>
      </c>
      <c r="E317" s="21">
        <f t="shared" si="47"/>
        <v>1</v>
      </c>
      <c r="F317" s="635"/>
      <c r="G317" s="21">
        <f t="shared" si="48"/>
        <v>1</v>
      </c>
      <c r="H317" s="635"/>
      <c r="I317" s="21">
        <f t="shared" si="49"/>
        <v>1</v>
      </c>
      <c r="J317" s="635"/>
      <c r="K317" s="21">
        <f t="shared" si="50"/>
        <v>1</v>
      </c>
      <c r="L317" s="635"/>
      <c r="M317" s="21">
        <f t="shared" si="51"/>
        <v>1</v>
      </c>
      <c r="N317" s="635"/>
      <c r="O317" s="21">
        <f t="shared" si="52"/>
        <v>1</v>
      </c>
      <c r="P317" s="635"/>
      <c r="Q317" s="21">
        <f t="shared" si="53"/>
        <v>1</v>
      </c>
      <c r="R317" s="21">
        <f t="shared" ca="1" si="54"/>
        <v>5044</v>
      </c>
      <c r="S317" s="308">
        <f t="shared" ca="1" si="45"/>
        <v>17</v>
      </c>
    </row>
    <row r="318" spans="1:19">
      <c r="A318" s="3227" t="s">
        <v>5469</v>
      </c>
      <c r="B318" s="3228">
        <v>29.47</v>
      </c>
      <c r="C318" s="21">
        <f t="shared" si="46"/>
        <v>1</v>
      </c>
      <c r="D318" s="3237" t="s">
        <v>5171</v>
      </c>
      <c r="E318" s="21">
        <f t="shared" si="47"/>
        <v>1</v>
      </c>
      <c r="F318" s="635"/>
      <c r="G318" s="21">
        <f t="shared" si="48"/>
        <v>1</v>
      </c>
      <c r="H318" s="635"/>
      <c r="I318" s="21">
        <f t="shared" si="49"/>
        <v>1</v>
      </c>
      <c r="J318" s="635"/>
      <c r="K318" s="21">
        <f t="shared" si="50"/>
        <v>1</v>
      </c>
      <c r="L318" s="635"/>
      <c r="M318" s="21">
        <f t="shared" si="51"/>
        <v>1</v>
      </c>
      <c r="N318" s="635"/>
      <c r="O318" s="21">
        <f t="shared" si="52"/>
        <v>1</v>
      </c>
      <c r="P318" s="635"/>
      <c r="Q318" s="21">
        <f t="shared" si="53"/>
        <v>1</v>
      </c>
      <c r="R318" s="21">
        <f t="shared" ca="1" si="54"/>
        <v>5044</v>
      </c>
      <c r="S318" s="308">
        <f t="shared" ca="1" si="45"/>
        <v>15</v>
      </c>
    </row>
    <row r="319" spans="1:19">
      <c r="A319" s="3227" t="s">
        <v>4306</v>
      </c>
      <c r="B319" s="3228">
        <v>29.47</v>
      </c>
      <c r="C319" s="21">
        <f t="shared" si="46"/>
        <v>1</v>
      </c>
      <c r="D319" s="3237" t="s">
        <v>4009</v>
      </c>
      <c r="E319" s="21">
        <f t="shared" si="47"/>
        <v>1</v>
      </c>
      <c r="F319" s="635"/>
      <c r="G319" s="21">
        <f t="shared" si="48"/>
        <v>1</v>
      </c>
      <c r="H319" s="635"/>
      <c r="I319" s="21">
        <f t="shared" si="49"/>
        <v>1</v>
      </c>
      <c r="J319" s="635"/>
      <c r="K319" s="21">
        <f t="shared" si="50"/>
        <v>1</v>
      </c>
      <c r="L319" s="635"/>
      <c r="M319" s="21">
        <f t="shared" si="51"/>
        <v>1</v>
      </c>
      <c r="N319" s="635"/>
      <c r="O319" s="21">
        <f t="shared" si="52"/>
        <v>1</v>
      </c>
      <c r="P319" s="635"/>
      <c r="Q319" s="21">
        <f t="shared" si="53"/>
        <v>1</v>
      </c>
      <c r="R319" s="21">
        <f t="shared" ca="1" si="54"/>
        <v>5044</v>
      </c>
      <c r="S319" s="308">
        <f t="shared" ca="1" si="45"/>
        <v>15</v>
      </c>
    </row>
    <row r="320" spans="1:19">
      <c r="A320" s="3227" t="s">
        <v>5471</v>
      </c>
      <c r="B320" s="3228">
        <v>29.47</v>
      </c>
      <c r="C320" s="21">
        <f t="shared" si="46"/>
        <v>1</v>
      </c>
      <c r="D320" s="3237" t="s">
        <v>5171</v>
      </c>
      <c r="E320" s="21">
        <f t="shared" si="47"/>
        <v>1</v>
      </c>
      <c r="F320" s="635"/>
      <c r="G320" s="21">
        <f t="shared" si="48"/>
        <v>1</v>
      </c>
      <c r="H320" s="635"/>
      <c r="I320" s="21">
        <f t="shared" si="49"/>
        <v>1</v>
      </c>
      <c r="J320" s="635"/>
      <c r="K320" s="21">
        <f t="shared" si="50"/>
        <v>1</v>
      </c>
      <c r="L320" s="635"/>
      <c r="M320" s="21">
        <f t="shared" si="51"/>
        <v>1</v>
      </c>
      <c r="N320" s="635"/>
      <c r="O320" s="21">
        <f t="shared" si="52"/>
        <v>1</v>
      </c>
      <c r="P320" s="635"/>
      <c r="Q320" s="21">
        <f t="shared" si="53"/>
        <v>1</v>
      </c>
      <c r="R320" s="21">
        <f t="shared" ca="1" si="54"/>
        <v>5044</v>
      </c>
      <c r="S320" s="308">
        <f t="shared" ca="1" si="45"/>
        <v>15</v>
      </c>
    </row>
    <row r="321" spans="1:19">
      <c r="A321" s="3227" t="s">
        <v>4308</v>
      </c>
      <c r="B321" s="3228">
        <v>29.47</v>
      </c>
      <c r="C321" s="21">
        <f t="shared" si="46"/>
        <v>1</v>
      </c>
      <c r="D321" s="3237" t="s">
        <v>4009</v>
      </c>
      <c r="E321" s="21">
        <f t="shared" si="47"/>
        <v>1</v>
      </c>
      <c r="F321" s="635"/>
      <c r="G321" s="21">
        <f t="shared" si="48"/>
        <v>1</v>
      </c>
      <c r="H321" s="635"/>
      <c r="I321" s="21">
        <f t="shared" si="49"/>
        <v>1</v>
      </c>
      <c r="J321" s="635"/>
      <c r="K321" s="21">
        <f t="shared" si="50"/>
        <v>1</v>
      </c>
      <c r="L321" s="635"/>
      <c r="M321" s="21">
        <f t="shared" si="51"/>
        <v>1</v>
      </c>
      <c r="N321" s="635"/>
      <c r="O321" s="21">
        <f t="shared" si="52"/>
        <v>1</v>
      </c>
      <c r="P321" s="635"/>
      <c r="Q321" s="21">
        <f t="shared" si="53"/>
        <v>1</v>
      </c>
      <c r="R321" s="21">
        <f t="shared" ca="1" si="54"/>
        <v>5044</v>
      </c>
      <c r="S321" s="308">
        <f t="shared" ca="1" si="45"/>
        <v>15</v>
      </c>
    </row>
    <row r="322" spans="1:19">
      <c r="A322" s="3231" t="s">
        <v>5473</v>
      </c>
      <c r="B322" s="3230">
        <v>24.09</v>
      </c>
      <c r="C322" s="21">
        <f t="shared" si="46"/>
        <v>0.98</v>
      </c>
      <c r="D322" s="3238" t="s">
        <v>5171</v>
      </c>
      <c r="E322" s="21">
        <f t="shared" si="47"/>
        <v>1</v>
      </c>
      <c r="F322" s="635"/>
      <c r="G322" s="21">
        <f t="shared" si="48"/>
        <v>1</v>
      </c>
      <c r="H322" s="635"/>
      <c r="I322" s="21">
        <f t="shared" si="49"/>
        <v>1</v>
      </c>
      <c r="J322" s="635"/>
      <c r="K322" s="21">
        <f t="shared" si="50"/>
        <v>1</v>
      </c>
      <c r="L322" s="635"/>
      <c r="M322" s="21">
        <f t="shared" si="51"/>
        <v>1</v>
      </c>
      <c r="N322" s="635"/>
      <c r="O322" s="21">
        <f t="shared" si="52"/>
        <v>1</v>
      </c>
      <c r="P322" s="635"/>
      <c r="Q322" s="21">
        <f t="shared" si="53"/>
        <v>1</v>
      </c>
      <c r="R322" s="21">
        <f t="shared" ca="1" si="54"/>
        <v>4943</v>
      </c>
      <c r="S322" s="308">
        <f t="shared" ca="1" si="45"/>
        <v>12</v>
      </c>
    </row>
    <row r="323" spans="1:19">
      <c r="A323" s="3227" t="s">
        <v>4310</v>
      </c>
      <c r="B323" s="3228">
        <v>29.47</v>
      </c>
      <c r="C323" s="21">
        <f t="shared" si="46"/>
        <v>1</v>
      </c>
      <c r="D323" s="3237" t="s">
        <v>4009</v>
      </c>
      <c r="E323" s="21">
        <f t="shared" si="47"/>
        <v>1</v>
      </c>
      <c r="F323" s="635"/>
      <c r="G323" s="21">
        <f t="shared" si="48"/>
        <v>1</v>
      </c>
      <c r="H323" s="635"/>
      <c r="I323" s="21">
        <f t="shared" si="49"/>
        <v>1</v>
      </c>
      <c r="J323" s="635"/>
      <c r="K323" s="21">
        <f t="shared" si="50"/>
        <v>1</v>
      </c>
      <c r="L323" s="635"/>
      <c r="M323" s="21">
        <f t="shared" si="51"/>
        <v>1</v>
      </c>
      <c r="N323" s="635"/>
      <c r="O323" s="21">
        <f t="shared" si="52"/>
        <v>1</v>
      </c>
      <c r="P323" s="635"/>
      <c r="Q323" s="21">
        <f t="shared" si="53"/>
        <v>1</v>
      </c>
      <c r="R323" s="21">
        <f t="shared" ca="1" si="54"/>
        <v>5044</v>
      </c>
      <c r="S323" s="308">
        <f t="shared" ca="1" si="45"/>
        <v>15</v>
      </c>
    </row>
    <row r="324" spans="1:19">
      <c r="A324" s="3227" t="s">
        <v>5475</v>
      </c>
      <c r="B324" s="3228">
        <v>30.74</v>
      </c>
      <c r="C324" s="21">
        <f t="shared" si="46"/>
        <v>1</v>
      </c>
      <c r="D324" s="3237" t="s">
        <v>5171</v>
      </c>
      <c r="E324" s="21">
        <f t="shared" si="47"/>
        <v>1</v>
      </c>
      <c r="F324" s="635"/>
      <c r="G324" s="21">
        <f t="shared" si="48"/>
        <v>1</v>
      </c>
      <c r="H324" s="635"/>
      <c r="I324" s="21">
        <f t="shared" si="49"/>
        <v>1</v>
      </c>
      <c r="J324" s="635"/>
      <c r="K324" s="21">
        <f t="shared" si="50"/>
        <v>1</v>
      </c>
      <c r="L324" s="635"/>
      <c r="M324" s="21">
        <f t="shared" si="51"/>
        <v>1</v>
      </c>
      <c r="N324" s="635"/>
      <c r="O324" s="21">
        <f t="shared" si="52"/>
        <v>1</v>
      </c>
      <c r="P324" s="635"/>
      <c r="Q324" s="21">
        <f t="shared" si="53"/>
        <v>1</v>
      </c>
      <c r="R324" s="21">
        <f t="shared" ca="1" si="54"/>
        <v>5044</v>
      </c>
      <c r="S324" s="308">
        <f t="shared" ca="1" si="45"/>
        <v>16</v>
      </c>
    </row>
    <row r="325" spans="1:19">
      <c r="A325" s="3227" t="s">
        <v>4312</v>
      </c>
      <c r="B325" s="3228">
        <v>30.74</v>
      </c>
      <c r="C325" s="21">
        <f t="shared" si="46"/>
        <v>1</v>
      </c>
      <c r="D325" s="3237" t="s">
        <v>4009</v>
      </c>
      <c r="E325" s="21">
        <f t="shared" si="47"/>
        <v>1</v>
      </c>
      <c r="F325" s="635"/>
      <c r="G325" s="21">
        <f t="shared" si="48"/>
        <v>1</v>
      </c>
      <c r="H325" s="635"/>
      <c r="I325" s="21">
        <f t="shared" si="49"/>
        <v>1</v>
      </c>
      <c r="J325" s="635"/>
      <c r="K325" s="21">
        <f t="shared" si="50"/>
        <v>1</v>
      </c>
      <c r="L325" s="635"/>
      <c r="M325" s="21">
        <f t="shared" si="51"/>
        <v>1</v>
      </c>
      <c r="N325" s="635"/>
      <c r="O325" s="21">
        <f t="shared" si="52"/>
        <v>1</v>
      </c>
      <c r="P325" s="635"/>
      <c r="Q325" s="21">
        <f t="shared" si="53"/>
        <v>1</v>
      </c>
      <c r="R325" s="21">
        <f t="shared" ca="1" si="54"/>
        <v>5044</v>
      </c>
      <c r="S325" s="308">
        <f t="shared" ca="1" si="45"/>
        <v>16</v>
      </c>
    </row>
    <row r="326" spans="1:19">
      <c r="A326" s="3227" t="s">
        <v>5477</v>
      </c>
      <c r="B326" s="3228">
        <v>30.74</v>
      </c>
      <c r="C326" s="21">
        <f t="shared" si="46"/>
        <v>1</v>
      </c>
      <c r="D326" s="3237" t="s">
        <v>5171</v>
      </c>
      <c r="E326" s="21">
        <f t="shared" si="47"/>
        <v>1</v>
      </c>
      <c r="F326" s="635"/>
      <c r="G326" s="21">
        <f t="shared" si="48"/>
        <v>1</v>
      </c>
      <c r="H326" s="635"/>
      <c r="I326" s="21">
        <f t="shared" si="49"/>
        <v>1</v>
      </c>
      <c r="J326" s="635"/>
      <c r="K326" s="21">
        <f t="shared" si="50"/>
        <v>1</v>
      </c>
      <c r="L326" s="635"/>
      <c r="M326" s="21">
        <f t="shared" si="51"/>
        <v>1</v>
      </c>
      <c r="N326" s="635"/>
      <c r="O326" s="21">
        <f t="shared" si="52"/>
        <v>1</v>
      </c>
      <c r="P326" s="635"/>
      <c r="Q326" s="21">
        <f t="shared" si="53"/>
        <v>1</v>
      </c>
      <c r="R326" s="21">
        <f t="shared" ca="1" si="54"/>
        <v>5044</v>
      </c>
      <c r="S326" s="308">
        <f t="shared" ca="1" si="45"/>
        <v>16</v>
      </c>
    </row>
    <row r="327" spans="1:19">
      <c r="A327" s="3227" t="s">
        <v>4314</v>
      </c>
      <c r="B327" s="3228">
        <v>29.47</v>
      </c>
      <c r="C327" s="21">
        <f t="shared" si="46"/>
        <v>1</v>
      </c>
      <c r="D327" s="3237" t="s">
        <v>4009</v>
      </c>
      <c r="E327" s="21">
        <f t="shared" si="47"/>
        <v>1</v>
      </c>
      <c r="F327" s="635"/>
      <c r="G327" s="21">
        <f t="shared" si="48"/>
        <v>1</v>
      </c>
      <c r="H327" s="635"/>
      <c r="I327" s="21">
        <f t="shared" si="49"/>
        <v>1</v>
      </c>
      <c r="J327" s="635"/>
      <c r="K327" s="21">
        <f t="shared" si="50"/>
        <v>1</v>
      </c>
      <c r="L327" s="635"/>
      <c r="M327" s="21">
        <f t="shared" si="51"/>
        <v>1</v>
      </c>
      <c r="N327" s="635"/>
      <c r="O327" s="21">
        <f t="shared" si="52"/>
        <v>1</v>
      </c>
      <c r="P327" s="635"/>
      <c r="Q327" s="21">
        <f t="shared" si="53"/>
        <v>1</v>
      </c>
      <c r="R327" s="21">
        <f t="shared" ca="1" si="54"/>
        <v>5044</v>
      </c>
      <c r="S327" s="308">
        <f t="shared" ca="1" si="45"/>
        <v>15</v>
      </c>
    </row>
    <row r="328" spans="1:19">
      <c r="A328" s="3227" t="s">
        <v>5479</v>
      </c>
      <c r="B328" s="3228">
        <v>29.47</v>
      </c>
      <c r="C328" s="21">
        <f t="shared" si="46"/>
        <v>1</v>
      </c>
      <c r="D328" s="3237" t="s">
        <v>5171</v>
      </c>
      <c r="E328" s="21">
        <f t="shared" si="47"/>
        <v>1</v>
      </c>
      <c r="F328" s="635"/>
      <c r="G328" s="21">
        <f t="shared" si="48"/>
        <v>1</v>
      </c>
      <c r="H328" s="635"/>
      <c r="I328" s="21">
        <f t="shared" si="49"/>
        <v>1</v>
      </c>
      <c r="J328" s="635"/>
      <c r="K328" s="21">
        <f t="shared" si="50"/>
        <v>1</v>
      </c>
      <c r="L328" s="635"/>
      <c r="M328" s="21">
        <f t="shared" si="51"/>
        <v>1</v>
      </c>
      <c r="N328" s="635"/>
      <c r="O328" s="21">
        <f t="shared" si="52"/>
        <v>1</v>
      </c>
      <c r="P328" s="635"/>
      <c r="Q328" s="21">
        <f t="shared" si="53"/>
        <v>1</v>
      </c>
      <c r="R328" s="21">
        <f t="shared" ca="1" si="54"/>
        <v>5044</v>
      </c>
      <c r="S328" s="308">
        <f t="shared" ca="1" si="45"/>
        <v>15</v>
      </c>
    </row>
    <row r="329" spans="1:19">
      <c r="A329" s="3227" t="s">
        <v>4316</v>
      </c>
      <c r="B329" s="3228">
        <v>29.47</v>
      </c>
      <c r="C329" s="21">
        <f t="shared" si="46"/>
        <v>1</v>
      </c>
      <c r="D329" s="3237" t="s">
        <v>4009</v>
      </c>
      <c r="E329" s="21">
        <f t="shared" si="47"/>
        <v>1</v>
      </c>
      <c r="F329" s="635"/>
      <c r="G329" s="21">
        <f t="shared" si="48"/>
        <v>1</v>
      </c>
      <c r="H329" s="635"/>
      <c r="I329" s="21">
        <f t="shared" si="49"/>
        <v>1</v>
      </c>
      <c r="J329" s="635"/>
      <c r="K329" s="21">
        <f t="shared" si="50"/>
        <v>1</v>
      </c>
      <c r="L329" s="635"/>
      <c r="M329" s="21">
        <f t="shared" si="51"/>
        <v>1</v>
      </c>
      <c r="N329" s="635"/>
      <c r="O329" s="21">
        <f t="shared" si="52"/>
        <v>1</v>
      </c>
      <c r="P329" s="635"/>
      <c r="Q329" s="21">
        <f t="shared" si="53"/>
        <v>1</v>
      </c>
      <c r="R329" s="21">
        <f t="shared" ca="1" si="54"/>
        <v>5044</v>
      </c>
      <c r="S329" s="308">
        <f t="shared" ca="1" si="45"/>
        <v>15</v>
      </c>
    </row>
    <row r="330" spans="1:19">
      <c r="A330" s="3227" t="s">
        <v>5481</v>
      </c>
      <c r="B330" s="3228">
        <v>29.47</v>
      </c>
      <c r="C330" s="21">
        <f t="shared" si="46"/>
        <v>1</v>
      </c>
      <c r="D330" s="3237" t="s">
        <v>5171</v>
      </c>
      <c r="E330" s="21">
        <f t="shared" si="47"/>
        <v>1</v>
      </c>
      <c r="F330" s="635"/>
      <c r="G330" s="21">
        <f t="shared" si="48"/>
        <v>1</v>
      </c>
      <c r="H330" s="635"/>
      <c r="I330" s="21">
        <f t="shared" si="49"/>
        <v>1</v>
      </c>
      <c r="J330" s="635"/>
      <c r="K330" s="21">
        <f t="shared" si="50"/>
        <v>1</v>
      </c>
      <c r="L330" s="635"/>
      <c r="M330" s="21">
        <f t="shared" si="51"/>
        <v>1</v>
      </c>
      <c r="N330" s="635"/>
      <c r="O330" s="21">
        <f t="shared" si="52"/>
        <v>1</v>
      </c>
      <c r="P330" s="635"/>
      <c r="Q330" s="21">
        <f t="shared" si="53"/>
        <v>1</v>
      </c>
      <c r="R330" s="21">
        <f t="shared" ca="1" si="54"/>
        <v>5044</v>
      </c>
      <c r="S330" s="308">
        <f t="shared" ca="1" si="45"/>
        <v>15</v>
      </c>
    </row>
    <row r="331" spans="1:19">
      <c r="A331" s="3227" t="s">
        <v>4318</v>
      </c>
      <c r="B331" s="3228">
        <v>29.47</v>
      </c>
      <c r="C331" s="21">
        <f t="shared" si="46"/>
        <v>1</v>
      </c>
      <c r="D331" s="3237" t="s">
        <v>4009</v>
      </c>
      <c r="E331" s="21">
        <f t="shared" si="47"/>
        <v>1</v>
      </c>
      <c r="F331" s="635"/>
      <c r="G331" s="21">
        <f t="shared" si="48"/>
        <v>1</v>
      </c>
      <c r="H331" s="635"/>
      <c r="I331" s="21">
        <f t="shared" si="49"/>
        <v>1</v>
      </c>
      <c r="J331" s="635"/>
      <c r="K331" s="21">
        <f t="shared" si="50"/>
        <v>1</v>
      </c>
      <c r="L331" s="635"/>
      <c r="M331" s="21">
        <f t="shared" si="51"/>
        <v>1</v>
      </c>
      <c r="N331" s="635"/>
      <c r="O331" s="21">
        <f t="shared" si="52"/>
        <v>1</v>
      </c>
      <c r="P331" s="635"/>
      <c r="Q331" s="21">
        <f t="shared" si="53"/>
        <v>1</v>
      </c>
      <c r="R331" s="21">
        <f t="shared" ca="1" si="54"/>
        <v>5044</v>
      </c>
      <c r="S331" s="308">
        <f t="shared" ca="1" si="45"/>
        <v>15</v>
      </c>
    </row>
    <row r="332" spans="1:19">
      <c r="A332" s="3227" t="s">
        <v>5483</v>
      </c>
      <c r="B332" s="3228">
        <v>29.47</v>
      </c>
      <c r="C332" s="21">
        <f t="shared" si="46"/>
        <v>1</v>
      </c>
      <c r="D332" s="3237" t="s">
        <v>5171</v>
      </c>
      <c r="E332" s="21">
        <f t="shared" si="47"/>
        <v>1</v>
      </c>
      <c r="F332" s="635"/>
      <c r="G332" s="21">
        <f t="shared" si="48"/>
        <v>1</v>
      </c>
      <c r="H332" s="635"/>
      <c r="I332" s="21">
        <f t="shared" si="49"/>
        <v>1</v>
      </c>
      <c r="J332" s="635"/>
      <c r="K332" s="21">
        <f t="shared" si="50"/>
        <v>1</v>
      </c>
      <c r="L332" s="635"/>
      <c r="M332" s="21">
        <f t="shared" si="51"/>
        <v>1</v>
      </c>
      <c r="N332" s="635"/>
      <c r="O332" s="21">
        <f t="shared" si="52"/>
        <v>1</v>
      </c>
      <c r="P332" s="635"/>
      <c r="Q332" s="21">
        <f t="shared" si="53"/>
        <v>1</v>
      </c>
      <c r="R332" s="21">
        <f t="shared" ca="1" si="54"/>
        <v>5044</v>
      </c>
      <c r="S332" s="308">
        <f t="shared" ca="1" si="45"/>
        <v>15</v>
      </c>
    </row>
    <row r="333" spans="1:19">
      <c r="A333" s="3227" t="s">
        <v>4320</v>
      </c>
      <c r="B333" s="3228">
        <v>30.74</v>
      </c>
      <c r="C333" s="21">
        <f t="shared" si="46"/>
        <v>1</v>
      </c>
      <c r="D333" s="3237" t="s">
        <v>4009</v>
      </c>
      <c r="E333" s="21">
        <f t="shared" si="47"/>
        <v>1</v>
      </c>
      <c r="F333" s="635"/>
      <c r="G333" s="21">
        <f t="shared" si="48"/>
        <v>1</v>
      </c>
      <c r="H333" s="635"/>
      <c r="I333" s="21">
        <f t="shared" si="49"/>
        <v>1</v>
      </c>
      <c r="J333" s="635"/>
      <c r="K333" s="21">
        <f t="shared" si="50"/>
        <v>1</v>
      </c>
      <c r="L333" s="635"/>
      <c r="M333" s="21">
        <f t="shared" si="51"/>
        <v>1</v>
      </c>
      <c r="N333" s="635"/>
      <c r="O333" s="21">
        <f t="shared" si="52"/>
        <v>1</v>
      </c>
      <c r="P333" s="635"/>
      <c r="Q333" s="21">
        <f t="shared" si="53"/>
        <v>1</v>
      </c>
      <c r="R333" s="21">
        <f t="shared" ca="1" si="54"/>
        <v>5044</v>
      </c>
      <c r="S333" s="308">
        <f t="shared" ca="1" si="45"/>
        <v>16</v>
      </c>
    </row>
    <row r="334" spans="1:19">
      <c r="A334" s="3227" t="s">
        <v>5485</v>
      </c>
      <c r="B334" s="3228">
        <v>30.74</v>
      </c>
      <c r="C334" s="21">
        <f t="shared" si="46"/>
        <v>1</v>
      </c>
      <c r="D334" s="3237" t="s">
        <v>5171</v>
      </c>
      <c r="E334" s="21">
        <f t="shared" si="47"/>
        <v>1</v>
      </c>
      <c r="F334" s="635"/>
      <c r="G334" s="21">
        <f t="shared" si="48"/>
        <v>1</v>
      </c>
      <c r="H334" s="635"/>
      <c r="I334" s="21">
        <f t="shared" si="49"/>
        <v>1</v>
      </c>
      <c r="J334" s="635"/>
      <c r="K334" s="21">
        <f t="shared" si="50"/>
        <v>1</v>
      </c>
      <c r="L334" s="635"/>
      <c r="M334" s="21">
        <f t="shared" si="51"/>
        <v>1</v>
      </c>
      <c r="N334" s="635"/>
      <c r="O334" s="21">
        <f t="shared" si="52"/>
        <v>1</v>
      </c>
      <c r="P334" s="635"/>
      <c r="Q334" s="21">
        <f t="shared" si="53"/>
        <v>1</v>
      </c>
      <c r="R334" s="21">
        <f t="shared" ca="1" si="54"/>
        <v>5044</v>
      </c>
      <c r="S334" s="308">
        <f t="shared" ca="1" si="45"/>
        <v>16</v>
      </c>
    </row>
    <row r="335" spans="1:19">
      <c r="A335" s="3227" t="s">
        <v>4323</v>
      </c>
      <c r="B335" s="3228">
        <v>32.03</v>
      </c>
      <c r="C335" s="21">
        <f t="shared" si="46"/>
        <v>1</v>
      </c>
      <c r="D335" s="3237" t="s">
        <v>4322</v>
      </c>
      <c r="E335" s="21">
        <f t="shared" si="47"/>
        <v>1.02</v>
      </c>
      <c r="F335" s="635"/>
      <c r="G335" s="21">
        <f t="shared" si="48"/>
        <v>1</v>
      </c>
      <c r="H335" s="635"/>
      <c r="I335" s="21">
        <f t="shared" si="49"/>
        <v>1</v>
      </c>
      <c r="J335" s="635"/>
      <c r="K335" s="21">
        <f t="shared" si="50"/>
        <v>1</v>
      </c>
      <c r="L335" s="635"/>
      <c r="M335" s="21">
        <f t="shared" si="51"/>
        <v>1</v>
      </c>
      <c r="N335" s="635"/>
      <c r="O335" s="21">
        <f t="shared" si="52"/>
        <v>1</v>
      </c>
      <c r="P335" s="635"/>
      <c r="Q335" s="21">
        <f t="shared" si="53"/>
        <v>1</v>
      </c>
      <c r="R335" s="21">
        <f t="shared" ca="1" si="54"/>
        <v>5145</v>
      </c>
      <c r="S335" s="308">
        <f t="shared" ca="1" si="45"/>
        <v>16</v>
      </c>
    </row>
    <row r="336" spans="1:19">
      <c r="A336" s="3227" t="s">
        <v>5488</v>
      </c>
      <c r="B336" s="3228">
        <v>32.03</v>
      </c>
      <c r="C336" s="21">
        <f t="shared" si="46"/>
        <v>1</v>
      </c>
      <c r="D336" s="3237" t="s">
        <v>5487</v>
      </c>
      <c r="E336" s="21">
        <f t="shared" si="47"/>
        <v>1.02</v>
      </c>
      <c r="F336" s="635"/>
      <c r="G336" s="21">
        <f t="shared" si="48"/>
        <v>1</v>
      </c>
      <c r="H336" s="635"/>
      <c r="I336" s="21">
        <f t="shared" si="49"/>
        <v>1</v>
      </c>
      <c r="J336" s="635"/>
      <c r="K336" s="21">
        <f t="shared" si="50"/>
        <v>1</v>
      </c>
      <c r="L336" s="635"/>
      <c r="M336" s="21">
        <f t="shared" si="51"/>
        <v>1</v>
      </c>
      <c r="N336" s="635"/>
      <c r="O336" s="21">
        <f t="shared" si="52"/>
        <v>1</v>
      </c>
      <c r="P336" s="635"/>
      <c r="Q336" s="21">
        <f t="shared" si="53"/>
        <v>1</v>
      </c>
      <c r="R336" s="21">
        <f t="shared" ca="1" si="54"/>
        <v>5145</v>
      </c>
      <c r="S336" s="308">
        <f t="shared" ca="1" si="45"/>
        <v>16</v>
      </c>
    </row>
    <row r="337" spans="1:19">
      <c r="A337" s="3227" t="s">
        <v>4325</v>
      </c>
      <c r="B337" s="3228">
        <v>32.03</v>
      </c>
      <c r="C337" s="21">
        <f t="shared" si="46"/>
        <v>1</v>
      </c>
      <c r="D337" s="3237" t="s">
        <v>4322</v>
      </c>
      <c r="E337" s="21">
        <f t="shared" si="47"/>
        <v>1.02</v>
      </c>
      <c r="F337" s="635"/>
      <c r="G337" s="21">
        <f t="shared" si="48"/>
        <v>1</v>
      </c>
      <c r="H337" s="635"/>
      <c r="I337" s="21">
        <f t="shared" si="49"/>
        <v>1</v>
      </c>
      <c r="J337" s="635"/>
      <c r="K337" s="21">
        <f t="shared" si="50"/>
        <v>1</v>
      </c>
      <c r="L337" s="635"/>
      <c r="M337" s="21">
        <f t="shared" si="51"/>
        <v>1</v>
      </c>
      <c r="N337" s="635"/>
      <c r="O337" s="21">
        <f t="shared" si="52"/>
        <v>1</v>
      </c>
      <c r="P337" s="635"/>
      <c r="Q337" s="21">
        <f t="shared" si="53"/>
        <v>1</v>
      </c>
      <c r="R337" s="21">
        <f t="shared" ca="1" si="54"/>
        <v>5145</v>
      </c>
      <c r="S337" s="308">
        <f t="shared" ca="1" si="45"/>
        <v>16</v>
      </c>
    </row>
    <row r="338" spans="1:19">
      <c r="A338" s="3227" t="s">
        <v>5490</v>
      </c>
      <c r="B338" s="3228">
        <v>30.74</v>
      </c>
      <c r="C338" s="21">
        <f t="shared" si="46"/>
        <v>1</v>
      </c>
      <c r="D338" s="3237" t="s">
        <v>5487</v>
      </c>
      <c r="E338" s="21">
        <f t="shared" si="47"/>
        <v>1.02</v>
      </c>
      <c r="F338" s="635"/>
      <c r="G338" s="21">
        <f t="shared" si="48"/>
        <v>1</v>
      </c>
      <c r="H338" s="635"/>
      <c r="I338" s="21">
        <f t="shared" si="49"/>
        <v>1</v>
      </c>
      <c r="J338" s="635"/>
      <c r="K338" s="21">
        <f t="shared" si="50"/>
        <v>1</v>
      </c>
      <c r="L338" s="635"/>
      <c r="M338" s="21">
        <f t="shared" si="51"/>
        <v>1</v>
      </c>
      <c r="N338" s="635"/>
      <c r="O338" s="21">
        <f t="shared" si="52"/>
        <v>1</v>
      </c>
      <c r="P338" s="635"/>
      <c r="Q338" s="21">
        <f t="shared" si="53"/>
        <v>1</v>
      </c>
      <c r="R338" s="21">
        <f t="shared" ca="1" si="54"/>
        <v>5145</v>
      </c>
      <c r="S338" s="308">
        <f t="shared" ca="1" si="45"/>
        <v>16</v>
      </c>
    </row>
    <row r="339" spans="1:19">
      <c r="A339" s="3227" t="s">
        <v>4327</v>
      </c>
      <c r="B339" s="3228">
        <v>30.74</v>
      </c>
      <c r="C339" s="21">
        <f t="shared" si="46"/>
        <v>1</v>
      </c>
      <c r="D339" s="3237" t="s">
        <v>4322</v>
      </c>
      <c r="E339" s="21">
        <f t="shared" si="47"/>
        <v>1.02</v>
      </c>
      <c r="F339" s="635"/>
      <c r="G339" s="21">
        <f t="shared" si="48"/>
        <v>1</v>
      </c>
      <c r="H339" s="635"/>
      <c r="I339" s="21">
        <f t="shared" si="49"/>
        <v>1</v>
      </c>
      <c r="J339" s="635"/>
      <c r="K339" s="21">
        <f t="shared" si="50"/>
        <v>1</v>
      </c>
      <c r="L339" s="635"/>
      <c r="M339" s="21">
        <f t="shared" si="51"/>
        <v>1</v>
      </c>
      <c r="N339" s="635"/>
      <c r="O339" s="21">
        <f t="shared" si="52"/>
        <v>1</v>
      </c>
      <c r="P339" s="635"/>
      <c r="Q339" s="21">
        <f t="shared" si="53"/>
        <v>1</v>
      </c>
      <c r="R339" s="21">
        <f t="shared" ca="1" si="54"/>
        <v>5145</v>
      </c>
      <c r="S339" s="308">
        <f t="shared" ca="1" si="45"/>
        <v>16</v>
      </c>
    </row>
    <row r="340" spans="1:19">
      <c r="A340" s="3227" t="s">
        <v>5492</v>
      </c>
      <c r="B340" s="3228">
        <v>30.74</v>
      </c>
      <c r="C340" s="21">
        <f t="shared" si="46"/>
        <v>1</v>
      </c>
      <c r="D340" s="3237" t="s">
        <v>5487</v>
      </c>
      <c r="E340" s="21">
        <f t="shared" si="47"/>
        <v>1.02</v>
      </c>
      <c r="F340" s="635"/>
      <c r="G340" s="21">
        <f t="shared" si="48"/>
        <v>1</v>
      </c>
      <c r="H340" s="635"/>
      <c r="I340" s="21">
        <f t="shared" si="49"/>
        <v>1</v>
      </c>
      <c r="J340" s="635"/>
      <c r="K340" s="21">
        <f t="shared" si="50"/>
        <v>1</v>
      </c>
      <c r="L340" s="635"/>
      <c r="M340" s="21">
        <f t="shared" si="51"/>
        <v>1</v>
      </c>
      <c r="N340" s="635"/>
      <c r="O340" s="21">
        <f t="shared" si="52"/>
        <v>1</v>
      </c>
      <c r="P340" s="635"/>
      <c r="Q340" s="21">
        <f t="shared" si="53"/>
        <v>1</v>
      </c>
      <c r="R340" s="21">
        <f t="shared" ca="1" si="54"/>
        <v>5145</v>
      </c>
      <c r="S340" s="308">
        <f t="shared" ca="1" si="45"/>
        <v>16</v>
      </c>
    </row>
    <row r="341" spans="1:19">
      <c r="A341" s="3227" t="s">
        <v>4329</v>
      </c>
      <c r="B341" s="3228">
        <v>30.74</v>
      </c>
      <c r="C341" s="21">
        <f t="shared" si="46"/>
        <v>1</v>
      </c>
      <c r="D341" s="3237" t="s">
        <v>4322</v>
      </c>
      <c r="E341" s="21">
        <f t="shared" si="47"/>
        <v>1.02</v>
      </c>
      <c r="F341" s="635"/>
      <c r="G341" s="21">
        <f t="shared" si="48"/>
        <v>1</v>
      </c>
      <c r="H341" s="635"/>
      <c r="I341" s="21">
        <f t="shared" si="49"/>
        <v>1</v>
      </c>
      <c r="J341" s="635"/>
      <c r="K341" s="21">
        <f t="shared" si="50"/>
        <v>1</v>
      </c>
      <c r="L341" s="635"/>
      <c r="M341" s="21">
        <f t="shared" si="51"/>
        <v>1</v>
      </c>
      <c r="N341" s="635"/>
      <c r="O341" s="21">
        <f t="shared" si="52"/>
        <v>1</v>
      </c>
      <c r="P341" s="635"/>
      <c r="Q341" s="21">
        <f t="shared" si="53"/>
        <v>1</v>
      </c>
      <c r="R341" s="21">
        <f t="shared" ca="1" si="54"/>
        <v>5145</v>
      </c>
      <c r="S341" s="308">
        <f t="shared" ca="1" si="45"/>
        <v>16</v>
      </c>
    </row>
    <row r="342" spans="1:19">
      <c r="A342" s="3227" t="s">
        <v>5495</v>
      </c>
      <c r="B342" s="3228">
        <v>30.74</v>
      </c>
      <c r="C342" s="21">
        <f t="shared" si="46"/>
        <v>1</v>
      </c>
      <c r="D342" s="3239" t="s">
        <v>5494</v>
      </c>
      <c r="E342" s="21">
        <f t="shared" si="47"/>
        <v>1.02</v>
      </c>
      <c r="F342" s="635"/>
      <c r="G342" s="21">
        <f t="shared" si="48"/>
        <v>1</v>
      </c>
      <c r="H342" s="635"/>
      <c r="I342" s="21">
        <f t="shared" si="49"/>
        <v>1</v>
      </c>
      <c r="J342" s="635"/>
      <c r="K342" s="21">
        <f t="shared" si="50"/>
        <v>1</v>
      </c>
      <c r="L342" s="635"/>
      <c r="M342" s="21">
        <f t="shared" si="51"/>
        <v>1</v>
      </c>
      <c r="N342" s="635"/>
      <c r="O342" s="21">
        <f t="shared" si="52"/>
        <v>1</v>
      </c>
      <c r="P342" s="635"/>
      <c r="Q342" s="21">
        <f t="shared" si="53"/>
        <v>1</v>
      </c>
      <c r="R342" s="21">
        <f t="shared" ca="1" si="54"/>
        <v>5145</v>
      </c>
      <c r="S342" s="308">
        <f t="shared" ca="1" si="45"/>
        <v>16</v>
      </c>
    </row>
    <row r="343" spans="1:19">
      <c r="A343" s="3227" t="s">
        <v>4332</v>
      </c>
      <c r="B343" s="3228">
        <v>30.74</v>
      </c>
      <c r="C343" s="21">
        <f t="shared" si="46"/>
        <v>1</v>
      </c>
      <c r="D343" s="3237" t="s">
        <v>4322</v>
      </c>
      <c r="E343" s="21">
        <f t="shared" si="47"/>
        <v>1.02</v>
      </c>
      <c r="F343" s="635"/>
      <c r="G343" s="21">
        <f t="shared" si="48"/>
        <v>1</v>
      </c>
      <c r="H343" s="635"/>
      <c r="I343" s="21">
        <f t="shared" si="49"/>
        <v>1</v>
      </c>
      <c r="J343" s="635"/>
      <c r="K343" s="21">
        <f t="shared" si="50"/>
        <v>1</v>
      </c>
      <c r="L343" s="635"/>
      <c r="M343" s="21">
        <f t="shared" si="51"/>
        <v>1</v>
      </c>
      <c r="N343" s="635"/>
      <c r="O343" s="21">
        <f t="shared" si="52"/>
        <v>1</v>
      </c>
      <c r="P343" s="635"/>
      <c r="Q343" s="21">
        <f t="shared" si="53"/>
        <v>1</v>
      </c>
      <c r="R343" s="21">
        <f t="shared" ca="1" si="54"/>
        <v>5145</v>
      </c>
      <c r="S343" s="308">
        <f t="shared" ca="1" si="45"/>
        <v>16</v>
      </c>
    </row>
    <row r="344" spans="1:19">
      <c r="A344" s="3227" t="s">
        <v>5497</v>
      </c>
      <c r="B344" s="3228">
        <v>30.74</v>
      </c>
      <c r="C344" s="21">
        <f t="shared" si="46"/>
        <v>1</v>
      </c>
      <c r="D344" s="3239" t="s">
        <v>5494</v>
      </c>
      <c r="E344" s="21">
        <f t="shared" si="47"/>
        <v>1.02</v>
      </c>
      <c r="F344" s="635"/>
      <c r="G344" s="21">
        <f t="shared" si="48"/>
        <v>1</v>
      </c>
      <c r="H344" s="635"/>
      <c r="I344" s="21">
        <f t="shared" si="49"/>
        <v>1</v>
      </c>
      <c r="J344" s="635"/>
      <c r="K344" s="21">
        <f t="shared" si="50"/>
        <v>1</v>
      </c>
      <c r="L344" s="635"/>
      <c r="M344" s="21">
        <f t="shared" si="51"/>
        <v>1</v>
      </c>
      <c r="N344" s="635"/>
      <c r="O344" s="21">
        <f t="shared" si="52"/>
        <v>1</v>
      </c>
      <c r="P344" s="635"/>
      <c r="Q344" s="21">
        <f t="shared" si="53"/>
        <v>1</v>
      </c>
      <c r="R344" s="21">
        <f t="shared" ca="1" si="54"/>
        <v>5145</v>
      </c>
      <c r="S344" s="308">
        <f t="shared" ref="S344:S407" ca="1" si="55">ROUND(R344*B344/10000,0)</f>
        <v>16</v>
      </c>
    </row>
    <row r="345" spans="1:19">
      <c r="A345" s="3227" t="s">
        <v>4334</v>
      </c>
      <c r="B345" s="3228">
        <v>30.74</v>
      </c>
      <c r="C345" s="21">
        <f t="shared" si="46"/>
        <v>1</v>
      </c>
      <c r="D345" s="3239" t="s">
        <v>4330</v>
      </c>
      <c r="E345" s="21">
        <f t="shared" si="47"/>
        <v>1.02</v>
      </c>
      <c r="F345" s="635"/>
      <c r="G345" s="21">
        <f t="shared" si="48"/>
        <v>1</v>
      </c>
      <c r="H345" s="635"/>
      <c r="I345" s="21">
        <f t="shared" si="49"/>
        <v>1</v>
      </c>
      <c r="J345" s="635"/>
      <c r="K345" s="21">
        <f t="shared" si="50"/>
        <v>1</v>
      </c>
      <c r="L345" s="635"/>
      <c r="M345" s="21">
        <f t="shared" si="51"/>
        <v>1</v>
      </c>
      <c r="N345" s="635"/>
      <c r="O345" s="21">
        <f t="shared" si="52"/>
        <v>1</v>
      </c>
      <c r="P345" s="635"/>
      <c r="Q345" s="21">
        <f t="shared" si="53"/>
        <v>1</v>
      </c>
      <c r="R345" s="21">
        <f t="shared" ca="1" si="54"/>
        <v>5145</v>
      </c>
      <c r="S345" s="308">
        <f t="shared" ca="1" si="55"/>
        <v>16</v>
      </c>
    </row>
    <row r="346" spans="1:19">
      <c r="A346" s="3227" t="s">
        <v>5499</v>
      </c>
      <c r="B346" s="3228">
        <v>30.74</v>
      </c>
      <c r="C346" s="21">
        <f t="shared" ref="C346:C409" si="56">IF(B346="",1,(LOOKUP(B346,$3:$3,$4:$4)-LOOKUP($B$24,$3:$3,$4:$4)+100)/100)</f>
        <v>1</v>
      </c>
      <c r="D346" s="3237" t="s">
        <v>5487</v>
      </c>
      <c r="E346" s="21">
        <f t="shared" ref="E346:E409" si="57">(SUMIF($5:$5,D346,$6:$6)-SUMIF($5:$5,$D$24,$6:$6)+100)/100</f>
        <v>1.02</v>
      </c>
      <c r="F346" s="635"/>
      <c r="G346" s="21">
        <f t="shared" ref="G346:G409" si="58">(SUMIF($7:$7,F346,$8:$8)-SUMIF($7:$7,$F$24,$8:$8)+100)/100</f>
        <v>1</v>
      </c>
      <c r="H346" s="635"/>
      <c r="I346" s="21">
        <f t="shared" ref="I346:I409" si="59">(SUMIF($9:$9,H346,$10:$10)-SUMIF($9:$9,$H$24,$10:$10)+100)/100</f>
        <v>1</v>
      </c>
      <c r="J346" s="635"/>
      <c r="K346" s="21">
        <f t="shared" ref="K346:K409" si="60">(SUMIF($11:$11,J346,$12:$12)-SUMIF($11:$11,$J$24,$12:$12)+100)/100</f>
        <v>1</v>
      </c>
      <c r="L346" s="635"/>
      <c r="M346" s="21">
        <f t="shared" ref="M346:M409" si="61">(SUMIF($13:$13,L346,$14:$14)-SUMIF($13:$13,$L$24,$14:$14)+100)/100</f>
        <v>1</v>
      </c>
      <c r="N346" s="635"/>
      <c r="O346" s="21">
        <f t="shared" ref="O346:O409" si="62">(SUMIF($15:$15,N346,$16:$16)-SUMIF($15:$15,$N$24,$16:$16)+100)/100</f>
        <v>1</v>
      </c>
      <c r="P346" s="635"/>
      <c r="Q346" s="21">
        <f t="shared" ref="Q346:Q409" si="63">(SUMIF($17:$17,P346,$18:$18)-SUMIF($17:$17,$P$24,$18:$18)+100)/100</f>
        <v>1</v>
      </c>
      <c r="R346" s="21">
        <f t="shared" ref="R346:R409" ca="1" si="64">IF(B346="",0,ROUND($R$24*C346*E346*G346*I346*K346*M346*O346*Q346,0))</f>
        <v>5145</v>
      </c>
      <c r="S346" s="308">
        <f t="shared" ca="1" si="55"/>
        <v>16</v>
      </c>
    </row>
    <row r="347" spans="1:19">
      <c r="A347" s="3227" t="s">
        <v>4336</v>
      </c>
      <c r="B347" s="3228">
        <v>30.74</v>
      </c>
      <c r="C347" s="21">
        <f t="shared" si="56"/>
        <v>1</v>
      </c>
      <c r="D347" s="3239" t="s">
        <v>4330</v>
      </c>
      <c r="E347" s="21">
        <f t="shared" si="57"/>
        <v>1.02</v>
      </c>
      <c r="F347" s="635"/>
      <c r="G347" s="21">
        <f t="shared" si="58"/>
        <v>1</v>
      </c>
      <c r="H347" s="635"/>
      <c r="I347" s="21">
        <f t="shared" si="59"/>
        <v>1</v>
      </c>
      <c r="J347" s="635"/>
      <c r="K347" s="21">
        <f t="shared" si="60"/>
        <v>1</v>
      </c>
      <c r="L347" s="635"/>
      <c r="M347" s="21">
        <f t="shared" si="61"/>
        <v>1</v>
      </c>
      <c r="N347" s="635"/>
      <c r="O347" s="21">
        <f t="shared" si="62"/>
        <v>1</v>
      </c>
      <c r="P347" s="635"/>
      <c r="Q347" s="21">
        <f t="shared" si="63"/>
        <v>1</v>
      </c>
      <c r="R347" s="21">
        <f t="shared" ca="1" si="64"/>
        <v>5145</v>
      </c>
      <c r="S347" s="308">
        <f t="shared" ca="1" si="55"/>
        <v>16</v>
      </c>
    </row>
    <row r="348" spans="1:19">
      <c r="A348" s="3227" t="s">
        <v>5501</v>
      </c>
      <c r="B348" s="3228">
        <v>30.74</v>
      </c>
      <c r="C348" s="21">
        <f t="shared" si="56"/>
        <v>1</v>
      </c>
      <c r="D348" s="3237" t="s">
        <v>5487</v>
      </c>
      <c r="E348" s="21">
        <f t="shared" si="57"/>
        <v>1.02</v>
      </c>
      <c r="F348" s="635"/>
      <c r="G348" s="21">
        <f t="shared" si="58"/>
        <v>1</v>
      </c>
      <c r="H348" s="635"/>
      <c r="I348" s="21">
        <f t="shared" si="59"/>
        <v>1</v>
      </c>
      <c r="J348" s="635"/>
      <c r="K348" s="21">
        <f t="shared" si="60"/>
        <v>1</v>
      </c>
      <c r="L348" s="635"/>
      <c r="M348" s="21">
        <f t="shared" si="61"/>
        <v>1</v>
      </c>
      <c r="N348" s="635"/>
      <c r="O348" s="21">
        <f t="shared" si="62"/>
        <v>1</v>
      </c>
      <c r="P348" s="635"/>
      <c r="Q348" s="21">
        <f t="shared" si="63"/>
        <v>1</v>
      </c>
      <c r="R348" s="21">
        <f t="shared" ca="1" si="64"/>
        <v>5145</v>
      </c>
      <c r="S348" s="308">
        <f t="shared" ca="1" si="55"/>
        <v>16</v>
      </c>
    </row>
    <row r="349" spans="1:19">
      <c r="A349" s="3227" t="s">
        <v>4338</v>
      </c>
      <c r="B349" s="3228">
        <v>30.74</v>
      </c>
      <c r="C349" s="21">
        <f t="shared" si="56"/>
        <v>1</v>
      </c>
      <c r="D349" s="3237" t="s">
        <v>4322</v>
      </c>
      <c r="E349" s="21">
        <f t="shared" si="57"/>
        <v>1.02</v>
      </c>
      <c r="F349" s="635"/>
      <c r="G349" s="21">
        <f t="shared" si="58"/>
        <v>1</v>
      </c>
      <c r="H349" s="635"/>
      <c r="I349" s="21">
        <f t="shared" si="59"/>
        <v>1</v>
      </c>
      <c r="J349" s="635"/>
      <c r="K349" s="21">
        <f t="shared" si="60"/>
        <v>1</v>
      </c>
      <c r="L349" s="635"/>
      <c r="M349" s="21">
        <f t="shared" si="61"/>
        <v>1</v>
      </c>
      <c r="N349" s="635"/>
      <c r="O349" s="21">
        <f t="shared" si="62"/>
        <v>1</v>
      </c>
      <c r="P349" s="635"/>
      <c r="Q349" s="21">
        <f t="shared" si="63"/>
        <v>1</v>
      </c>
      <c r="R349" s="21">
        <f t="shared" ca="1" si="64"/>
        <v>5145</v>
      </c>
      <c r="S349" s="308">
        <f t="shared" ca="1" si="55"/>
        <v>16</v>
      </c>
    </row>
    <row r="350" spans="1:19">
      <c r="A350" s="3227" t="s">
        <v>5503</v>
      </c>
      <c r="B350" s="3228">
        <v>30.74</v>
      </c>
      <c r="C350" s="21">
        <f t="shared" si="56"/>
        <v>1</v>
      </c>
      <c r="D350" s="3237" t="s">
        <v>5487</v>
      </c>
      <c r="E350" s="21">
        <f t="shared" si="57"/>
        <v>1.02</v>
      </c>
      <c r="F350" s="635"/>
      <c r="G350" s="21">
        <f t="shared" si="58"/>
        <v>1</v>
      </c>
      <c r="H350" s="635"/>
      <c r="I350" s="21">
        <f t="shared" si="59"/>
        <v>1</v>
      </c>
      <c r="J350" s="635"/>
      <c r="K350" s="21">
        <f t="shared" si="60"/>
        <v>1</v>
      </c>
      <c r="L350" s="635"/>
      <c r="M350" s="21">
        <f t="shared" si="61"/>
        <v>1</v>
      </c>
      <c r="N350" s="635"/>
      <c r="O350" s="21">
        <f t="shared" si="62"/>
        <v>1</v>
      </c>
      <c r="P350" s="635"/>
      <c r="Q350" s="21">
        <f t="shared" si="63"/>
        <v>1</v>
      </c>
      <c r="R350" s="21">
        <f t="shared" ca="1" si="64"/>
        <v>5145</v>
      </c>
      <c r="S350" s="308">
        <f t="shared" ca="1" si="55"/>
        <v>16</v>
      </c>
    </row>
    <row r="351" spans="1:19">
      <c r="A351" s="3227" t="s">
        <v>4340</v>
      </c>
      <c r="B351" s="3228">
        <v>30.74</v>
      </c>
      <c r="C351" s="21">
        <f t="shared" si="56"/>
        <v>1</v>
      </c>
      <c r="D351" s="3237" t="s">
        <v>4322</v>
      </c>
      <c r="E351" s="21">
        <f t="shared" si="57"/>
        <v>1.02</v>
      </c>
      <c r="F351" s="635"/>
      <c r="G351" s="21">
        <f t="shared" si="58"/>
        <v>1</v>
      </c>
      <c r="H351" s="635"/>
      <c r="I351" s="21">
        <f t="shared" si="59"/>
        <v>1</v>
      </c>
      <c r="J351" s="635"/>
      <c r="K351" s="21">
        <f t="shared" si="60"/>
        <v>1</v>
      </c>
      <c r="L351" s="635"/>
      <c r="M351" s="21">
        <f t="shared" si="61"/>
        <v>1</v>
      </c>
      <c r="N351" s="635"/>
      <c r="O351" s="21">
        <f t="shared" si="62"/>
        <v>1</v>
      </c>
      <c r="P351" s="635"/>
      <c r="Q351" s="21">
        <f t="shared" si="63"/>
        <v>1</v>
      </c>
      <c r="R351" s="21">
        <f t="shared" ca="1" si="64"/>
        <v>5145</v>
      </c>
      <c r="S351" s="308">
        <f t="shared" ca="1" si="55"/>
        <v>16</v>
      </c>
    </row>
    <row r="352" spans="1:19">
      <c r="A352" s="3227" t="s">
        <v>5505</v>
      </c>
      <c r="B352" s="3228">
        <v>30.74</v>
      </c>
      <c r="C352" s="21">
        <f t="shared" si="56"/>
        <v>1</v>
      </c>
      <c r="D352" s="3237" t="s">
        <v>5487</v>
      </c>
      <c r="E352" s="21">
        <f t="shared" si="57"/>
        <v>1.02</v>
      </c>
      <c r="F352" s="635"/>
      <c r="G352" s="21">
        <f t="shared" si="58"/>
        <v>1</v>
      </c>
      <c r="H352" s="635"/>
      <c r="I352" s="21">
        <f t="shared" si="59"/>
        <v>1</v>
      </c>
      <c r="J352" s="635"/>
      <c r="K352" s="21">
        <f t="shared" si="60"/>
        <v>1</v>
      </c>
      <c r="L352" s="635"/>
      <c r="M352" s="21">
        <f t="shared" si="61"/>
        <v>1</v>
      </c>
      <c r="N352" s="635"/>
      <c r="O352" s="21">
        <f t="shared" si="62"/>
        <v>1</v>
      </c>
      <c r="P352" s="635"/>
      <c r="Q352" s="21">
        <f t="shared" si="63"/>
        <v>1</v>
      </c>
      <c r="R352" s="21">
        <f t="shared" ca="1" si="64"/>
        <v>5145</v>
      </c>
      <c r="S352" s="308">
        <f t="shared" ca="1" si="55"/>
        <v>16</v>
      </c>
    </row>
    <row r="353" spans="1:19">
      <c r="A353" s="3227" t="s">
        <v>4342</v>
      </c>
      <c r="B353" s="3228">
        <v>30.74</v>
      </c>
      <c r="C353" s="21">
        <f t="shared" si="56"/>
        <v>1</v>
      </c>
      <c r="D353" s="3237" t="s">
        <v>4322</v>
      </c>
      <c r="E353" s="21">
        <f t="shared" si="57"/>
        <v>1.02</v>
      </c>
      <c r="F353" s="635"/>
      <c r="G353" s="21">
        <f t="shared" si="58"/>
        <v>1</v>
      </c>
      <c r="H353" s="635"/>
      <c r="I353" s="21">
        <f t="shared" si="59"/>
        <v>1</v>
      </c>
      <c r="J353" s="635"/>
      <c r="K353" s="21">
        <f t="shared" si="60"/>
        <v>1</v>
      </c>
      <c r="L353" s="635"/>
      <c r="M353" s="21">
        <f t="shared" si="61"/>
        <v>1</v>
      </c>
      <c r="N353" s="635"/>
      <c r="O353" s="21">
        <f t="shared" si="62"/>
        <v>1</v>
      </c>
      <c r="P353" s="635"/>
      <c r="Q353" s="21">
        <f t="shared" si="63"/>
        <v>1</v>
      </c>
      <c r="R353" s="21">
        <f t="shared" ca="1" si="64"/>
        <v>5145</v>
      </c>
      <c r="S353" s="308">
        <f t="shared" ca="1" si="55"/>
        <v>16</v>
      </c>
    </row>
    <row r="354" spans="1:19">
      <c r="A354" s="3227" t="s">
        <v>5507</v>
      </c>
      <c r="B354" s="3228">
        <v>30.74</v>
      </c>
      <c r="C354" s="21">
        <f t="shared" si="56"/>
        <v>1</v>
      </c>
      <c r="D354" s="3237" t="s">
        <v>5487</v>
      </c>
      <c r="E354" s="21">
        <f t="shared" si="57"/>
        <v>1.02</v>
      </c>
      <c r="F354" s="635"/>
      <c r="G354" s="21">
        <f t="shared" si="58"/>
        <v>1</v>
      </c>
      <c r="H354" s="635"/>
      <c r="I354" s="21">
        <f t="shared" si="59"/>
        <v>1</v>
      </c>
      <c r="J354" s="635"/>
      <c r="K354" s="21">
        <f t="shared" si="60"/>
        <v>1</v>
      </c>
      <c r="L354" s="635"/>
      <c r="M354" s="21">
        <f t="shared" si="61"/>
        <v>1</v>
      </c>
      <c r="N354" s="635"/>
      <c r="O354" s="21">
        <f t="shared" si="62"/>
        <v>1</v>
      </c>
      <c r="P354" s="635"/>
      <c r="Q354" s="21">
        <f t="shared" si="63"/>
        <v>1</v>
      </c>
      <c r="R354" s="21">
        <f t="shared" ca="1" si="64"/>
        <v>5145</v>
      </c>
      <c r="S354" s="308">
        <f t="shared" ca="1" si="55"/>
        <v>16</v>
      </c>
    </row>
    <row r="355" spans="1:19">
      <c r="A355" s="3227" t="s">
        <v>4343</v>
      </c>
      <c r="B355" s="3228">
        <v>30.74</v>
      </c>
      <c r="C355" s="21">
        <f t="shared" si="56"/>
        <v>1</v>
      </c>
      <c r="D355" s="3237" t="s">
        <v>4322</v>
      </c>
      <c r="E355" s="21">
        <f t="shared" si="57"/>
        <v>1.02</v>
      </c>
      <c r="F355" s="635"/>
      <c r="G355" s="21">
        <f t="shared" si="58"/>
        <v>1</v>
      </c>
      <c r="H355" s="635"/>
      <c r="I355" s="21">
        <f t="shared" si="59"/>
        <v>1</v>
      </c>
      <c r="J355" s="635"/>
      <c r="K355" s="21">
        <f t="shared" si="60"/>
        <v>1</v>
      </c>
      <c r="L355" s="635"/>
      <c r="M355" s="21">
        <f t="shared" si="61"/>
        <v>1</v>
      </c>
      <c r="N355" s="635"/>
      <c r="O355" s="21">
        <f t="shared" si="62"/>
        <v>1</v>
      </c>
      <c r="P355" s="635"/>
      <c r="Q355" s="21">
        <f t="shared" si="63"/>
        <v>1</v>
      </c>
      <c r="R355" s="21">
        <f t="shared" ca="1" si="64"/>
        <v>5145</v>
      </c>
      <c r="S355" s="308">
        <f t="shared" ca="1" si="55"/>
        <v>16</v>
      </c>
    </row>
    <row r="356" spans="1:19">
      <c r="A356" s="3227" t="s">
        <v>5509</v>
      </c>
      <c r="B356" s="3228">
        <v>30.74</v>
      </c>
      <c r="C356" s="21">
        <f t="shared" si="56"/>
        <v>1</v>
      </c>
      <c r="D356" s="3237" t="s">
        <v>5487</v>
      </c>
      <c r="E356" s="21">
        <f t="shared" si="57"/>
        <v>1.02</v>
      </c>
      <c r="F356" s="635"/>
      <c r="G356" s="21">
        <f t="shared" si="58"/>
        <v>1</v>
      </c>
      <c r="H356" s="635"/>
      <c r="I356" s="21">
        <f t="shared" si="59"/>
        <v>1</v>
      </c>
      <c r="J356" s="635"/>
      <c r="K356" s="21">
        <f t="shared" si="60"/>
        <v>1</v>
      </c>
      <c r="L356" s="635"/>
      <c r="M356" s="21">
        <f t="shared" si="61"/>
        <v>1</v>
      </c>
      <c r="N356" s="635"/>
      <c r="O356" s="21">
        <f t="shared" si="62"/>
        <v>1</v>
      </c>
      <c r="P356" s="635"/>
      <c r="Q356" s="21">
        <f t="shared" si="63"/>
        <v>1</v>
      </c>
      <c r="R356" s="21">
        <f t="shared" ca="1" si="64"/>
        <v>5145</v>
      </c>
      <c r="S356" s="308">
        <f t="shared" ca="1" si="55"/>
        <v>16</v>
      </c>
    </row>
    <row r="357" spans="1:19">
      <c r="A357" s="3227" t="s">
        <v>4345</v>
      </c>
      <c r="B357" s="3228">
        <v>30.74</v>
      </c>
      <c r="C357" s="21">
        <f t="shared" si="56"/>
        <v>1</v>
      </c>
      <c r="D357" s="3237" t="s">
        <v>4322</v>
      </c>
      <c r="E357" s="21">
        <f t="shared" si="57"/>
        <v>1.02</v>
      </c>
      <c r="F357" s="635"/>
      <c r="G357" s="21">
        <f t="shared" si="58"/>
        <v>1</v>
      </c>
      <c r="H357" s="635"/>
      <c r="I357" s="21">
        <f t="shared" si="59"/>
        <v>1</v>
      </c>
      <c r="J357" s="635"/>
      <c r="K357" s="21">
        <f t="shared" si="60"/>
        <v>1</v>
      </c>
      <c r="L357" s="635"/>
      <c r="M357" s="21">
        <f t="shared" si="61"/>
        <v>1</v>
      </c>
      <c r="N357" s="635"/>
      <c r="O357" s="21">
        <f t="shared" si="62"/>
        <v>1</v>
      </c>
      <c r="P357" s="635"/>
      <c r="Q357" s="21">
        <f t="shared" si="63"/>
        <v>1</v>
      </c>
      <c r="R357" s="21">
        <f t="shared" ca="1" si="64"/>
        <v>5145</v>
      </c>
      <c r="S357" s="308">
        <f t="shared" ca="1" si="55"/>
        <v>16</v>
      </c>
    </row>
    <row r="358" spans="1:19">
      <c r="A358" s="3227" t="s">
        <v>5511</v>
      </c>
      <c r="B358" s="3228">
        <v>30.74</v>
      </c>
      <c r="C358" s="21">
        <f t="shared" si="56"/>
        <v>1</v>
      </c>
      <c r="D358" s="3237" t="s">
        <v>5487</v>
      </c>
      <c r="E358" s="21">
        <f t="shared" si="57"/>
        <v>1.02</v>
      </c>
      <c r="F358" s="635"/>
      <c r="G358" s="21">
        <f t="shared" si="58"/>
        <v>1</v>
      </c>
      <c r="H358" s="635"/>
      <c r="I358" s="21">
        <f t="shared" si="59"/>
        <v>1</v>
      </c>
      <c r="J358" s="635"/>
      <c r="K358" s="21">
        <f t="shared" si="60"/>
        <v>1</v>
      </c>
      <c r="L358" s="635"/>
      <c r="M358" s="21">
        <f t="shared" si="61"/>
        <v>1</v>
      </c>
      <c r="N358" s="635"/>
      <c r="O358" s="21">
        <f t="shared" si="62"/>
        <v>1</v>
      </c>
      <c r="P358" s="635"/>
      <c r="Q358" s="21">
        <f t="shared" si="63"/>
        <v>1</v>
      </c>
      <c r="R358" s="21">
        <f t="shared" ca="1" si="64"/>
        <v>5145</v>
      </c>
      <c r="S358" s="308">
        <f t="shared" ca="1" si="55"/>
        <v>16</v>
      </c>
    </row>
    <row r="359" spans="1:19">
      <c r="A359" s="3227" t="s">
        <v>4347</v>
      </c>
      <c r="B359" s="3228">
        <v>30.74</v>
      </c>
      <c r="C359" s="21">
        <f t="shared" si="56"/>
        <v>1</v>
      </c>
      <c r="D359" s="3237" t="s">
        <v>4322</v>
      </c>
      <c r="E359" s="21">
        <f t="shared" si="57"/>
        <v>1.02</v>
      </c>
      <c r="F359" s="635"/>
      <c r="G359" s="21">
        <f t="shared" si="58"/>
        <v>1</v>
      </c>
      <c r="H359" s="635"/>
      <c r="I359" s="21">
        <f t="shared" si="59"/>
        <v>1</v>
      </c>
      <c r="J359" s="635"/>
      <c r="K359" s="21">
        <f t="shared" si="60"/>
        <v>1</v>
      </c>
      <c r="L359" s="635"/>
      <c r="M359" s="21">
        <f t="shared" si="61"/>
        <v>1</v>
      </c>
      <c r="N359" s="635"/>
      <c r="O359" s="21">
        <f t="shared" si="62"/>
        <v>1</v>
      </c>
      <c r="P359" s="635"/>
      <c r="Q359" s="21">
        <f t="shared" si="63"/>
        <v>1</v>
      </c>
      <c r="R359" s="21">
        <f t="shared" ca="1" si="64"/>
        <v>5145</v>
      </c>
      <c r="S359" s="308">
        <f t="shared" ca="1" si="55"/>
        <v>16</v>
      </c>
    </row>
    <row r="360" spans="1:19">
      <c r="A360" s="3227" t="s">
        <v>5513</v>
      </c>
      <c r="B360" s="3228">
        <v>30.74</v>
      </c>
      <c r="C360" s="21">
        <f t="shared" si="56"/>
        <v>1</v>
      </c>
      <c r="D360" s="3237" t="s">
        <v>5487</v>
      </c>
      <c r="E360" s="21">
        <f t="shared" si="57"/>
        <v>1.02</v>
      </c>
      <c r="F360" s="635"/>
      <c r="G360" s="21">
        <f t="shared" si="58"/>
        <v>1</v>
      </c>
      <c r="H360" s="635"/>
      <c r="I360" s="21">
        <f t="shared" si="59"/>
        <v>1</v>
      </c>
      <c r="J360" s="635"/>
      <c r="K360" s="21">
        <f t="shared" si="60"/>
        <v>1</v>
      </c>
      <c r="L360" s="635"/>
      <c r="M360" s="21">
        <f t="shared" si="61"/>
        <v>1</v>
      </c>
      <c r="N360" s="635"/>
      <c r="O360" s="21">
        <f t="shared" si="62"/>
        <v>1</v>
      </c>
      <c r="P360" s="635"/>
      <c r="Q360" s="21">
        <f t="shared" si="63"/>
        <v>1</v>
      </c>
      <c r="R360" s="21">
        <f t="shared" ca="1" si="64"/>
        <v>5145</v>
      </c>
      <c r="S360" s="308">
        <f t="shared" ca="1" si="55"/>
        <v>16</v>
      </c>
    </row>
    <row r="361" spans="1:19">
      <c r="A361" s="3227" t="s">
        <v>4349</v>
      </c>
      <c r="B361" s="3228">
        <v>30.74</v>
      </c>
      <c r="C361" s="21">
        <f t="shared" si="56"/>
        <v>1</v>
      </c>
      <c r="D361" s="3239" t="s">
        <v>4330</v>
      </c>
      <c r="E361" s="21">
        <f t="shared" si="57"/>
        <v>1.02</v>
      </c>
      <c r="F361" s="635"/>
      <c r="G361" s="21">
        <f t="shared" si="58"/>
        <v>1</v>
      </c>
      <c r="H361" s="635"/>
      <c r="I361" s="21">
        <f t="shared" si="59"/>
        <v>1</v>
      </c>
      <c r="J361" s="635"/>
      <c r="K361" s="21">
        <f t="shared" si="60"/>
        <v>1</v>
      </c>
      <c r="L361" s="635"/>
      <c r="M361" s="21">
        <f t="shared" si="61"/>
        <v>1</v>
      </c>
      <c r="N361" s="635"/>
      <c r="O361" s="21">
        <f t="shared" si="62"/>
        <v>1</v>
      </c>
      <c r="P361" s="635"/>
      <c r="Q361" s="21">
        <f t="shared" si="63"/>
        <v>1</v>
      </c>
      <c r="R361" s="21">
        <f t="shared" ca="1" si="64"/>
        <v>5145</v>
      </c>
      <c r="S361" s="308">
        <f t="shared" ca="1" si="55"/>
        <v>16</v>
      </c>
    </row>
    <row r="362" spans="1:19">
      <c r="A362" s="3227" t="s">
        <v>5515</v>
      </c>
      <c r="B362" s="3228">
        <v>33.94</v>
      </c>
      <c r="C362" s="21">
        <f t="shared" si="56"/>
        <v>1</v>
      </c>
      <c r="D362" s="3237" t="s">
        <v>5487</v>
      </c>
      <c r="E362" s="21">
        <f t="shared" si="57"/>
        <v>1.02</v>
      </c>
      <c r="F362" s="635"/>
      <c r="G362" s="21">
        <f t="shared" si="58"/>
        <v>1</v>
      </c>
      <c r="H362" s="635"/>
      <c r="I362" s="21">
        <f t="shared" si="59"/>
        <v>1</v>
      </c>
      <c r="J362" s="635"/>
      <c r="K362" s="21">
        <f t="shared" si="60"/>
        <v>1</v>
      </c>
      <c r="L362" s="635"/>
      <c r="M362" s="21">
        <f t="shared" si="61"/>
        <v>1</v>
      </c>
      <c r="N362" s="635"/>
      <c r="O362" s="21">
        <f t="shared" si="62"/>
        <v>1</v>
      </c>
      <c r="P362" s="635"/>
      <c r="Q362" s="21">
        <f t="shared" si="63"/>
        <v>1</v>
      </c>
      <c r="R362" s="21">
        <f t="shared" ca="1" si="64"/>
        <v>5145</v>
      </c>
      <c r="S362" s="308">
        <f t="shared" ca="1" si="55"/>
        <v>17</v>
      </c>
    </row>
    <row r="363" spans="1:19">
      <c r="A363" s="3227" t="s">
        <v>4351</v>
      </c>
      <c r="B363" s="3228">
        <v>33.94</v>
      </c>
      <c r="C363" s="21">
        <f t="shared" si="56"/>
        <v>1</v>
      </c>
      <c r="D363" s="3237" t="s">
        <v>4322</v>
      </c>
      <c r="E363" s="21">
        <f t="shared" si="57"/>
        <v>1.02</v>
      </c>
      <c r="F363" s="635"/>
      <c r="G363" s="21">
        <f t="shared" si="58"/>
        <v>1</v>
      </c>
      <c r="H363" s="635"/>
      <c r="I363" s="21">
        <f t="shared" si="59"/>
        <v>1</v>
      </c>
      <c r="J363" s="635"/>
      <c r="K363" s="21">
        <f t="shared" si="60"/>
        <v>1</v>
      </c>
      <c r="L363" s="635"/>
      <c r="M363" s="21">
        <f t="shared" si="61"/>
        <v>1</v>
      </c>
      <c r="N363" s="635"/>
      <c r="O363" s="21">
        <f t="shared" si="62"/>
        <v>1</v>
      </c>
      <c r="P363" s="635"/>
      <c r="Q363" s="21">
        <f t="shared" si="63"/>
        <v>1</v>
      </c>
      <c r="R363" s="21">
        <f t="shared" ca="1" si="64"/>
        <v>5145</v>
      </c>
      <c r="S363" s="308">
        <f t="shared" ca="1" si="55"/>
        <v>17</v>
      </c>
    </row>
    <row r="364" spans="1:19">
      <c r="A364" s="3227" t="s">
        <v>5517</v>
      </c>
      <c r="B364" s="3228">
        <v>30.74</v>
      </c>
      <c r="C364" s="21">
        <f t="shared" si="56"/>
        <v>1</v>
      </c>
      <c r="D364" s="3239" t="s">
        <v>5494</v>
      </c>
      <c r="E364" s="21">
        <f t="shared" si="57"/>
        <v>1.02</v>
      </c>
      <c r="F364" s="635"/>
      <c r="G364" s="21">
        <f t="shared" si="58"/>
        <v>1</v>
      </c>
      <c r="H364" s="635"/>
      <c r="I364" s="21">
        <f t="shared" si="59"/>
        <v>1</v>
      </c>
      <c r="J364" s="635"/>
      <c r="K364" s="21">
        <f t="shared" si="60"/>
        <v>1</v>
      </c>
      <c r="L364" s="635"/>
      <c r="M364" s="21">
        <f t="shared" si="61"/>
        <v>1</v>
      </c>
      <c r="N364" s="635"/>
      <c r="O364" s="21">
        <f t="shared" si="62"/>
        <v>1</v>
      </c>
      <c r="P364" s="635"/>
      <c r="Q364" s="21">
        <f t="shared" si="63"/>
        <v>1</v>
      </c>
      <c r="R364" s="21">
        <f t="shared" ca="1" si="64"/>
        <v>5145</v>
      </c>
      <c r="S364" s="308">
        <f t="shared" ca="1" si="55"/>
        <v>16</v>
      </c>
    </row>
    <row r="365" spans="1:19">
      <c r="A365" s="3227" t="s">
        <v>4353</v>
      </c>
      <c r="B365" s="3228">
        <v>30.74</v>
      </c>
      <c r="C365" s="21">
        <f t="shared" si="56"/>
        <v>1</v>
      </c>
      <c r="D365" s="3237" t="s">
        <v>4322</v>
      </c>
      <c r="E365" s="21">
        <f t="shared" si="57"/>
        <v>1.02</v>
      </c>
      <c r="F365" s="635"/>
      <c r="G365" s="21">
        <f t="shared" si="58"/>
        <v>1</v>
      </c>
      <c r="H365" s="635"/>
      <c r="I365" s="21">
        <f t="shared" si="59"/>
        <v>1</v>
      </c>
      <c r="J365" s="635"/>
      <c r="K365" s="21">
        <f t="shared" si="60"/>
        <v>1</v>
      </c>
      <c r="L365" s="635"/>
      <c r="M365" s="21">
        <f t="shared" si="61"/>
        <v>1</v>
      </c>
      <c r="N365" s="635"/>
      <c r="O365" s="21">
        <f t="shared" si="62"/>
        <v>1</v>
      </c>
      <c r="P365" s="635"/>
      <c r="Q365" s="21">
        <f t="shared" si="63"/>
        <v>1</v>
      </c>
      <c r="R365" s="21">
        <f t="shared" ca="1" si="64"/>
        <v>5145</v>
      </c>
      <c r="S365" s="308">
        <f t="shared" ca="1" si="55"/>
        <v>16</v>
      </c>
    </row>
    <row r="366" spans="1:19">
      <c r="A366" s="3227" t="s">
        <v>5519</v>
      </c>
      <c r="B366" s="3228">
        <v>31.37</v>
      </c>
      <c r="C366" s="21">
        <f t="shared" si="56"/>
        <v>1</v>
      </c>
      <c r="D366" s="3239" t="s">
        <v>5494</v>
      </c>
      <c r="E366" s="21">
        <f t="shared" si="57"/>
        <v>1.02</v>
      </c>
      <c r="F366" s="635"/>
      <c r="G366" s="21">
        <f t="shared" si="58"/>
        <v>1</v>
      </c>
      <c r="H366" s="635"/>
      <c r="I366" s="21">
        <f t="shared" si="59"/>
        <v>1</v>
      </c>
      <c r="J366" s="635"/>
      <c r="K366" s="21">
        <f t="shared" si="60"/>
        <v>1</v>
      </c>
      <c r="L366" s="635"/>
      <c r="M366" s="21">
        <f t="shared" si="61"/>
        <v>1</v>
      </c>
      <c r="N366" s="635"/>
      <c r="O366" s="21">
        <f t="shared" si="62"/>
        <v>1</v>
      </c>
      <c r="P366" s="635"/>
      <c r="Q366" s="21">
        <f t="shared" si="63"/>
        <v>1</v>
      </c>
      <c r="R366" s="21">
        <f t="shared" ca="1" si="64"/>
        <v>5145</v>
      </c>
      <c r="S366" s="308">
        <f t="shared" ca="1" si="55"/>
        <v>16</v>
      </c>
    </row>
    <row r="367" spans="1:19">
      <c r="A367" s="3227" t="s">
        <v>4355</v>
      </c>
      <c r="B367" s="3228">
        <v>31.37</v>
      </c>
      <c r="C367" s="21">
        <f t="shared" si="56"/>
        <v>1</v>
      </c>
      <c r="D367" s="3237" t="s">
        <v>4322</v>
      </c>
      <c r="E367" s="21">
        <f t="shared" si="57"/>
        <v>1.02</v>
      </c>
      <c r="F367" s="635"/>
      <c r="G367" s="21">
        <f t="shared" si="58"/>
        <v>1</v>
      </c>
      <c r="H367" s="635"/>
      <c r="I367" s="21">
        <f t="shared" si="59"/>
        <v>1</v>
      </c>
      <c r="J367" s="635"/>
      <c r="K367" s="21">
        <f t="shared" si="60"/>
        <v>1</v>
      </c>
      <c r="L367" s="635"/>
      <c r="M367" s="21">
        <f t="shared" si="61"/>
        <v>1</v>
      </c>
      <c r="N367" s="635"/>
      <c r="O367" s="21">
        <f t="shared" si="62"/>
        <v>1</v>
      </c>
      <c r="P367" s="635"/>
      <c r="Q367" s="21">
        <f t="shared" si="63"/>
        <v>1</v>
      </c>
      <c r="R367" s="21">
        <f t="shared" ca="1" si="64"/>
        <v>5145</v>
      </c>
      <c r="S367" s="308">
        <f t="shared" ca="1" si="55"/>
        <v>16</v>
      </c>
    </row>
    <row r="368" spans="1:19">
      <c r="A368" s="3227" t="s">
        <v>5521</v>
      </c>
      <c r="B368" s="3228">
        <v>31.37</v>
      </c>
      <c r="C368" s="21">
        <f t="shared" si="56"/>
        <v>1</v>
      </c>
      <c r="D368" s="3237" t="s">
        <v>5487</v>
      </c>
      <c r="E368" s="21">
        <f t="shared" si="57"/>
        <v>1.02</v>
      </c>
      <c r="F368" s="635"/>
      <c r="G368" s="21">
        <f t="shared" si="58"/>
        <v>1</v>
      </c>
      <c r="H368" s="635"/>
      <c r="I368" s="21">
        <f t="shared" si="59"/>
        <v>1</v>
      </c>
      <c r="J368" s="635"/>
      <c r="K368" s="21">
        <f t="shared" si="60"/>
        <v>1</v>
      </c>
      <c r="L368" s="635"/>
      <c r="M368" s="21">
        <f t="shared" si="61"/>
        <v>1</v>
      </c>
      <c r="N368" s="635"/>
      <c r="O368" s="21">
        <f t="shared" si="62"/>
        <v>1</v>
      </c>
      <c r="P368" s="635"/>
      <c r="Q368" s="21">
        <f t="shared" si="63"/>
        <v>1</v>
      </c>
      <c r="R368" s="21">
        <f t="shared" ca="1" si="64"/>
        <v>5145</v>
      </c>
      <c r="S368" s="308">
        <f t="shared" ca="1" si="55"/>
        <v>16</v>
      </c>
    </row>
    <row r="369" spans="1:19">
      <c r="A369" s="3227" t="s">
        <v>4357</v>
      </c>
      <c r="B369" s="3228">
        <v>31.37</v>
      </c>
      <c r="C369" s="21">
        <f t="shared" si="56"/>
        <v>1</v>
      </c>
      <c r="D369" s="3237" t="s">
        <v>4322</v>
      </c>
      <c r="E369" s="21">
        <f t="shared" si="57"/>
        <v>1.02</v>
      </c>
      <c r="F369" s="635"/>
      <c r="G369" s="21">
        <f t="shared" si="58"/>
        <v>1</v>
      </c>
      <c r="H369" s="635"/>
      <c r="I369" s="21">
        <f t="shared" si="59"/>
        <v>1</v>
      </c>
      <c r="J369" s="635"/>
      <c r="K369" s="21">
        <f t="shared" si="60"/>
        <v>1</v>
      </c>
      <c r="L369" s="635"/>
      <c r="M369" s="21">
        <f t="shared" si="61"/>
        <v>1</v>
      </c>
      <c r="N369" s="635"/>
      <c r="O369" s="21">
        <f t="shared" si="62"/>
        <v>1</v>
      </c>
      <c r="P369" s="635"/>
      <c r="Q369" s="21">
        <f t="shared" si="63"/>
        <v>1</v>
      </c>
      <c r="R369" s="21">
        <f t="shared" ca="1" si="64"/>
        <v>5145</v>
      </c>
      <c r="S369" s="308">
        <f t="shared" ca="1" si="55"/>
        <v>16</v>
      </c>
    </row>
    <row r="370" spans="1:19">
      <c r="A370" s="3227" t="s">
        <v>5523</v>
      </c>
      <c r="B370" s="3228">
        <v>31.37</v>
      </c>
      <c r="C370" s="21">
        <f t="shared" si="56"/>
        <v>1</v>
      </c>
      <c r="D370" s="3239" t="s">
        <v>5494</v>
      </c>
      <c r="E370" s="21">
        <f t="shared" si="57"/>
        <v>1.02</v>
      </c>
      <c r="F370" s="635"/>
      <c r="G370" s="21">
        <f t="shared" si="58"/>
        <v>1</v>
      </c>
      <c r="H370" s="635"/>
      <c r="I370" s="21">
        <f t="shared" si="59"/>
        <v>1</v>
      </c>
      <c r="J370" s="635"/>
      <c r="K370" s="21">
        <f t="shared" si="60"/>
        <v>1</v>
      </c>
      <c r="L370" s="635"/>
      <c r="M370" s="21">
        <f t="shared" si="61"/>
        <v>1</v>
      </c>
      <c r="N370" s="635"/>
      <c r="O370" s="21">
        <f t="shared" si="62"/>
        <v>1</v>
      </c>
      <c r="P370" s="635"/>
      <c r="Q370" s="21">
        <f t="shared" si="63"/>
        <v>1</v>
      </c>
      <c r="R370" s="21">
        <f t="shared" ca="1" si="64"/>
        <v>5145</v>
      </c>
      <c r="S370" s="308">
        <f t="shared" ca="1" si="55"/>
        <v>16</v>
      </c>
    </row>
    <row r="371" spans="1:19">
      <c r="A371" s="3227" t="s">
        <v>4359</v>
      </c>
      <c r="B371" s="3228">
        <v>31.37</v>
      </c>
      <c r="C371" s="21">
        <f t="shared" si="56"/>
        <v>1</v>
      </c>
      <c r="D371" s="3237" t="s">
        <v>4322</v>
      </c>
      <c r="E371" s="21">
        <f t="shared" si="57"/>
        <v>1.02</v>
      </c>
      <c r="F371" s="635"/>
      <c r="G371" s="21">
        <f t="shared" si="58"/>
        <v>1</v>
      </c>
      <c r="H371" s="635"/>
      <c r="I371" s="21">
        <f t="shared" si="59"/>
        <v>1</v>
      </c>
      <c r="J371" s="635"/>
      <c r="K371" s="21">
        <f t="shared" si="60"/>
        <v>1</v>
      </c>
      <c r="L371" s="635"/>
      <c r="M371" s="21">
        <f t="shared" si="61"/>
        <v>1</v>
      </c>
      <c r="N371" s="635"/>
      <c r="O371" s="21">
        <f t="shared" si="62"/>
        <v>1</v>
      </c>
      <c r="P371" s="635"/>
      <c r="Q371" s="21">
        <f t="shared" si="63"/>
        <v>1</v>
      </c>
      <c r="R371" s="21">
        <f t="shared" ca="1" si="64"/>
        <v>5145</v>
      </c>
      <c r="S371" s="308">
        <f t="shared" ca="1" si="55"/>
        <v>16</v>
      </c>
    </row>
    <row r="372" spans="1:19">
      <c r="A372" s="3227" t="s">
        <v>5525</v>
      </c>
      <c r="B372" s="3228">
        <v>31.37</v>
      </c>
      <c r="C372" s="21">
        <f t="shared" si="56"/>
        <v>1</v>
      </c>
      <c r="D372" s="3237" t="s">
        <v>5487</v>
      </c>
      <c r="E372" s="21">
        <f t="shared" si="57"/>
        <v>1.02</v>
      </c>
      <c r="F372" s="635"/>
      <c r="G372" s="21">
        <f t="shared" si="58"/>
        <v>1</v>
      </c>
      <c r="H372" s="635"/>
      <c r="I372" s="21">
        <f t="shared" si="59"/>
        <v>1</v>
      </c>
      <c r="J372" s="635"/>
      <c r="K372" s="21">
        <f t="shared" si="60"/>
        <v>1</v>
      </c>
      <c r="L372" s="635"/>
      <c r="M372" s="21">
        <f t="shared" si="61"/>
        <v>1</v>
      </c>
      <c r="N372" s="635"/>
      <c r="O372" s="21">
        <f t="shared" si="62"/>
        <v>1</v>
      </c>
      <c r="P372" s="635"/>
      <c r="Q372" s="21">
        <f t="shared" si="63"/>
        <v>1</v>
      </c>
      <c r="R372" s="21">
        <f t="shared" ca="1" si="64"/>
        <v>5145</v>
      </c>
      <c r="S372" s="308">
        <f t="shared" ca="1" si="55"/>
        <v>16</v>
      </c>
    </row>
    <row r="373" spans="1:19">
      <c r="A373" s="3227" t="s">
        <v>4361</v>
      </c>
      <c r="B373" s="3228">
        <v>31.37</v>
      </c>
      <c r="C373" s="21">
        <f t="shared" si="56"/>
        <v>1</v>
      </c>
      <c r="D373" s="3237" t="s">
        <v>4322</v>
      </c>
      <c r="E373" s="21">
        <f t="shared" si="57"/>
        <v>1.02</v>
      </c>
      <c r="F373" s="635"/>
      <c r="G373" s="21">
        <f t="shared" si="58"/>
        <v>1</v>
      </c>
      <c r="H373" s="635"/>
      <c r="I373" s="21">
        <f t="shared" si="59"/>
        <v>1</v>
      </c>
      <c r="J373" s="635"/>
      <c r="K373" s="21">
        <f t="shared" si="60"/>
        <v>1</v>
      </c>
      <c r="L373" s="635"/>
      <c r="M373" s="21">
        <f t="shared" si="61"/>
        <v>1</v>
      </c>
      <c r="N373" s="635"/>
      <c r="O373" s="21">
        <f t="shared" si="62"/>
        <v>1</v>
      </c>
      <c r="P373" s="635"/>
      <c r="Q373" s="21">
        <f t="shared" si="63"/>
        <v>1</v>
      </c>
      <c r="R373" s="21">
        <f t="shared" ca="1" si="64"/>
        <v>5145</v>
      </c>
      <c r="S373" s="308">
        <f t="shared" ca="1" si="55"/>
        <v>16</v>
      </c>
    </row>
    <row r="374" spans="1:19">
      <c r="A374" s="3227" t="s">
        <v>5527</v>
      </c>
      <c r="B374" s="3228">
        <v>31.37</v>
      </c>
      <c r="C374" s="21">
        <f t="shared" si="56"/>
        <v>1</v>
      </c>
      <c r="D374" s="3237" t="s">
        <v>5487</v>
      </c>
      <c r="E374" s="21">
        <f t="shared" si="57"/>
        <v>1.02</v>
      </c>
      <c r="F374" s="635"/>
      <c r="G374" s="21">
        <f t="shared" si="58"/>
        <v>1</v>
      </c>
      <c r="H374" s="635"/>
      <c r="I374" s="21">
        <f t="shared" si="59"/>
        <v>1</v>
      </c>
      <c r="J374" s="635"/>
      <c r="K374" s="21">
        <f t="shared" si="60"/>
        <v>1</v>
      </c>
      <c r="L374" s="635"/>
      <c r="M374" s="21">
        <f t="shared" si="61"/>
        <v>1</v>
      </c>
      <c r="N374" s="635"/>
      <c r="O374" s="21">
        <f t="shared" si="62"/>
        <v>1</v>
      </c>
      <c r="P374" s="635"/>
      <c r="Q374" s="21">
        <f t="shared" si="63"/>
        <v>1</v>
      </c>
      <c r="R374" s="21">
        <f t="shared" ca="1" si="64"/>
        <v>5145</v>
      </c>
      <c r="S374" s="308">
        <f t="shared" ca="1" si="55"/>
        <v>16</v>
      </c>
    </row>
    <row r="375" spans="1:19">
      <c r="A375" s="3227" t="s">
        <v>4363</v>
      </c>
      <c r="B375" s="3228">
        <v>31.37</v>
      </c>
      <c r="C375" s="21">
        <f t="shared" si="56"/>
        <v>1</v>
      </c>
      <c r="D375" s="3237" t="s">
        <v>4322</v>
      </c>
      <c r="E375" s="21">
        <f t="shared" si="57"/>
        <v>1.02</v>
      </c>
      <c r="F375" s="635"/>
      <c r="G375" s="21">
        <f t="shared" si="58"/>
        <v>1</v>
      </c>
      <c r="H375" s="635"/>
      <c r="I375" s="21">
        <f t="shared" si="59"/>
        <v>1</v>
      </c>
      <c r="J375" s="635"/>
      <c r="K375" s="21">
        <f t="shared" si="60"/>
        <v>1</v>
      </c>
      <c r="L375" s="635"/>
      <c r="M375" s="21">
        <f t="shared" si="61"/>
        <v>1</v>
      </c>
      <c r="N375" s="635"/>
      <c r="O375" s="21">
        <f t="shared" si="62"/>
        <v>1</v>
      </c>
      <c r="P375" s="635"/>
      <c r="Q375" s="21">
        <f t="shared" si="63"/>
        <v>1</v>
      </c>
      <c r="R375" s="21">
        <f t="shared" ca="1" si="64"/>
        <v>5145</v>
      </c>
      <c r="S375" s="308">
        <f t="shared" ca="1" si="55"/>
        <v>16</v>
      </c>
    </row>
    <row r="376" spans="1:19">
      <c r="A376" s="3227" t="s">
        <v>5529</v>
      </c>
      <c r="B376" s="3228">
        <v>31.37</v>
      </c>
      <c r="C376" s="21">
        <f t="shared" si="56"/>
        <v>1</v>
      </c>
      <c r="D376" s="3237" t="s">
        <v>5487</v>
      </c>
      <c r="E376" s="21">
        <f t="shared" si="57"/>
        <v>1.02</v>
      </c>
      <c r="F376" s="635"/>
      <c r="G376" s="21">
        <f t="shared" si="58"/>
        <v>1</v>
      </c>
      <c r="H376" s="635"/>
      <c r="I376" s="21">
        <f t="shared" si="59"/>
        <v>1</v>
      </c>
      <c r="J376" s="635"/>
      <c r="K376" s="21">
        <f t="shared" si="60"/>
        <v>1</v>
      </c>
      <c r="L376" s="635"/>
      <c r="M376" s="21">
        <f t="shared" si="61"/>
        <v>1</v>
      </c>
      <c r="N376" s="635"/>
      <c r="O376" s="21">
        <f t="shared" si="62"/>
        <v>1</v>
      </c>
      <c r="P376" s="635"/>
      <c r="Q376" s="21">
        <f t="shared" si="63"/>
        <v>1</v>
      </c>
      <c r="R376" s="21">
        <f t="shared" ca="1" si="64"/>
        <v>5145</v>
      </c>
      <c r="S376" s="308">
        <f t="shared" ca="1" si="55"/>
        <v>16</v>
      </c>
    </row>
    <row r="377" spans="1:19">
      <c r="A377" s="3227" t="s">
        <v>4365</v>
      </c>
      <c r="B377" s="3228">
        <v>31.37</v>
      </c>
      <c r="C377" s="21">
        <f t="shared" si="56"/>
        <v>1</v>
      </c>
      <c r="D377" s="3237" t="s">
        <v>4322</v>
      </c>
      <c r="E377" s="21">
        <f t="shared" si="57"/>
        <v>1.02</v>
      </c>
      <c r="F377" s="635"/>
      <c r="G377" s="21">
        <f t="shared" si="58"/>
        <v>1</v>
      </c>
      <c r="H377" s="635"/>
      <c r="I377" s="21">
        <f t="shared" si="59"/>
        <v>1</v>
      </c>
      <c r="J377" s="635"/>
      <c r="K377" s="21">
        <f t="shared" si="60"/>
        <v>1</v>
      </c>
      <c r="L377" s="635"/>
      <c r="M377" s="21">
        <f t="shared" si="61"/>
        <v>1</v>
      </c>
      <c r="N377" s="635"/>
      <c r="O377" s="21">
        <f t="shared" si="62"/>
        <v>1</v>
      </c>
      <c r="P377" s="635"/>
      <c r="Q377" s="21">
        <f t="shared" si="63"/>
        <v>1</v>
      </c>
      <c r="R377" s="21">
        <f t="shared" ca="1" si="64"/>
        <v>5145</v>
      </c>
      <c r="S377" s="308">
        <f t="shared" ca="1" si="55"/>
        <v>16</v>
      </c>
    </row>
    <row r="378" spans="1:19">
      <c r="A378" s="3227" t="s">
        <v>5531</v>
      </c>
      <c r="B378" s="3228">
        <v>32.69</v>
      </c>
      <c r="C378" s="21">
        <f t="shared" si="56"/>
        <v>1</v>
      </c>
      <c r="D378" s="3237" t="s">
        <v>5487</v>
      </c>
      <c r="E378" s="21">
        <f t="shared" si="57"/>
        <v>1.02</v>
      </c>
      <c r="F378" s="635"/>
      <c r="G378" s="21">
        <f t="shared" si="58"/>
        <v>1</v>
      </c>
      <c r="H378" s="635"/>
      <c r="I378" s="21">
        <f t="shared" si="59"/>
        <v>1</v>
      </c>
      <c r="J378" s="635"/>
      <c r="K378" s="21">
        <f t="shared" si="60"/>
        <v>1</v>
      </c>
      <c r="L378" s="635"/>
      <c r="M378" s="21">
        <f t="shared" si="61"/>
        <v>1</v>
      </c>
      <c r="N378" s="635"/>
      <c r="O378" s="21">
        <f t="shared" si="62"/>
        <v>1</v>
      </c>
      <c r="P378" s="635"/>
      <c r="Q378" s="21">
        <f t="shared" si="63"/>
        <v>1</v>
      </c>
      <c r="R378" s="21">
        <f t="shared" ca="1" si="64"/>
        <v>5145</v>
      </c>
      <c r="S378" s="308">
        <f t="shared" ca="1" si="55"/>
        <v>17</v>
      </c>
    </row>
    <row r="379" spans="1:19">
      <c r="A379" s="3227" t="s">
        <v>4367</v>
      </c>
      <c r="B379" s="3228">
        <v>32.69</v>
      </c>
      <c r="C379" s="21">
        <f t="shared" si="56"/>
        <v>1</v>
      </c>
      <c r="D379" s="3237" t="s">
        <v>4322</v>
      </c>
      <c r="E379" s="21">
        <f t="shared" si="57"/>
        <v>1.02</v>
      </c>
      <c r="F379" s="635"/>
      <c r="G379" s="21">
        <f t="shared" si="58"/>
        <v>1</v>
      </c>
      <c r="H379" s="635"/>
      <c r="I379" s="21">
        <f t="shared" si="59"/>
        <v>1</v>
      </c>
      <c r="J379" s="635"/>
      <c r="K379" s="21">
        <f t="shared" si="60"/>
        <v>1</v>
      </c>
      <c r="L379" s="635"/>
      <c r="M379" s="21">
        <f t="shared" si="61"/>
        <v>1</v>
      </c>
      <c r="N379" s="635"/>
      <c r="O379" s="21">
        <f t="shared" si="62"/>
        <v>1</v>
      </c>
      <c r="P379" s="635"/>
      <c r="Q379" s="21">
        <f t="shared" si="63"/>
        <v>1</v>
      </c>
      <c r="R379" s="21">
        <f t="shared" ca="1" si="64"/>
        <v>5145</v>
      </c>
      <c r="S379" s="308">
        <f t="shared" ca="1" si="55"/>
        <v>17</v>
      </c>
    </row>
    <row r="380" spans="1:19">
      <c r="A380" s="3227" t="s">
        <v>5533</v>
      </c>
      <c r="B380" s="3228">
        <v>32.69</v>
      </c>
      <c r="C380" s="21">
        <f t="shared" si="56"/>
        <v>1</v>
      </c>
      <c r="D380" s="3237" t="s">
        <v>5487</v>
      </c>
      <c r="E380" s="21">
        <f t="shared" si="57"/>
        <v>1.02</v>
      </c>
      <c r="F380" s="635"/>
      <c r="G380" s="21">
        <f t="shared" si="58"/>
        <v>1</v>
      </c>
      <c r="H380" s="635"/>
      <c r="I380" s="21">
        <f t="shared" si="59"/>
        <v>1</v>
      </c>
      <c r="J380" s="635"/>
      <c r="K380" s="21">
        <f t="shared" si="60"/>
        <v>1</v>
      </c>
      <c r="L380" s="635"/>
      <c r="M380" s="21">
        <f t="shared" si="61"/>
        <v>1</v>
      </c>
      <c r="N380" s="635"/>
      <c r="O380" s="21">
        <f t="shared" si="62"/>
        <v>1</v>
      </c>
      <c r="P380" s="635"/>
      <c r="Q380" s="21">
        <f t="shared" si="63"/>
        <v>1</v>
      </c>
      <c r="R380" s="21">
        <f t="shared" ca="1" si="64"/>
        <v>5145</v>
      </c>
      <c r="S380" s="308">
        <f t="shared" ca="1" si="55"/>
        <v>17</v>
      </c>
    </row>
    <row r="381" spans="1:19">
      <c r="A381" s="3227" t="s">
        <v>4369</v>
      </c>
      <c r="B381" s="3228">
        <v>31.37</v>
      </c>
      <c r="C381" s="21">
        <f t="shared" si="56"/>
        <v>1</v>
      </c>
      <c r="D381" s="3237" t="s">
        <v>4322</v>
      </c>
      <c r="E381" s="21">
        <f t="shared" si="57"/>
        <v>1.02</v>
      </c>
      <c r="F381" s="635"/>
      <c r="G381" s="21">
        <f t="shared" si="58"/>
        <v>1</v>
      </c>
      <c r="H381" s="635"/>
      <c r="I381" s="21">
        <f t="shared" si="59"/>
        <v>1</v>
      </c>
      <c r="J381" s="635"/>
      <c r="K381" s="21">
        <f t="shared" si="60"/>
        <v>1</v>
      </c>
      <c r="L381" s="635"/>
      <c r="M381" s="21">
        <f t="shared" si="61"/>
        <v>1</v>
      </c>
      <c r="N381" s="635"/>
      <c r="O381" s="21">
        <f t="shared" si="62"/>
        <v>1</v>
      </c>
      <c r="P381" s="635"/>
      <c r="Q381" s="21">
        <f t="shared" si="63"/>
        <v>1</v>
      </c>
      <c r="R381" s="21">
        <f t="shared" ca="1" si="64"/>
        <v>5145</v>
      </c>
      <c r="S381" s="308">
        <f t="shared" ca="1" si="55"/>
        <v>16</v>
      </c>
    </row>
    <row r="382" spans="1:19">
      <c r="A382" s="3227" t="s">
        <v>5535</v>
      </c>
      <c r="B382" s="3228">
        <v>31.37</v>
      </c>
      <c r="C382" s="21">
        <f t="shared" si="56"/>
        <v>1</v>
      </c>
      <c r="D382" s="3239" t="s">
        <v>5494</v>
      </c>
      <c r="E382" s="21">
        <f t="shared" si="57"/>
        <v>1.02</v>
      </c>
      <c r="F382" s="635"/>
      <c r="G382" s="21">
        <f t="shared" si="58"/>
        <v>1</v>
      </c>
      <c r="H382" s="635"/>
      <c r="I382" s="21">
        <f t="shared" si="59"/>
        <v>1</v>
      </c>
      <c r="J382" s="635"/>
      <c r="K382" s="21">
        <f t="shared" si="60"/>
        <v>1</v>
      </c>
      <c r="L382" s="635"/>
      <c r="M382" s="21">
        <f t="shared" si="61"/>
        <v>1</v>
      </c>
      <c r="N382" s="635"/>
      <c r="O382" s="21">
        <f t="shared" si="62"/>
        <v>1</v>
      </c>
      <c r="P382" s="635"/>
      <c r="Q382" s="21">
        <f t="shared" si="63"/>
        <v>1</v>
      </c>
      <c r="R382" s="21">
        <f t="shared" ca="1" si="64"/>
        <v>5145</v>
      </c>
      <c r="S382" s="308">
        <f t="shared" ca="1" si="55"/>
        <v>16</v>
      </c>
    </row>
    <row r="383" spans="1:19">
      <c r="A383" s="3227" t="s">
        <v>4371</v>
      </c>
      <c r="B383" s="3228">
        <v>31.37</v>
      </c>
      <c r="C383" s="21">
        <f t="shared" si="56"/>
        <v>1</v>
      </c>
      <c r="D383" s="3237" t="s">
        <v>4322</v>
      </c>
      <c r="E383" s="21">
        <f t="shared" si="57"/>
        <v>1.02</v>
      </c>
      <c r="F383" s="635"/>
      <c r="G383" s="21">
        <f t="shared" si="58"/>
        <v>1</v>
      </c>
      <c r="H383" s="635"/>
      <c r="I383" s="21">
        <f t="shared" si="59"/>
        <v>1</v>
      </c>
      <c r="J383" s="635"/>
      <c r="K383" s="21">
        <f t="shared" si="60"/>
        <v>1</v>
      </c>
      <c r="L383" s="635"/>
      <c r="M383" s="21">
        <f t="shared" si="61"/>
        <v>1</v>
      </c>
      <c r="N383" s="635"/>
      <c r="O383" s="21">
        <f t="shared" si="62"/>
        <v>1</v>
      </c>
      <c r="P383" s="635"/>
      <c r="Q383" s="21">
        <f t="shared" si="63"/>
        <v>1</v>
      </c>
      <c r="R383" s="21">
        <f t="shared" ca="1" si="64"/>
        <v>5145</v>
      </c>
      <c r="S383" s="308">
        <f t="shared" ca="1" si="55"/>
        <v>16</v>
      </c>
    </row>
    <row r="384" spans="1:19">
      <c r="A384" s="3227" t="s">
        <v>5537</v>
      </c>
      <c r="B384" s="3228">
        <v>30.71</v>
      </c>
      <c r="C384" s="21">
        <f t="shared" si="56"/>
        <v>1</v>
      </c>
      <c r="D384" s="3237" t="s">
        <v>5487</v>
      </c>
      <c r="E384" s="21">
        <f t="shared" si="57"/>
        <v>1.02</v>
      </c>
      <c r="F384" s="635"/>
      <c r="G384" s="21">
        <f t="shared" si="58"/>
        <v>1</v>
      </c>
      <c r="H384" s="635"/>
      <c r="I384" s="21">
        <f t="shared" si="59"/>
        <v>1</v>
      </c>
      <c r="J384" s="635"/>
      <c r="K384" s="21">
        <f t="shared" si="60"/>
        <v>1</v>
      </c>
      <c r="L384" s="635"/>
      <c r="M384" s="21">
        <f t="shared" si="61"/>
        <v>1</v>
      </c>
      <c r="N384" s="635"/>
      <c r="O384" s="21">
        <f t="shared" si="62"/>
        <v>1</v>
      </c>
      <c r="P384" s="635"/>
      <c r="Q384" s="21">
        <f t="shared" si="63"/>
        <v>1</v>
      </c>
      <c r="R384" s="21">
        <f t="shared" ca="1" si="64"/>
        <v>5145</v>
      </c>
      <c r="S384" s="308">
        <f t="shared" ca="1" si="55"/>
        <v>16</v>
      </c>
    </row>
    <row r="385" spans="1:19">
      <c r="A385" s="3227" t="s">
        <v>4373</v>
      </c>
      <c r="B385" s="3228">
        <v>30.71</v>
      </c>
      <c r="C385" s="21">
        <f t="shared" si="56"/>
        <v>1</v>
      </c>
      <c r="D385" s="3237" t="s">
        <v>4322</v>
      </c>
      <c r="E385" s="21">
        <f t="shared" si="57"/>
        <v>1.02</v>
      </c>
      <c r="F385" s="635"/>
      <c r="G385" s="21">
        <f t="shared" si="58"/>
        <v>1</v>
      </c>
      <c r="H385" s="635"/>
      <c r="I385" s="21">
        <f t="shared" si="59"/>
        <v>1</v>
      </c>
      <c r="J385" s="635"/>
      <c r="K385" s="21">
        <f t="shared" si="60"/>
        <v>1</v>
      </c>
      <c r="L385" s="635"/>
      <c r="M385" s="21">
        <f t="shared" si="61"/>
        <v>1</v>
      </c>
      <c r="N385" s="635"/>
      <c r="O385" s="21">
        <f t="shared" si="62"/>
        <v>1</v>
      </c>
      <c r="P385" s="635"/>
      <c r="Q385" s="21">
        <f t="shared" si="63"/>
        <v>1</v>
      </c>
      <c r="R385" s="21">
        <f t="shared" ca="1" si="64"/>
        <v>5145</v>
      </c>
      <c r="S385" s="308">
        <f t="shared" ca="1" si="55"/>
        <v>16</v>
      </c>
    </row>
    <row r="386" spans="1:19">
      <c r="A386" s="3227" t="s">
        <v>5539</v>
      </c>
      <c r="B386" s="3228">
        <v>31.37</v>
      </c>
      <c r="C386" s="21">
        <f t="shared" si="56"/>
        <v>1</v>
      </c>
      <c r="D386" s="3237" t="s">
        <v>5487</v>
      </c>
      <c r="E386" s="21">
        <f t="shared" si="57"/>
        <v>1.02</v>
      </c>
      <c r="F386" s="635"/>
      <c r="G386" s="21">
        <f t="shared" si="58"/>
        <v>1</v>
      </c>
      <c r="H386" s="635"/>
      <c r="I386" s="21">
        <f t="shared" si="59"/>
        <v>1</v>
      </c>
      <c r="J386" s="635"/>
      <c r="K386" s="21">
        <f t="shared" si="60"/>
        <v>1</v>
      </c>
      <c r="L386" s="635"/>
      <c r="M386" s="21">
        <f t="shared" si="61"/>
        <v>1</v>
      </c>
      <c r="N386" s="635"/>
      <c r="O386" s="21">
        <f t="shared" si="62"/>
        <v>1</v>
      </c>
      <c r="P386" s="635"/>
      <c r="Q386" s="21">
        <f t="shared" si="63"/>
        <v>1</v>
      </c>
      <c r="R386" s="21">
        <f t="shared" ca="1" si="64"/>
        <v>5145</v>
      </c>
      <c r="S386" s="308">
        <f t="shared" ca="1" si="55"/>
        <v>16</v>
      </c>
    </row>
    <row r="387" spans="1:19">
      <c r="A387" s="3227" t="s">
        <v>4375</v>
      </c>
      <c r="B387" s="3228">
        <v>31.37</v>
      </c>
      <c r="C387" s="21">
        <f t="shared" si="56"/>
        <v>1</v>
      </c>
      <c r="D387" s="3239" t="s">
        <v>4330</v>
      </c>
      <c r="E387" s="21">
        <f t="shared" si="57"/>
        <v>1.02</v>
      </c>
      <c r="F387" s="635"/>
      <c r="G387" s="21">
        <f t="shared" si="58"/>
        <v>1</v>
      </c>
      <c r="H387" s="635"/>
      <c r="I387" s="21">
        <f t="shared" si="59"/>
        <v>1</v>
      </c>
      <c r="J387" s="635"/>
      <c r="K387" s="21">
        <f t="shared" si="60"/>
        <v>1</v>
      </c>
      <c r="L387" s="635"/>
      <c r="M387" s="21">
        <f t="shared" si="61"/>
        <v>1</v>
      </c>
      <c r="N387" s="635"/>
      <c r="O387" s="21">
        <f t="shared" si="62"/>
        <v>1</v>
      </c>
      <c r="P387" s="635"/>
      <c r="Q387" s="21">
        <f t="shared" si="63"/>
        <v>1</v>
      </c>
      <c r="R387" s="21">
        <f t="shared" ca="1" si="64"/>
        <v>5145</v>
      </c>
      <c r="S387" s="308">
        <f t="shared" ca="1" si="55"/>
        <v>16</v>
      </c>
    </row>
    <row r="388" spans="1:19">
      <c r="A388" s="3227" t="s">
        <v>5541</v>
      </c>
      <c r="B388" s="3228">
        <v>31.37</v>
      </c>
      <c r="C388" s="21">
        <f t="shared" si="56"/>
        <v>1</v>
      </c>
      <c r="D388" s="3237" t="s">
        <v>5487</v>
      </c>
      <c r="E388" s="21">
        <f t="shared" si="57"/>
        <v>1.02</v>
      </c>
      <c r="F388" s="635"/>
      <c r="G388" s="21">
        <f t="shared" si="58"/>
        <v>1</v>
      </c>
      <c r="H388" s="635"/>
      <c r="I388" s="21">
        <f t="shared" si="59"/>
        <v>1</v>
      </c>
      <c r="J388" s="635"/>
      <c r="K388" s="21">
        <f t="shared" si="60"/>
        <v>1</v>
      </c>
      <c r="L388" s="635"/>
      <c r="M388" s="21">
        <f t="shared" si="61"/>
        <v>1</v>
      </c>
      <c r="N388" s="635"/>
      <c r="O388" s="21">
        <f t="shared" si="62"/>
        <v>1</v>
      </c>
      <c r="P388" s="635"/>
      <c r="Q388" s="21">
        <f t="shared" si="63"/>
        <v>1</v>
      </c>
      <c r="R388" s="21">
        <f t="shared" ca="1" si="64"/>
        <v>5145</v>
      </c>
      <c r="S388" s="308">
        <f t="shared" ca="1" si="55"/>
        <v>16</v>
      </c>
    </row>
    <row r="389" spans="1:19">
      <c r="A389" s="3227" t="s">
        <v>4377</v>
      </c>
      <c r="B389" s="3228">
        <v>32.69</v>
      </c>
      <c r="C389" s="21">
        <f t="shared" si="56"/>
        <v>1</v>
      </c>
      <c r="D389" s="3237" t="s">
        <v>4322</v>
      </c>
      <c r="E389" s="21">
        <f t="shared" si="57"/>
        <v>1.02</v>
      </c>
      <c r="F389" s="635"/>
      <c r="G389" s="21">
        <f t="shared" si="58"/>
        <v>1</v>
      </c>
      <c r="H389" s="635"/>
      <c r="I389" s="21">
        <f t="shared" si="59"/>
        <v>1</v>
      </c>
      <c r="J389" s="635"/>
      <c r="K389" s="21">
        <f t="shared" si="60"/>
        <v>1</v>
      </c>
      <c r="L389" s="635"/>
      <c r="M389" s="21">
        <f t="shared" si="61"/>
        <v>1</v>
      </c>
      <c r="N389" s="635"/>
      <c r="O389" s="21">
        <f t="shared" si="62"/>
        <v>1</v>
      </c>
      <c r="P389" s="635"/>
      <c r="Q389" s="21">
        <f t="shared" si="63"/>
        <v>1</v>
      </c>
      <c r="R389" s="21">
        <f t="shared" ca="1" si="64"/>
        <v>5145</v>
      </c>
      <c r="S389" s="308">
        <f t="shared" ca="1" si="55"/>
        <v>17</v>
      </c>
    </row>
    <row r="390" spans="1:19">
      <c r="A390" s="3227" t="s">
        <v>5543</v>
      </c>
      <c r="B390" s="3228">
        <v>32.69</v>
      </c>
      <c r="C390" s="21">
        <f t="shared" si="56"/>
        <v>1</v>
      </c>
      <c r="D390" s="3237" t="s">
        <v>5487</v>
      </c>
      <c r="E390" s="21">
        <f t="shared" si="57"/>
        <v>1.02</v>
      </c>
      <c r="F390" s="635"/>
      <c r="G390" s="21">
        <f t="shared" si="58"/>
        <v>1</v>
      </c>
      <c r="H390" s="635"/>
      <c r="I390" s="21">
        <f t="shared" si="59"/>
        <v>1</v>
      </c>
      <c r="J390" s="635"/>
      <c r="K390" s="21">
        <f t="shared" si="60"/>
        <v>1</v>
      </c>
      <c r="L390" s="635"/>
      <c r="M390" s="21">
        <f t="shared" si="61"/>
        <v>1</v>
      </c>
      <c r="N390" s="635"/>
      <c r="O390" s="21">
        <f t="shared" si="62"/>
        <v>1</v>
      </c>
      <c r="P390" s="635"/>
      <c r="Q390" s="21">
        <f t="shared" si="63"/>
        <v>1</v>
      </c>
      <c r="R390" s="21">
        <f t="shared" ca="1" si="64"/>
        <v>5145</v>
      </c>
      <c r="S390" s="308">
        <f t="shared" ca="1" si="55"/>
        <v>17</v>
      </c>
    </row>
    <row r="391" spans="1:19">
      <c r="A391" s="3227" t="s">
        <v>4379</v>
      </c>
      <c r="B391" s="3228">
        <v>32.69</v>
      </c>
      <c r="C391" s="21">
        <f t="shared" si="56"/>
        <v>1</v>
      </c>
      <c r="D391" s="3237" t="s">
        <v>4322</v>
      </c>
      <c r="E391" s="21">
        <f t="shared" si="57"/>
        <v>1.02</v>
      </c>
      <c r="F391" s="635"/>
      <c r="G391" s="21">
        <f t="shared" si="58"/>
        <v>1</v>
      </c>
      <c r="H391" s="635"/>
      <c r="I391" s="21">
        <f t="shared" si="59"/>
        <v>1</v>
      </c>
      <c r="J391" s="635"/>
      <c r="K391" s="21">
        <f t="shared" si="60"/>
        <v>1</v>
      </c>
      <c r="L391" s="635"/>
      <c r="M391" s="21">
        <f t="shared" si="61"/>
        <v>1</v>
      </c>
      <c r="N391" s="635"/>
      <c r="O391" s="21">
        <f t="shared" si="62"/>
        <v>1</v>
      </c>
      <c r="P391" s="635"/>
      <c r="Q391" s="21">
        <f t="shared" si="63"/>
        <v>1</v>
      </c>
      <c r="R391" s="21">
        <f t="shared" ca="1" si="64"/>
        <v>5145</v>
      </c>
      <c r="S391" s="308">
        <f t="shared" ca="1" si="55"/>
        <v>17</v>
      </c>
    </row>
    <row r="392" spans="1:19">
      <c r="A392" s="3227" t="s">
        <v>5545</v>
      </c>
      <c r="B392" s="3228">
        <v>31.37</v>
      </c>
      <c r="C392" s="21">
        <f t="shared" si="56"/>
        <v>1</v>
      </c>
      <c r="D392" s="3237" t="s">
        <v>5487</v>
      </c>
      <c r="E392" s="21">
        <f t="shared" si="57"/>
        <v>1.02</v>
      </c>
      <c r="F392" s="635"/>
      <c r="G392" s="21">
        <f t="shared" si="58"/>
        <v>1</v>
      </c>
      <c r="H392" s="635"/>
      <c r="I392" s="21">
        <f t="shared" si="59"/>
        <v>1</v>
      </c>
      <c r="J392" s="635"/>
      <c r="K392" s="21">
        <f t="shared" si="60"/>
        <v>1</v>
      </c>
      <c r="L392" s="635"/>
      <c r="M392" s="21">
        <f t="shared" si="61"/>
        <v>1</v>
      </c>
      <c r="N392" s="635"/>
      <c r="O392" s="21">
        <f t="shared" si="62"/>
        <v>1</v>
      </c>
      <c r="P392" s="635"/>
      <c r="Q392" s="21">
        <f t="shared" si="63"/>
        <v>1</v>
      </c>
      <c r="R392" s="21">
        <f t="shared" ca="1" si="64"/>
        <v>5145</v>
      </c>
      <c r="S392" s="308">
        <f t="shared" ca="1" si="55"/>
        <v>16</v>
      </c>
    </row>
    <row r="393" spans="1:19">
      <c r="A393" s="3227" t="s">
        <v>4381</v>
      </c>
      <c r="B393" s="3228">
        <v>31.37</v>
      </c>
      <c r="C393" s="21">
        <f t="shared" si="56"/>
        <v>1</v>
      </c>
      <c r="D393" s="3237" t="s">
        <v>4322</v>
      </c>
      <c r="E393" s="21">
        <f t="shared" si="57"/>
        <v>1.02</v>
      </c>
      <c r="F393" s="635"/>
      <c r="G393" s="21">
        <f t="shared" si="58"/>
        <v>1</v>
      </c>
      <c r="H393" s="635"/>
      <c r="I393" s="21">
        <f t="shared" si="59"/>
        <v>1</v>
      </c>
      <c r="J393" s="635"/>
      <c r="K393" s="21">
        <f t="shared" si="60"/>
        <v>1</v>
      </c>
      <c r="L393" s="635"/>
      <c r="M393" s="21">
        <f t="shared" si="61"/>
        <v>1</v>
      </c>
      <c r="N393" s="635"/>
      <c r="O393" s="21">
        <f t="shared" si="62"/>
        <v>1</v>
      </c>
      <c r="P393" s="635"/>
      <c r="Q393" s="21">
        <f t="shared" si="63"/>
        <v>1</v>
      </c>
      <c r="R393" s="21">
        <f t="shared" ca="1" si="64"/>
        <v>5145</v>
      </c>
      <c r="S393" s="308">
        <f t="shared" ca="1" si="55"/>
        <v>16</v>
      </c>
    </row>
    <row r="394" spans="1:19">
      <c r="A394" s="3227" t="s">
        <v>5547</v>
      </c>
      <c r="B394" s="3228">
        <v>31.37</v>
      </c>
      <c r="C394" s="21">
        <f t="shared" si="56"/>
        <v>1</v>
      </c>
      <c r="D394" s="3237" t="s">
        <v>5487</v>
      </c>
      <c r="E394" s="21">
        <f t="shared" si="57"/>
        <v>1.02</v>
      </c>
      <c r="F394" s="635"/>
      <c r="G394" s="21">
        <f t="shared" si="58"/>
        <v>1</v>
      </c>
      <c r="H394" s="635"/>
      <c r="I394" s="21">
        <f t="shared" si="59"/>
        <v>1</v>
      </c>
      <c r="J394" s="635"/>
      <c r="K394" s="21">
        <f t="shared" si="60"/>
        <v>1</v>
      </c>
      <c r="L394" s="635"/>
      <c r="M394" s="21">
        <f t="shared" si="61"/>
        <v>1</v>
      </c>
      <c r="N394" s="635"/>
      <c r="O394" s="21">
        <f t="shared" si="62"/>
        <v>1</v>
      </c>
      <c r="P394" s="635"/>
      <c r="Q394" s="21">
        <f t="shared" si="63"/>
        <v>1</v>
      </c>
      <c r="R394" s="21">
        <f t="shared" ca="1" si="64"/>
        <v>5145</v>
      </c>
      <c r="S394" s="308">
        <f t="shared" ca="1" si="55"/>
        <v>16</v>
      </c>
    </row>
    <row r="395" spans="1:19">
      <c r="A395" s="3227" t="s">
        <v>4383</v>
      </c>
      <c r="B395" s="3228">
        <v>31.37</v>
      </c>
      <c r="C395" s="21">
        <f t="shared" si="56"/>
        <v>1</v>
      </c>
      <c r="D395" s="3237" t="s">
        <v>4322</v>
      </c>
      <c r="E395" s="21">
        <f t="shared" si="57"/>
        <v>1.02</v>
      </c>
      <c r="F395" s="635"/>
      <c r="G395" s="21">
        <f t="shared" si="58"/>
        <v>1</v>
      </c>
      <c r="H395" s="635"/>
      <c r="I395" s="21">
        <f t="shared" si="59"/>
        <v>1</v>
      </c>
      <c r="J395" s="635"/>
      <c r="K395" s="21">
        <f t="shared" si="60"/>
        <v>1</v>
      </c>
      <c r="L395" s="635"/>
      <c r="M395" s="21">
        <f t="shared" si="61"/>
        <v>1</v>
      </c>
      <c r="N395" s="635"/>
      <c r="O395" s="21">
        <f t="shared" si="62"/>
        <v>1</v>
      </c>
      <c r="P395" s="635"/>
      <c r="Q395" s="21">
        <f t="shared" si="63"/>
        <v>1</v>
      </c>
      <c r="R395" s="21">
        <f t="shared" ca="1" si="64"/>
        <v>5145</v>
      </c>
      <c r="S395" s="308">
        <f t="shared" ca="1" si="55"/>
        <v>16</v>
      </c>
    </row>
    <row r="396" spans="1:19">
      <c r="A396" s="3227" t="s">
        <v>5549</v>
      </c>
      <c r="B396" s="3228">
        <v>31.37</v>
      </c>
      <c r="C396" s="21">
        <f t="shared" si="56"/>
        <v>1</v>
      </c>
      <c r="D396" s="3237" t="s">
        <v>5487</v>
      </c>
      <c r="E396" s="21">
        <f t="shared" si="57"/>
        <v>1.02</v>
      </c>
      <c r="F396" s="635"/>
      <c r="G396" s="21">
        <f t="shared" si="58"/>
        <v>1</v>
      </c>
      <c r="H396" s="635"/>
      <c r="I396" s="21">
        <f t="shared" si="59"/>
        <v>1</v>
      </c>
      <c r="J396" s="635"/>
      <c r="K396" s="21">
        <f t="shared" si="60"/>
        <v>1</v>
      </c>
      <c r="L396" s="635"/>
      <c r="M396" s="21">
        <f t="shared" si="61"/>
        <v>1</v>
      </c>
      <c r="N396" s="635"/>
      <c r="O396" s="21">
        <f t="shared" si="62"/>
        <v>1</v>
      </c>
      <c r="P396" s="635"/>
      <c r="Q396" s="21">
        <f t="shared" si="63"/>
        <v>1</v>
      </c>
      <c r="R396" s="21">
        <f t="shared" ca="1" si="64"/>
        <v>5145</v>
      </c>
      <c r="S396" s="308">
        <f t="shared" ca="1" si="55"/>
        <v>16</v>
      </c>
    </row>
    <row r="397" spans="1:19">
      <c r="A397" s="3227" t="s">
        <v>4385</v>
      </c>
      <c r="B397" s="3228">
        <v>31.37</v>
      </c>
      <c r="C397" s="21">
        <f t="shared" si="56"/>
        <v>1</v>
      </c>
      <c r="D397" s="3237" t="s">
        <v>4322</v>
      </c>
      <c r="E397" s="21">
        <f t="shared" si="57"/>
        <v>1.02</v>
      </c>
      <c r="F397" s="635"/>
      <c r="G397" s="21">
        <f t="shared" si="58"/>
        <v>1</v>
      </c>
      <c r="H397" s="635"/>
      <c r="I397" s="21">
        <f t="shared" si="59"/>
        <v>1</v>
      </c>
      <c r="J397" s="635"/>
      <c r="K397" s="21">
        <f t="shared" si="60"/>
        <v>1</v>
      </c>
      <c r="L397" s="635"/>
      <c r="M397" s="21">
        <f t="shared" si="61"/>
        <v>1</v>
      </c>
      <c r="N397" s="635"/>
      <c r="O397" s="21">
        <f t="shared" si="62"/>
        <v>1</v>
      </c>
      <c r="P397" s="635"/>
      <c r="Q397" s="21">
        <f t="shared" si="63"/>
        <v>1</v>
      </c>
      <c r="R397" s="21">
        <f t="shared" ca="1" si="64"/>
        <v>5145</v>
      </c>
      <c r="S397" s="308">
        <f t="shared" ca="1" si="55"/>
        <v>16</v>
      </c>
    </row>
    <row r="398" spans="1:19">
      <c r="A398" s="3227" t="s">
        <v>5551</v>
      </c>
      <c r="B398" s="3228">
        <v>31.37</v>
      </c>
      <c r="C398" s="21">
        <f t="shared" si="56"/>
        <v>1</v>
      </c>
      <c r="D398" s="3237" t="s">
        <v>5487</v>
      </c>
      <c r="E398" s="21">
        <f t="shared" si="57"/>
        <v>1.02</v>
      </c>
      <c r="F398" s="635"/>
      <c r="G398" s="21">
        <f t="shared" si="58"/>
        <v>1</v>
      </c>
      <c r="H398" s="635"/>
      <c r="I398" s="21">
        <f t="shared" si="59"/>
        <v>1</v>
      </c>
      <c r="J398" s="635"/>
      <c r="K398" s="21">
        <f t="shared" si="60"/>
        <v>1</v>
      </c>
      <c r="L398" s="635"/>
      <c r="M398" s="21">
        <f t="shared" si="61"/>
        <v>1</v>
      </c>
      <c r="N398" s="635"/>
      <c r="O398" s="21">
        <f t="shared" si="62"/>
        <v>1</v>
      </c>
      <c r="P398" s="635"/>
      <c r="Q398" s="21">
        <f t="shared" si="63"/>
        <v>1</v>
      </c>
      <c r="R398" s="21">
        <f t="shared" ca="1" si="64"/>
        <v>5145</v>
      </c>
      <c r="S398" s="308">
        <f t="shared" ca="1" si="55"/>
        <v>16</v>
      </c>
    </row>
    <row r="399" spans="1:19">
      <c r="A399" s="3227" t="s">
        <v>4387</v>
      </c>
      <c r="B399" s="3228">
        <v>31.37</v>
      </c>
      <c r="C399" s="21">
        <f t="shared" si="56"/>
        <v>1</v>
      </c>
      <c r="D399" s="3237" t="s">
        <v>4322</v>
      </c>
      <c r="E399" s="21">
        <f t="shared" si="57"/>
        <v>1.02</v>
      </c>
      <c r="F399" s="635"/>
      <c r="G399" s="21">
        <f t="shared" si="58"/>
        <v>1</v>
      </c>
      <c r="H399" s="635"/>
      <c r="I399" s="21">
        <f t="shared" si="59"/>
        <v>1</v>
      </c>
      <c r="J399" s="635"/>
      <c r="K399" s="21">
        <f t="shared" si="60"/>
        <v>1</v>
      </c>
      <c r="L399" s="635"/>
      <c r="M399" s="21">
        <f t="shared" si="61"/>
        <v>1</v>
      </c>
      <c r="N399" s="635"/>
      <c r="O399" s="21">
        <f t="shared" si="62"/>
        <v>1</v>
      </c>
      <c r="P399" s="635"/>
      <c r="Q399" s="21">
        <f t="shared" si="63"/>
        <v>1</v>
      </c>
      <c r="R399" s="21">
        <f t="shared" ca="1" si="64"/>
        <v>5145</v>
      </c>
      <c r="S399" s="308">
        <f t="shared" ca="1" si="55"/>
        <v>16</v>
      </c>
    </row>
    <row r="400" spans="1:19">
      <c r="A400" s="3227" t="s">
        <v>5553</v>
      </c>
      <c r="B400" s="3228">
        <v>31.37</v>
      </c>
      <c r="C400" s="21">
        <f t="shared" si="56"/>
        <v>1</v>
      </c>
      <c r="D400" s="3237" t="s">
        <v>5487</v>
      </c>
      <c r="E400" s="21">
        <f t="shared" si="57"/>
        <v>1.02</v>
      </c>
      <c r="F400" s="635"/>
      <c r="G400" s="21">
        <f t="shared" si="58"/>
        <v>1</v>
      </c>
      <c r="H400" s="635"/>
      <c r="I400" s="21">
        <f t="shared" si="59"/>
        <v>1</v>
      </c>
      <c r="J400" s="635"/>
      <c r="K400" s="21">
        <f t="shared" si="60"/>
        <v>1</v>
      </c>
      <c r="L400" s="635"/>
      <c r="M400" s="21">
        <f t="shared" si="61"/>
        <v>1</v>
      </c>
      <c r="N400" s="635"/>
      <c r="O400" s="21">
        <f t="shared" si="62"/>
        <v>1</v>
      </c>
      <c r="P400" s="635"/>
      <c r="Q400" s="21">
        <f t="shared" si="63"/>
        <v>1</v>
      </c>
      <c r="R400" s="21">
        <f t="shared" ca="1" si="64"/>
        <v>5145</v>
      </c>
      <c r="S400" s="308">
        <f t="shared" ca="1" si="55"/>
        <v>16</v>
      </c>
    </row>
    <row r="401" spans="1:19">
      <c r="A401" s="3227" t="s">
        <v>4389</v>
      </c>
      <c r="B401" s="3228">
        <v>31.37</v>
      </c>
      <c r="C401" s="21">
        <f t="shared" si="56"/>
        <v>1</v>
      </c>
      <c r="D401" s="3237" t="s">
        <v>4322</v>
      </c>
      <c r="E401" s="21">
        <f t="shared" si="57"/>
        <v>1.02</v>
      </c>
      <c r="F401" s="635"/>
      <c r="G401" s="21">
        <f t="shared" si="58"/>
        <v>1</v>
      </c>
      <c r="H401" s="635"/>
      <c r="I401" s="21">
        <f t="shared" si="59"/>
        <v>1</v>
      </c>
      <c r="J401" s="635"/>
      <c r="K401" s="21">
        <f t="shared" si="60"/>
        <v>1</v>
      </c>
      <c r="L401" s="635"/>
      <c r="M401" s="21">
        <f t="shared" si="61"/>
        <v>1</v>
      </c>
      <c r="N401" s="635"/>
      <c r="O401" s="21">
        <f t="shared" si="62"/>
        <v>1</v>
      </c>
      <c r="P401" s="635"/>
      <c r="Q401" s="21">
        <f t="shared" si="63"/>
        <v>1</v>
      </c>
      <c r="R401" s="21">
        <f t="shared" ca="1" si="64"/>
        <v>5145</v>
      </c>
      <c r="S401" s="308">
        <f t="shared" ca="1" si="55"/>
        <v>16</v>
      </c>
    </row>
    <row r="402" spans="1:19">
      <c r="A402" s="3227" t="s">
        <v>5555</v>
      </c>
      <c r="B402" s="3228">
        <v>31.37</v>
      </c>
      <c r="C402" s="21">
        <f t="shared" si="56"/>
        <v>1</v>
      </c>
      <c r="D402" s="3239" t="s">
        <v>5494</v>
      </c>
      <c r="E402" s="21">
        <f t="shared" si="57"/>
        <v>1.02</v>
      </c>
      <c r="F402" s="635"/>
      <c r="G402" s="21">
        <f t="shared" si="58"/>
        <v>1</v>
      </c>
      <c r="H402" s="635"/>
      <c r="I402" s="21">
        <f t="shared" si="59"/>
        <v>1</v>
      </c>
      <c r="J402" s="635"/>
      <c r="K402" s="21">
        <f t="shared" si="60"/>
        <v>1</v>
      </c>
      <c r="L402" s="635"/>
      <c r="M402" s="21">
        <f t="shared" si="61"/>
        <v>1</v>
      </c>
      <c r="N402" s="635"/>
      <c r="O402" s="21">
        <f t="shared" si="62"/>
        <v>1</v>
      </c>
      <c r="P402" s="635"/>
      <c r="Q402" s="21">
        <f t="shared" si="63"/>
        <v>1</v>
      </c>
      <c r="R402" s="21">
        <f t="shared" ca="1" si="64"/>
        <v>5145</v>
      </c>
      <c r="S402" s="308">
        <f t="shared" ca="1" si="55"/>
        <v>16</v>
      </c>
    </row>
    <row r="403" spans="1:19">
      <c r="A403" s="3227" t="s">
        <v>4391</v>
      </c>
      <c r="B403" s="3228">
        <v>31.37</v>
      </c>
      <c r="C403" s="21">
        <f t="shared" si="56"/>
        <v>1</v>
      </c>
      <c r="D403" s="3239" t="s">
        <v>4330</v>
      </c>
      <c r="E403" s="21">
        <f t="shared" si="57"/>
        <v>1.02</v>
      </c>
      <c r="F403" s="635"/>
      <c r="G403" s="21">
        <f t="shared" si="58"/>
        <v>1</v>
      </c>
      <c r="H403" s="635"/>
      <c r="I403" s="21">
        <f t="shared" si="59"/>
        <v>1</v>
      </c>
      <c r="J403" s="635"/>
      <c r="K403" s="21">
        <f t="shared" si="60"/>
        <v>1</v>
      </c>
      <c r="L403" s="635"/>
      <c r="M403" s="21">
        <f t="shared" si="61"/>
        <v>1</v>
      </c>
      <c r="N403" s="635"/>
      <c r="O403" s="21">
        <f t="shared" si="62"/>
        <v>1</v>
      </c>
      <c r="P403" s="635"/>
      <c r="Q403" s="21">
        <f t="shared" si="63"/>
        <v>1</v>
      </c>
      <c r="R403" s="21">
        <f t="shared" ca="1" si="64"/>
        <v>5145</v>
      </c>
      <c r="S403" s="308">
        <f t="shared" ca="1" si="55"/>
        <v>16</v>
      </c>
    </row>
    <row r="404" spans="1:19">
      <c r="A404" s="3231" t="s">
        <v>5557</v>
      </c>
      <c r="B404" s="3230">
        <v>26.14</v>
      </c>
      <c r="C404" s="21">
        <f t="shared" si="56"/>
        <v>0.98</v>
      </c>
      <c r="D404" s="3238" t="s">
        <v>5487</v>
      </c>
      <c r="E404" s="21">
        <f t="shared" si="57"/>
        <v>1.02</v>
      </c>
      <c r="F404" s="635"/>
      <c r="G404" s="21">
        <f t="shared" si="58"/>
        <v>1</v>
      </c>
      <c r="H404" s="635"/>
      <c r="I404" s="21">
        <f t="shared" si="59"/>
        <v>1</v>
      </c>
      <c r="J404" s="635"/>
      <c r="K404" s="21">
        <f t="shared" si="60"/>
        <v>1</v>
      </c>
      <c r="L404" s="635"/>
      <c r="M404" s="21">
        <f t="shared" si="61"/>
        <v>1</v>
      </c>
      <c r="N404" s="635"/>
      <c r="O404" s="21">
        <f t="shared" si="62"/>
        <v>1</v>
      </c>
      <c r="P404" s="635"/>
      <c r="Q404" s="21">
        <f t="shared" si="63"/>
        <v>1</v>
      </c>
      <c r="R404" s="21">
        <f t="shared" ca="1" si="64"/>
        <v>5042</v>
      </c>
      <c r="S404" s="308">
        <f t="shared" ca="1" si="55"/>
        <v>13</v>
      </c>
    </row>
    <row r="405" spans="1:19">
      <c r="A405" s="3227" t="s">
        <v>4393</v>
      </c>
      <c r="B405" s="3228">
        <v>31.37</v>
      </c>
      <c r="C405" s="21">
        <f t="shared" si="56"/>
        <v>1</v>
      </c>
      <c r="D405" s="3237" t="s">
        <v>4322</v>
      </c>
      <c r="E405" s="21">
        <f t="shared" si="57"/>
        <v>1.02</v>
      </c>
      <c r="F405" s="635"/>
      <c r="G405" s="21">
        <f t="shared" si="58"/>
        <v>1</v>
      </c>
      <c r="H405" s="635"/>
      <c r="I405" s="21">
        <f t="shared" si="59"/>
        <v>1</v>
      </c>
      <c r="J405" s="635"/>
      <c r="K405" s="21">
        <f t="shared" si="60"/>
        <v>1</v>
      </c>
      <c r="L405" s="635"/>
      <c r="M405" s="21">
        <f t="shared" si="61"/>
        <v>1</v>
      </c>
      <c r="N405" s="635"/>
      <c r="O405" s="21">
        <f t="shared" si="62"/>
        <v>1</v>
      </c>
      <c r="P405" s="635"/>
      <c r="Q405" s="21">
        <f t="shared" si="63"/>
        <v>1</v>
      </c>
      <c r="R405" s="21">
        <f t="shared" ca="1" si="64"/>
        <v>5145</v>
      </c>
      <c r="S405" s="308">
        <f t="shared" ca="1" si="55"/>
        <v>16</v>
      </c>
    </row>
    <row r="406" spans="1:19">
      <c r="A406" s="3227" t="s">
        <v>5559</v>
      </c>
      <c r="B406" s="3228">
        <v>31.37</v>
      </c>
      <c r="C406" s="21">
        <f t="shared" si="56"/>
        <v>1</v>
      </c>
      <c r="D406" s="3239" t="s">
        <v>5494</v>
      </c>
      <c r="E406" s="21">
        <f t="shared" si="57"/>
        <v>1.02</v>
      </c>
      <c r="F406" s="635"/>
      <c r="G406" s="21">
        <f t="shared" si="58"/>
        <v>1</v>
      </c>
      <c r="H406" s="635"/>
      <c r="I406" s="21">
        <f t="shared" si="59"/>
        <v>1</v>
      </c>
      <c r="J406" s="635"/>
      <c r="K406" s="21">
        <f t="shared" si="60"/>
        <v>1</v>
      </c>
      <c r="L406" s="635"/>
      <c r="M406" s="21">
        <f t="shared" si="61"/>
        <v>1</v>
      </c>
      <c r="N406" s="635"/>
      <c r="O406" s="21">
        <f t="shared" si="62"/>
        <v>1</v>
      </c>
      <c r="P406" s="635"/>
      <c r="Q406" s="21">
        <f t="shared" si="63"/>
        <v>1</v>
      </c>
      <c r="R406" s="21">
        <f t="shared" ca="1" si="64"/>
        <v>5145</v>
      </c>
      <c r="S406" s="308">
        <f t="shared" ca="1" si="55"/>
        <v>16</v>
      </c>
    </row>
    <row r="407" spans="1:19">
      <c r="A407" s="3227" t="s">
        <v>4395</v>
      </c>
      <c r="B407" s="3228">
        <v>31.37</v>
      </c>
      <c r="C407" s="21">
        <f t="shared" si="56"/>
        <v>1</v>
      </c>
      <c r="D407" s="3237" t="s">
        <v>4322</v>
      </c>
      <c r="E407" s="21">
        <f t="shared" si="57"/>
        <v>1.02</v>
      </c>
      <c r="F407" s="635"/>
      <c r="G407" s="21">
        <f t="shared" si="58"/>
        <v>1</v>
      </c>
      <c r="H407" s="635"/>
      <c r="I407" s="21">
        <f t="shared" si="59"/>
        <v>1</v>
      </c>
      <c r="J407" s="635"/>
      <c r="K407" s="21">
        <f t="shared" si="60"/>
        <v>1</v>
      </c>
      <c r="L407" s="635"/>
      <c r="M407" s="21">
        <f t="shared" si="61"/>
        <v>1</v>
      </c>
      <c r="N407" s="635"/>
      <c r="O407" s="21">
        <f t="shared" si="62"/>
        <v>1</v>
      </c>
      <c r="P407" s="635"/>
      <c r="Q407" s="21">
        <f t="shared" si="63"/>
        <v>1</v>
      </c>
      <c r="R407" s="21">
        <f t="shared" ca="1" si="64"/>
        <v>5145</v>
      </c>
      <c r="S407" s="308">
        <f t="shared" ca="1" si="55"/>
        <v>16</v>
      </c>
    </row>
    <row r="408" spans="1:19">
      <c r="A408" s="3227" t="s">
        <v>5561</v>
      </c>
      <c r="B408" s="3228">
        <v>31.37</v>
      </c>
      <c r="C408" s="21">
        <f t="shared" si="56"/>
        <v>1</v>
      </c>
      <c r="D408" s="3237" t="s">
        <v>5487</v>
      </c>
      <c r="E408" s="21">
        <f t="shared" si="57"/>
        <v>1.02</v>
      </c>
      <c r="F408" s="635"/>
      <c r="G408" s="21">
        <f t="shared" si="58"/>
        <v>1</v>
      </c>
      <c r="H408" s="635"/>
      <c r="I408" s="21">
        <f t="shared" si="59"/>
        <v>1</v>
      </c>
      <c r="J408" s="635"/>
      <c r="K408" s="21">
        <f t="shared" si="60"/>
        <v>1</v>
      </c>
      <c r="L408" s="635"/>
      <c r="M408" s="21">
        <f t="shared" si="61"/>
        <v>1</v>
      </c>
      <c r="N408" s="635"/>
      <c r="O408" s="21">
        <f t="shared" si="62"/>
        <v>1</v>
      </c>
      <c r="P408" s="635"/>
      <c r="Q408" s="21">
        <f t="shared" si="63"/>
        <v>1</v>
      </c>
      <c r="R408" s="21">
        <f t="shared" ca="1" si="64"/>
        <v>5145</v>
      </c>
      <c r="S408" s="308">
        <f t="shared" ref="S408:S471" ca="1" si="65">ROUND(R408*B408/10000,0)</f>
        <v>16</v>
      </c>
    </row>
    <row r="409" spans="1:19">
      <c r="A409" s="3227" t="s">
        <v>4397</v>
      </c>
      <c r="B409" s="3228">
        <v>31.37</v>
      </c>
      <c r="C409" s="21">
        <f t="shared" si="56"/>
        <v>1</v>
      </c>
      <c r="D409" s="3237" t="s">
        <v>4322</v>
      </c>
      <c r="E409" s="21">
        <f t="shared" si="57"/>
        <v>1.02</v>
      </c>
      <c r="F409" s="635"/>
      <c r="G409" s="21">
        <f t="shared" si="58"/>
        <v>1</v>
      </c>
      <c r="H409" s="635"/>
      <c r="I409" s="21">
        <f t="shared" si="59"/>
        <v>1</v>
      </c>
      <c r="J409" s="635"/>
      <c r="K409" s="21">
        <f t="shared" si="60"/>
        <v>1</v>
      </c>
      <c r="L409" s="635"/>
      <c r="M409" s="21">
        <f t="shared" si="61"/>
        <v>1</v>
      </c>
      <c r="N409" s="635"/>
      <c r="O409" s="21">
        <f t="shared" si="62"/>
        <v>1</v>
      </c>
      <c r="P409" s="635"/>
      <c r="Q409" s="21">
        <f t="shared" si="63"/>
        <v>1</v>
      </c>
      <c r="R409" s="21">
        <f t="shared" ca="1" si="64"/>
        <v>5145</v>
      </c>
      <c r="S409" s="308">
        <f t="shared" ca="1" si="65"/>
        <v>16</v>
      </c>
    </row>
    <row r="410" spans="1:19">
      <c r="A410" s="3227" t="s">
        <v>5563</v>
      </c>
      <c r="B410" s="3228">
        <v>31.37</v>
      </c>
      <c r="C410" s="21">
        <f t="shared" ref="C410:C473" si="66">IF(B410="",1,(LOOKUP(B410,$3:$3,$4:$4)-LOOKUP($B$24,$3:$3,$4:$4)+100)/100)</f>
        <v>1</v>
      </c>
      <c r="D410" s="3237" t="s">
        <v>5487</v>
      </c>
      <c r="E410" s="21">
        <f t="shared" ref="E410:E473" si="67">(SUMIF($5:$5,D410,$6:$6)-SUMIF($5:$5,$D$24,$6:$6)+100)/100</f>
        <v>1.02</v>
      </c>
      <c r="F410" s="635"/>
      <c r="G410" s="21">
        <f t="shared" ref="G410:G473" si="68">(SUMIF($7:$7,F410,$8:$8)-SUMIF($7:$7,$F$24,$8:$8)+100)/100</f>
        <v>1</v>
      </c>
      <c r="H410" s="635"/>
      <c r="I410" s="21">
        <f t="shared" ref="I410:I473" si="69">(SUMIF($9:$9,H410,$10:$10)-SUMIF($9:$9,$H$24,$10:$10)+100)/100</f>
        <v>1</v>
      </c>
      <c r="J410" s="635"/>
      <c r="K410" s="21">
        <f t="shared" ref="K410:K473" si="70">(SUMIF($11:$11,J410,$12:$12)-SUMIF($11:$11,$J$24,$12:$12)+100)/100</f>
        <v>1</v>
      </c>
      <c r="L410" s="635"/>
      <c r="M410" s="21">
        <f t="shared" ref="M410:M473" si="71">(SUMIF($13:$13,L410,$14:$14)-SUMIF($13:$13,$L$24,$14:$14)+100)/100</f>
        <v>1</v>
      </c>
      <c r="N410" s="635"/>
      <c r="O410" s="21">
        <f t="shared" ref="O410:O473" si="72">(SUMIF($15:$15,N410,$16:$16)-SUMIF($15:$15,$N$24,$16:$16)+100)/100</f>
        <v>1</v>
      </c>
      <c r="P410" s="635"/>
      <c r="Q410" s="21">
        <f t="shared" ref="Q410:Q473" si="73">(SUMIF($17:$17,P410,$18:$18)-SUMIF($17:$17,$P$24,$18:$18)+100)/100</f>
        <v>1</v>
      </c>
      <c r="R410" s="21">
        <f t="shared" ref="R410:R473" ca="1" si="74">IF(B410="",0,ROUND($R$24*C410*E410*G410*I410*K410*M410*O410*Q410,0))</f>
        <v>5145</v>
      </c>
      <c r="S410" s="308">
        <f t="shared" ca="1" si="65"/>
        <v>16</v>
      </c>
    </row>
    <row r="411" spans="1:19">
      <c r="A411" s="3227" t="s">
        <v>4399</v>
      </c>
      <c r="B411" s="3228">
        <v>31.37</v>
      </c>
      <c r="C411" s="21">
        <f t="shared" si="66"/>
        <v>1</v>
      </c>
      <c r="D411" s="3237" t="s">
        <v>4322</v>
      </c>
      <c r="E411" s="21">
        <f t="shared" si="67"/>
        <v>1.02</v>
      </c>
      <c r="F411" s="635"/>
      <c r="G411" s="21">
        <f t="shared" si="68"/>
        <v>1</v>
      </c>
      <c r="H411" s="635"/>
      <c r="I411" s="21">
        <f t="shared" si="69"/>
        <v>1</v>
      </c>
      <c r="J411" s="635"/>
      <c r="K411" s="21">
        <f t="shared" si="70"/>
        <v>1</v>
      </c>
      <c r="L411" s="635"/>
      <c r="M411" s="21">
        <f t="shared" si="71"/>
        <v>1</v>
      </c>
      <c r="N411" s="635"/>
      <c r="O411" s="21">
        <f t="shared" si="72"/>
        <v>1</v>
      </c>
      <c r="P411" s="635"/>
      <c r="Q411" s="21">
        <f t="shared" si="73"/>
        <v>1</v>
      </c>
      <c r="R411" s="21">
        <f t="shared" ca="1" si="74"/>
        <v>5145</v>
      </c>
      <c r="S411" s="308">
        <f t="shared" ca="1" si="65"/>
        <v>16</v>
      </c>
    </row>
    <row r="412" spans="1:19">
      <c r="A412" s="3227" t="s">
        <v>5565</v>
      </c>
      <c r="B412" s="3228">
        <v>31.37</v>
      </c>
      <c r="C412" s="21">
        <f t="shared" si="66"/>
        <v>1</v>
      </c>
      <c r="D412" s="3237" t="s">
        <v>5487</v>
      </c>
      <c r="E412" s="21">
        <f t="shared" si="67"/>
        <v>1.02</v>
      </c>
      <c r="F412" s="635"/>
      <c r="G412" s="21">
        <f t="shared" si="68"/>
        <v>1</v>
      </c>
      <c r="H412" s="635"/>
      <c r="I412" s="21">
        <f t="shared" si="69"/>
        <v>1</v>
      </c>
      <c r="J412" s="635"/>
      <c r="K412" s="21">
        <f t="shared" si="70"/>
        <v>1</v>
      </c>
      <c r="L412" s="635"/>
      <c r="M412" s="21">
        <f t="shared" si="71"/>
        <v>1</v>
      </c>
      <c r="N412" s="635"/>
      <c r="O412" s="21">
        <f t="shared" si="72"/>
        <v>1</v>
      </c>
      <c r="P412" s="635"/>
      <c r="Q412" s="21">
        <f t="shared" si="73"/>
        <v>1</v>
      </c>
      <c r="R412" s="21">
        <f t="shared" ca="1" si="74"/>
        <v>5145</v>
      </c>
      <c r="S412" s="308">
        <f t="shared" ca="1" si="65"/>
        <v>16</v>
      </c>
    </row>
    <row r="413" spans="1:19">
      <c r="A413" s="3227" t="s">
        <v>4401</v>
      </c>
      <c r="B413" s="3228">
        <v>31.37</v>
      </c>
      <c r="C413" s="21">
        <f t="shared" si="66"/>
        <v>1</v>
      </c>
      <c r="D413" s="3237" t="s">
        <v>4322</v>
      </c>
      <c r="E413" s="21">
        <f t="shared" si="67"/>
        <v>1.02</v>
      </c>
      <c r="F413" s="635"/>
      <c r="G413" s="21">
        <f t="shared" si="68"/>
        <v>1</v>
      </c>
      <c r="H413" s="635"/>
      <c r="I413" s="21">
        <f t="shared" si="69"/>
        <v>1</v>
      </c>
      <c r="J413" s="635"/>
      <c r="K413" s="21">
        <f t="shared" si="70"/>
        <v>1</v>
      </c>
      <c r="L413" s="635"/>
      <c r="M413" s="21">
        <f t="shared" si="71"/>
        <v>1</v>
      </c>
      <c r="N413" s="635"/>
      <c r="O413" s="21">
        <f t="shared" si="72"/>
        <v>1</v>
      </c>
      <c r="P413" s="635"/>
      <c r="Q413" s="21">
        <f t="shared" si="73"/>
        <v>1</v>
      </c>
      <c r="R413" s="21">
        <f t="shared" ca="1" si="74"/>
        <v>5145</v>
      </c>
      <c r="S413" s="308">
        <f t="shared" ca="1" si="65"/>
        <v>16</v>
      </c>
    </row>
    <row r="414" spans="1:19">
      <c r="A414" s="3227" t="s">
        <v>5567</v>
      </c>
      <c r="B414" s="3228">
        <v>32.69</v>
      </c>
      <c r="C414" s="21">
        <f t="shared" si="66"/>
        <v>1</v>
      </c>
      <c r="D414" s="3237" t="s">
        <v>5487</v>
      </c>
      <c r="E414" s="21">
        <f t="shared" si="67"/>
        <v>1.02</v>
      </c>
      <c r="F414" s="635"/>
      <c r="G414" s="21">
        <f t="shared" si="68"/>
        <v>1</v>
      </c>
      <c r="H414" s="635"/>
      <c r="I414" s="21">
        <f t="shared" si="69"/>
        <v>1</v>
      </c>
      <c r="J414" s="635"/>
      <c r="K414" s="21">
        <f t="shared" si="70"/>
        <v>1</v>
      </c>
      <c r="L414" s="635"/>
      <c r="M414" s="21">
        <f t="shared" si="71"/>
        <v>1</v>
      </c>
      <c r="N414" s="635"/>
      <c r="O414" s="21">
        <f t="shared" si="72"/>
        <v>1</v>
      </c>
      <c r="P414" s="635"/>
      <c r="Q414" s="21">
        <f t="shared" si="73"/>
        <v>1</v>
      </c>
      <c r="R414" s="21">
        <f t="shared" ca="1" si="74"/>
        <v>5145</v>
      </c>
      <c r="S414" s="308">
        <f t="shared" ca="1" si="65"/>
        <v>17</v>
      </c>
    </row>
    <row r="415" spans="1:19">
      <c r="A415" s="3227" t="s">
        <v>4403</v>
      </c>
      <c r="B415" s="3228">
        <v>32.69</v>
      </c>
      <c r="C415" s="21">
        <f t="shared" si="66"/>
        <v>1</v>
      </c>
      <c r="D415" s="3237" t="s">
        <v>4322</v>
      </c>
      <c r="E415" s="21">
        <f t="shared" si="67"/>
        <v>1.02</v>
      </c>
      <c r="F415" s="635"/>
      <c r="G415" s="21">
        <f t="shared" si="68"/>
        <v>1</v>
      </c>
      <c r="H415" s="635"/>
      <c r="I415" s="21">
        <f t="shared" si="69"/>
        <v>1</v>
      </c>
      <c r="J415" s="635"/>
      <c r="K415" s="21">
        <f t="shared" si="70"/>
        <v>1</v>
      </c>
      <c r="L415" s="635"/>
      <c r="M415" s="21">
        <f t="shared" si="71"/>
        <v>1</v>
      </c>
      <c r="N415" s="635"/>
      <c r="O415" s="21">
        <f t="shared" si="72"/>
        <v>1</v>
      </c>
      <c r="P415" s="635"/>
      <c r="Q415" s="21">
        <f t="shared" si="73"/>
        <v>1</v>
      </c>
      <c r="R415" s="21">
        <f t="shared" ca="1" si="74"/>
        <v>5145</v>
      </c>
      <c r="S415" s="308">
        <f t="shared" ca="1" si="65"/>
        <v>17</v>
      </c>
    </row>
    <row r="416" spans="1:19">
      <c r="A416" s="3227" t="s">
        <v>5569</v>
      </c>
      <c r="B416" s="3228">
        <v>32.69</v>
      </c>
      <c r="C416" s="21">
        <f t="shared" si="66"/>
        <v>1</v>
      </c>
      <c r="D416" s="3237" t="s">
        <v>5487</v>
      </c>
      <c r="E416" s="21">
        <f t="shared" si="67"/>
        <v>1.02</v>
      </c>
      <c r="F416" s="635"/>
      <c r="G416" s="21">
        <f t="shared" si="68"/>
        <v>1</v>
      </c>
      <c r="H416" s="635"/>
      <c r="I416" s="21">
        <f t="shared" si="69"/>
        <v>1</v>
      </c>
      <c r="J416" s="635"/>
      <c r="K416" s="21">
        <f t="shared" si="70"/>
        <v>1</v>
      </c>
      <c r="L416" s="635"/>
      <c r="M416" s="21">
        <f t="shared" si="71"/>
        <v>1</v>
      </c>
      <c r="N416" s="635"/>
      <c r="O416" s="21">
        <f t="shared" si="72"/>
        <v>1</v>
      </c>
      <c r="P416" s="635"/>
      <c r="Q416" s="21">
        <f t="shared" si="73"/>
        <v>1</v>
      </c>
      <c r="R416" s="21">
        <f t="shared" ca="1" si="74"/>
        <v>5145</v>
      </c>
      <c r="S416" s="308">
        <f t="shared" ca="1" si="65"/>
        <v>17</v>
      </c>
    </row>
    <row r="417" spans="1:19">
      <c r="A417" s="3227" t="s">
        <v>4405</v>
      </c>
      <c r="B417" s="3228">
        <v>31.37</v>
      </c>
      <c r="C417" s="21">
        <f t="shared" si="66"/>
        <v>1</v>
      </c>
      <c r="D417" s="3237" t="s">
        <v>4322</v>
      </c>
      <c r="E417" s="21">
        <f t="shared" si="67"/>
        <v>1.02</v>
      </c>
      <c r="F417" s="635"/>
      <c r="G417" s="21">
        <f t="shared" si="68"/>
        <v>1</v>
      </c>
      <c r="H417" s="635"/>
      <c r="I417" s="21">
        <f t="shared" si="69"/>
        <v>1</v>
      </c>
      <c r="J417" s="635"/>
      <c r="K417" s="21">
        <f t="shared" si="70"/>
        <v>1</v>
      </c>
      <c r="L417" s="635"/>
      <c r="M417" s="21">
        <f t="shared" si="71"/>
        <v>1</v>
      </c>
      <c r="N417" s="635"/>
      <c r="O417" s="21">
        <f t="shared" si="72"/>
        <v>1</v>
      </c>
      <c r="P417" s="635"/>
      <c r="Q417" s="21">
        <f t="shared" si="73"/>
        <v>1</v>
      </c>
      <c r="R417" s="21">
        <f t="shared" ca="1" si="74"/>
        <v>5145</v>
      </c>
      <c r="S417" s="308">
        <f t="shared" ca="1" si="65"/>
        <v>16</v>
      </c>
    </row>
    <row r="418" spans="1:19">
      <c r="A418" s="3227" t="s">
        <v>5571</v>
      </c>
      <c r="B418" s="3228">
        <v>31.37</v>
      </c>
      <c r="C418" s="21">
        <f t="shared" si="66"/>
        <v>1</v>
      </c>
      <c r="D418" s="3237" t="s">
        <v>5487</v>
      </c>
      <c r="E418" s="21">
        <f t="shared" si="67"/>
        <v>1.02</v>
      </c>
      <c r="F418" s="635"/>
      <c r="G418" s="21">
        <f t="shared" si="68"/>
        <v>1</v>
      </c>
      <c r="H418" s="635"/>
      <c r="I418" s="21">
        <f t="shared" si="69"/>
        <v>1</v>
      </c>
      <c r="J418" s="635"/>
      <c r="K418" s="21">
        <f t="shared" si="70"/>
        <v>1</v>
      </c>
      <c r="L418" s="635"/>
      <c r="M418" s="21">
        <f t="shared" si="71"/>
        <v>1</v>
      </c>
      <c r="N418" s="635"/>
      <c r="O418" s="21">
        <f t="shared" si="72"/>
        <v>1</v>
      </c>
      <c r="P418" s="635"/>
      <c r="Q418" s="21">
        <f t="shared" si="73"/>
        <v>1</v>
      </c>
      <c r="R418" s="21">
        <f t="shared" ca="1" si="74"/>
        <v>5145</v>
      </c>
      <c r="S418" s="308">
        <f t="shared" ca="1" si="65"/>
        <v>16</v>
      </c>
    </row>
    <row r="419" spans="1:19">
      <c r="A419" s="3227" t="s">
        <v>4407</v>
      </c>
      <c r="B419" s="3228">
        <v>31.37</v>
      </c>
      <c r="C419" s="21">
        <f t="shared" si="66"/>
        <v>1</v>
      </c>
      <c r="D419" s="3239" t="s">
        <v>4330</v>
      </c>
      <c r="E419" s="21">
        <f t="shared" si="67"/>
        <v>1.02</v>
      </c>
      <c r="F419" s="635"/>
      <c r="G419" s="21">
        <f t="shared" si="68"/>
        <v>1</v>
      </c>
      <c r="H419" s="635"/>
      <c r="I419" s="21">
        <f t="shared" si="69"/>
        <v>1</v>
      </c>
      <c r="J419" s="635"/>
      <c r="K419" s="21">
        <f t="shared" si="70"/>
        <v>1</v>
      </c>
      <c r="L419" s="635"/>
      <c r="M419" s="21">
        <f t="shared" si="71"/>
        <v>1</v>
      </c>
      <c r="N419" s="635"/>
      <c r="O419" s="21">
        <f t="shared" si="72"/>
        <v>1</v>
      </c>
      <c r="P419" s="635"/>
      <c r="Q419" s="21">
        <f t="shared" si="73"/>
        <v>1</v>
      </c>
      <c r="R419" s="21">
        <f t="shared" ca="1" si="74"/>
        <v>5145</v>
      </c>
      <c r="S419" s="308">
        <f t="shared" ca="1" si="65"/>
        <v>16</v>
      </c>
    </row>
    <row r="420" spans="1:19">
      <c r="A420" s="3227" t="s">
        <v>5573</v>
      </c>
      <c r="B420" s="3228">
        <v>31.37</v>
      </c>
      <c r="C420" s="21">
        <f t="shared" si="66"/>
        <v>1</v>
      </c>
      <c r="D420" s="3237" t="s">
        <v>5487</v>
      </c>
      <c r="E420" s="21">
        <f t="shared" si="67"/>
        <v>1.02</v>
      </c>
      <c r="F420" s="635"/>
      <c r="G420" s="21">
        <f t="shared" si="68"/>
        <v>1</v>
      </c>
      <c r="H420" s="635"/>
      <c r="I420" s="21">
        <f t="shared" si="69"/>
        <v>1</v>
      </c>
      <c r="J420" s="635"/>
      <c r="K420" s="21">
        <f t="shared" si="70"/>
        <v>1</v>
      </c>
      <c r="L420" s="635"/>
      <c r="M420" s="21">
        <f t="shared" si="71"/>
        <v>1</v>
      </c>
      <c r="N420" s="635"/>
      <c r="O420" s="21">
        <f t="shared" si="72"/>
        <v>1</v>
      </c>
      <c r="P420" s="635"/>
      <c r="Q420" s="21">
        <f t="shared" si="73"/>
        <v>1</v>
      </c>
      <c r="R420" s="21">
        <f t="shared" ca="1" si="74"/>
        <v>5145</v>
      </c>
      <c r="S420" s="308">
        <f t="shared" ca="1" si="65"/>
        <v>16</v>
      </c>
    </row>
    <row r="421" spans="1:19">
      <c r="A421" s="3227" t="s">
        <v>4409</v>
      </c>
      <c r="B421" s="3228">
        <v>31.37</v>
      </c>
      <c r="C421" s="21">
        <f t="shared" si="66"/>
        <v>1</v>
      </c>
      <c r="D421" s="3239" t="s">
        <v>4330</v>
      </c>
      <c r="E421" s="21">
        <f t="shared" si="67"/>
        <v>1.02</v>
      </c>
      <c r="F421" s="635"/>
      <c r="G421" s="21">
        <f t="shared" si="68"/>
        <v>1</v>
      </c>
      <c r="H421" s="635"/>
      <c r="I421" s="21">
        <f t="shared" si="69"/>
        <v>1</v>
      </c>
      <c r="J421" s="635"/>
      <c r="K421" s="21">
        <f t="shared" si="70"/>
        <v>1</v>
      </c>
      <c r="L421" s="635"/>
      <c r="M421" s="21">
        <f t="shared" si="71"/>
        <v>1</v>
      </c>
      <c r="N421" s="635"/>
      <c r="O421" s="21">
        <f t="shared" si="72"/>
        <v>1</v>
      </c>
      <c r="P421" s="635"/>
      <c r="Q421" s="21">
        <f t="shared" si="73"/>
        <v>1</v>
      </c>
      <c r="R421" s="21">
        <f t="shared" ca="1" si="74"/>
        <v>5145</v>
      </c>
      <c r="S421" s="308">
        <f t="shared" ca="1" si="65"/>
        <v>16</v>
      </c>
    </row>
    <row r="422" spans="1:19">
      <c r="A422" s="3227" t="s">
        <v>5575</v>
      </c>
      <c r="B422" s="3228">
        <v>31.37</v>
      </c>
      <c r="C422" s="21">
        <f t="shared" si="66"/>
        <v>1</v>
      </c>
      <c r="D422" s="3237" t="s">
        <v>5487</v>
      </c>
      <c r="E422" s="21">
        <f t="shared" si="67"/>
        <v>1.02</v>
      </c>
      <c r="F422" s="635"/>
      <c r="G422" s="21">
        <f t="shared" si="68"/>
        <v>1</v>
      </c>
      <c r="H422" s="635"/>
      <c r="I422" s="21">
        <f t="shared" si="69"/>
        <v>1</v>
      </c>
      <c r="J422" s="635"/>
      <c r="K422" s="21">
        <f t="shared" si="70"/>
        <v>1</v>
      </c>
      <c r="L422" s="635"/>
      <c r="M422" s="21">
        <f t="shared" si="71"/>
        <v>1</v>
      </c>
      <c r="N422" s="635"/>
      <c r="O422" s="21">
        <f t="shared" si="72"/>
        <v>1</v>
      </c>
      <c r="P422" s="635"/>
      <c r="Q422" s="21">
        <f t="shared" si="73"/>
        <v>1</v>
      </c>
      <c r="R422" s="21">
        <f t="shared" ca="1" si="74"/>
        <v>5145</v>
      </c>
      <c r="S422" s="308">
        <f t="shared" ca="1" si="65"/>
        <v>16</v>
      </c>
    </row>
    <row r="423" spans="1:19">
      <c r="A423" s="3227" t="s">
        <v>4411</v>
      </c>
      <c r="B423" s="3228">
        <v>31.37</v>
      </c>
      <c r="C423" s="21">
        <f t="shared" si="66"/>
        <v>1</v>
      </c>
      <c r="D423" s="3237" t="s">
        <v>4322</v>
      </c>
      <c r="E423" s="21">
        <f t="shared" si="67"/>
        <v>1.02</v>
      </c>
      <c r="F423" s="635"/>
      <c r="G423" s="21">
        <f t="shared" si="68"/>
        <v>1</v>
      </c>
      <c r="H423" s="635"/>
      <c r="I423" s="21">
        <f t="shared" si="69"/>
        <v>1</v>
      </c>
      <c r="J423" s="635"/>
      <c r="K423" s="21">
        <f t="shared" si="70"/>
        <v>1</v>
      </c>
      <c r="L423" s="635"/>
      <c r="M423" s="21">
        <f t="shared" si="71"/>
        <v>1</v>
      </c>
      <c r="N423" s="635"/>
      <c r="O423" s="21">
        <f t="shared" si="72"/>
        <v>1</v>
      </c>
      <c r="P423" s="635"/>
      <c r="Q423" s="21">
        <f t="shared" si="73"/>
        <v>1</v>
      </c>
      <c r="R423" s="21">
        <f t="shared" ca="1" si="74"/>
        <v>5145</v>
      </c>
      <c r="S423" s="308">
        <f t="shared" ca="1" si="65"/>
        <v>16</v>
      </c>
    </row>
    <row r="424" spans="1:19">
      <c r="A424" s="3227" t="s">
        <v>5577</v>
      </c>
      <c r="B424" s="3228">
        <v>31.37</v>
      </c>
      <c r="C424" s="21">
        <f t="shared" si="66"/>
        <v>1</v>
      </c>
      <c r="D424" s="3237" t="s">
        <v>5487</v>
      </c>
      <c r="E424" s="21">
        <f t="shared" si="67"/>
        <v>1.02</v>
      </c>
      <c r="F424" s="635"/>
      <c r="G424" s="21">
        <f t="shared" si="68"/>
        <v>1</v>
      </c>
      <c r="H424" s="635"/>
      <c r="I424" s="21">
        <f t="shared" si="69"/>
        <v>1</v>
      </c>
      <c r="J424" s="635"/>
      <c r="K424" s="21">
        <f t="shared" si="70"/>
        <v>1</v>
      </c>
      <c r="L424" s="635"/>
      <c r="M424" s="21">
        <f t="shared" si="71"/>
        <v>1</v>
      </c>
      <c r="N424" s="635"/>
      <c r="O424" s="21">
        <f t="shared" si="72"/>
        <v>1</v>
      </c>
      <c r="P424" s="635"/>
      <c r="Q424" s="21">
        <f t="shared" si="73"/>
        <v>1</v>
      </c>
      <c r="R424" s="21">
        <f t="shared" ca="1" si="74"/>
        <v>5145</v>
      </c>
      <c r="S424" s="308">
        <f t="shared" ca="1" si="65"/>
        <v>16</v>
      </c>
    </row>
    <row r="425" spans="1:19">
      <c r="A425" s="3227" t="s">
        <v>4413</v>
      </c>
      <c r="B425" s="3228">
        <v>32.69</v>
      </c>
      <c r="C425" s="21">
        <f t="shared" si="66"/>
        <v>1</v>
      </c>
      <c r="D425" s="3237" t="s">
        <v>4322</v>
      </c>
      <c r="E425" s="21">
        <f t="shared" si="67"/>
        <v>1.02</v>
      </c>
      <c r="F425" s="635"/>
      <c r="G425" s="21">
        <f t="shared" si="68"/>
        <v>1</v>
      </c>
      <c r="H425" s="635"/>
      <c r="I425" s="21">
        <f t="shared" si="69"/>
        <v>1</v>
      </c>
      <c r="J425" s="635"/>
      <c r="K425" s="21">
        <f t="shared" si="70"/>
        <v>1</v>
      </c>
      <c r="L425" s="635"/>
      <c r="M425" s="21">
        <f t="shared" si="71"/>
        <v>1</v>
      </c>
      <c r="N425" s="635"/>
      <c r="O425" s="21">
        <f t="shared" si="72"/>
        <v>1</v>
      </c>
      <c r="P425" s="635"/>
      <c r="Q425" s="21">
        <f t="shared" si="73"/>
        <v>1</v>
      </c>
      <c r="R425" s="21">
        <f t="shared" ca="1" si="74"/>
        <v>5145</v>
      </c>
      <c r="S425" s="308">
        <f t="shared" ca="1" si="65"/>
        <v>17</v>
      </c>
    </row>
    <row r="426" spans="1:19">
      <c r="A426" s="3227" t="s">
        <v>5579</v>
      </c>
      <c r="B426" s="3228">
        <v>32.69</v>
      </c>
      <c r="C426" s="21">
        <f t="shared" si="66"/>
        <v>1</v>
      </c>
      <c r="D426" s="3237" t="s">
        <v>5487</v>
      </c>
      <c r="E426" s="21">
        <f t="shared" si="67"/>
        <v>1.02</v>
      </c>
      <c r="F426" s="635"/>
      <c r="G426" s="21">
        <f t="shared" si="68"/>
        <v>1</v>
      </c>
      <c r="H426" s="635"/>
      <c r="I426" s="21">
        <f t="shared" si="69"/>
        <v>1</v>
      </c>
      <c r="J426" s="635"/>
      <c r="K426" s="21">
        <f t="shared" si="70"/>
        <v>1</v>
      </c>
      <c r="L426" s="635"/>
      <c r="M426" s="21">
        <f t="shared" si="71"/>
        <v>1</v>
      </c>
      <c r="N426" s="635"/>
      <c r="O426" s="21">
        <f t="shared" si="72"/>
        <v>1</v>
      </c>
      <c r="P426" s="635"/>
      <c r="Q426" s="21">
        <f t="shared" si="73"/>
        <v>1</v>
      </c>
      <c r="R426" s="21">
        <f t="shared" ca="1" si="74"/>
        <v>5145</v>
      </c>
      <c r="S426" s="308">
        <f t="shared" ca="1" si="65"/>
        <v>17</v>
      </c>
    </row>
    <row r="427" spans="1:19">
      <c r="A427" s="3227" t="s">
        <v>4415</v>
      </c>
      <c r="B427" s="3228">
        <v>32.69</v>
      </c>
      <c r="C427" s="21">
        <f t="shared" si="66"/>
        <v>1</v>
      </c>
      <c r="D427" s="3237" t="s">
        <v>4322</v>
      </c>
      <c r="E427" s="21">
        <f t="shared" si="67"/>
        <v>1.02</v>
      </c>
      <c r="F427" s="635"/>
      <c r="G427" s="21">
        <f t="shared" si="68"/>
        <v>1</v>
      </c>
      <c r="H427" s="635"/>
      <c r="I427" s="21">
        <f t="shared" si="69"/>
        <v>1</v>
      </c>
      <c r="J427" s="635"/>
      <c r="K427" s="21">
        <f t="shared" si="70"/>
        <v>1</v>
      </c>
      <c r="L427" s="635"/>
      <c r="M427" s="21">
        <f t="shared" si="71"/>
        <v>1</v>
      </c>
      <c r="N427" s="635"/>
      <c r="O427" s="21">
        <f t="shared" si="72"/>
        <v>1</v>
      </c>
      <c r="P427" s="635"/>
      <c r="Q427" s="21">
        <f t="shared" si="73"/>
        <v>1</v>
      </c>
      <c r="R427" s="21">
        <f t="shared" ca="1" si="74"/>
        <v>5145</v>
      </c>
      <c r="S427" s="308">
        <f t="shared" ca="1" si="65"/>
        <v>17</v>
      </c>
    </row>
    <row r="428" spans="1:19">
      <c r="A428" s="3227" t="s">
        <v>5581</v>
      </c>
      <c r="B428" s="3228">
        <v>31.37</v>
      </c>
      <c r="C428" s="21">
        <f t="shared" si="66"/>
        <v>1</v>
      </c>
      <c r="D428" s="3237" t="s">
        <v>5487</v>
      </c>
      <c r="E428" s="21">
        <f t="shared" si="67"/>
        <v>1.02</v>
      </c>
      <c r="F428" s="635"/>
      <c r="G428" s="21">
        <f t="shared" si="68"/>
        <v>1</v>
      </c>
      <c r="H428" s="635"/>
      <c r="I428" s="21">
        <f t="shared" si="69"/>
        <v>1</v>
      </c>
      <c r="J428" s="635"/>
      <c r="K428" s="21">
        <f t="shared" si="70"/>
        <v>1</v>
      </c>
      <c r="L428" s="635"/>
      <c r="M428" s="21">
        <f t="shared" si="71"/>
        <v>1</v>
      </c>
      <c r="N428" s="635"/>
      <c r="O428" s="21">
        <f t="shared" si="72"/>
        <v>1</v>
      </c>
      <c r="P428" s="635"/>
      <c r="Q428" s="21">
        <f t="shared" si="73"/>
        <v>1</v>
      </c>
      <c r="R428" s="21">
        <f t="shared" ca="1" si="74"/>
        <v>5145</v>
      </c>
      <c r="S428" s="308">
        <f t="shared" ca="1" si="65"/>
        <v>16</v>
      </c>
    </row>
    <row r="429" spans="1:19">
      <c r="A429" s="3227" t="s">
        <v>4418</v>
      </c>
      <c r="B429" s="3228">
        <v>31.37</v>
      </c>
      <c r="C429" s="21">
        <f t="shared" si="66"/>
        <v>1</v>
      </c>
      <c r="D429" s="3237" t="s">
        <v>4322</v>
      </c>
      <c r="E429" s="21">
        <f t="shared" si="67"/>
        <v>1.02</v>
      </c>
      <c r="F429" s="635"/>
      <c r="G429" s="21">
        <f t="shared" si="68"/>
        <v>1</v>
      </c>
      <c r="H429" s="635"/>
      <c r="I429" s="21">
        <f t="shared" si="69"/>
        <v>1</v>
      </c>
      <c r="J429" s="635"/>
      <c r="K429" s="21">
        <f t="shared" si="70"/>
        <v>1</v>
      </c>
      <c r="L429" s="635"/>
      <c r="M429" s="21">
        <f t="shared" si="71"/>
        <v>1</v>
      </c>
      <c r="N429" s="635"/>
      <c r="O429" s="21">
        <f t="shared" si="72"/>
        <v>1</v>
      </c>
      <c r="P429" s="635"/>
      <c r="Q429" s="21">
        <f t="shared" si="73"/>
        <v>1</v>
      </c>
      <c r="R429" s="21">
        <f t="shared" ca="1" si="74"/>
        <v>5145</v>
      </c>
      <c r="S429" s="308">
        <f t="shared" ca="1" si="65"/>
        <v>16</v>
      </c>
    </row>
    <row r="430" spans="1:19">
      <c r="A430" s="3227" t="s">
        <v>5583</v>
      </c>
      <c r="B430" s="3228">
        <v>31.37</v>
      </c>
      <c r="C430" s="21">
        <f t="shared" si="66"/>
        <v>1</v>
      </c>
      <c r="D430" s="3237" t="s">
        <v>5487</v>
      </c>
      <c r="E430" s="21">
        <f t="shared" si="67"/>
        <v>1.02</v>
      </c>
      <c r="F430" s="635"/>
      <c r="G430" s="21">
        <f t="shared" si="68"/>
        <v>1</v>
      </c>
      <c r="H430" s="635"/>
      <c r="I430" s="21">
        <f t="shared" si="69"/>
        <v>1</v>
      </c>
      <c r="J430" s="635"/>
      <c r="K430" s="21">
        <f t="shared" si="70"/>
        <v>1</v>
      </c>
      <c r="L430" s="635"/>
      <c r="M430" s="21">
        <f t="shared" si="71"/>
        <v>1</v>
      </c>
      <c r="N430" s="635"/>
      <c r="O430" s="21">
        <f t="shared" si="72"/>
        <v>1</v>
      </c>
      <c r="P430" s="635"/>
      <c r="Q430" s="21">
        <f t="shared" si="73"/>
        <v>1</v>
      </c>
      <c r="R430" s="21">
        <f t="shared" ca="1" si="74"/>
        <v>5145</v>
      </c>
      <c r="S430" s="308">
        <f t="shared" ca="1" si="65"/>
        <v>16</v>
      </c>
    </row>
    <row r="431" spans="1:19">
      <c r="A431" s="3227" t="s">
        <v>4420</v>
      </c>
      <c r="B431" s="3228">
        <v>31.37</v>
      </c>
      <c r="C431" s="21">
        <f t="shared" si="66"/>
        <v>1</v>
      </c>
      <c r="D431" s="3237" t="s">
        <v>4322</v>
      </c>
      <c r="E431" s="21">
        <f t="shared" si="67"/>
        <v>1.02</v>
      </c>
      <c r="F431" s="635"/>
      <c r="G431" s="21">
        <f t="shared" si="68"/>
        <v>1</v>
      </c>
      <c r="H431" s="635"/>
      <c r="I431" s="21">
        <f t="shared" si="69"/>
        <v>1</v>
      </c>
      <c r="J431" s="635"/>
      <c r="K431" s="21">
        <f t="shared" si="70"/>
        <v>1</v>
      </c>
      <c r="L431" s="635"/>
      <c r="M431" s="21">
        <f t="shared" si="71"/>
        <v>1</v>
      </c>
      <c r="N431" s="635"/>
      <c r="O431" s="21">
        <f t="shared" si="72"/>
        <v>1</v>
      </c>
      <c r="P431" s="635"/>
      <c r="Q431" s="21">
        <f t="shared" si="73"/>
        <v>1</v>
      </c>
      <c r="R431" s="21">
        <f t="shared" ca="1" si="74"/>
        <v>5145</v>
      </c>
      <c r="S431" s="308">
        <f t="shared" ca="1" si="65"/>
        <v>16</v>
      </c>
    </row>
    <row r="432" spans="1:19">
      <c r="A432" s="3227" t="s">
        <v>5585</v>
      </c>
      <c r="B432" s="3228">
        <v>31.37</v>
      </c>
      <c r="C432" s="21">
        <f t="shared" si="66"/>
        <v>1</v>
      </c>
      <c r="D432" s="3237" t="s">
        <v>5487</v>
      </c>
      <c r="E432" s="21">
        <f t="shared" si="67"/>
        <v>1.02</v>
      </c>
      <c r="F432" s="635"/>
      <c r="G432" s="21">
        <f t="shared" si="68"/>
        <v>1</v>
      </c>
      <c r="H432" s="635"/>
      <c r="I432" s="21">
        <f t="shared" si="69"/>
        <v>1</v>
      </c>
      <c r="J432" s="635"/>
      <c r="K432" s="21">
        <f t="shared" si="70"/>
        <v>1</v>
      </c>
      <c r="L432" s="635"/>
      <c r="M432" s="21">
        <f t="shared" si="71"/>
        <v>1</v>
      </c>
      <c r="N432" s="635"/>
      <c r="O432" s="21">
        <f t="shared" si="72"/>
        <v>1</v>
      </c>
      <c r="P432" s="635"/>
      <c r="Q432" s="21">
        <f t="shared" si="73"/>
        <v>1</v>
      </c>
      <c r="R432" s="21">
        <f t="shared" ca="1" si="74"/>
        <v>5145</v>
      </c>
      <c r="S432" s="308">
        <f t="shared" ca="1" si="65"/>
        <v>16</v>
      </c>
    </row>
    <row r="433" spans="1:19">
      <c r="A433" s="3227" t="s">
        <v>4422</v>
      </c>
      <c r="B433" s="3228">
        <v>31.37</v>
      </c>
      <c r="C433" s="21">
        <f t="shared" si="66"/>
        <v>1</v>
      </c>
      <c r="D433" s="3237" t="s">
        <v>4322</v>
      </c>
      <c r="E433" s="21">
        <f t="shared" si="67"/>
        <v>1.02</v>
      </c>
      <c r="F433" s="635"/>
      <c r="G433" s="21">
        <f t="shared" si="68"/>
        <v>1</v>
      </c>
      <c r="H433" s="635"/>
      <c r="I433" s="21">
        <f t="shared" si="69"/>
        <v>1</v>
      </c>
      <c r="J433" s="635"/>
      <c r="K433" s="21">
        <f t="shared" si="70"/>
        <v>1</v>
      </c>
      <c r="L433" s="635"/>
      <c r="M433" s="21">
        <f t="shared" si="71"/>
        <v>1</v>
      </c>
      <c r="N433" s="635"/>
      <c r="O433" s="21">
        <f t="shared" si="72"/>
        <v>1</v>
      </c>
      <c r="P433" s="635"/>
      <c r="Q433" s="21">
        <f t="shared" si="73"/>
        <v>1</v>
      </c>
      <c r="R433" s="21">
        <f t="shared" ca="1" si="74"/>
        <v>5145</v>
      </c>
      <c r="S433" s="308">
        <f t="shared" ca="1" si="65"/>
        <v>16</v>
      </c>
    </row>
    <row r="434" spans="1:19">
      <c r="A434" s="3227" t="s">
        <v>5587</v>
      </c>
      <c r="B434" s="3228">
        <v>31.37</v>
      </c>
      <c r="C434" s="21">
        <f t="shared" si="66"/>
        <v>1</v>
      </c>
      <c r="D434" s="3237" t="s">
        <v>5487</v>
      </c>
      <c r="E434" s="21">
        <f t="shared" si="67"/>
        <v>1.02</v>
      </c>
      <c r="F434" s="635"/>
      <c r="G434" s="21">
        <f t="shared" si="68"/>
        <v>1</v>
      </c>
      <c r="H434" s="635"/>
      <c r="I434" s="21">
        <f t="shared" si="69"/>
        <v>1</v>
      </c>
      <c r="J434" s="635"/>
      <c r="K434" s="21">
        <f t="shared" si="70"/>
        <v>1</v>
      </c>
      <c r="L434" s="635"/>
      <c r="M434" s="21">
        <f t="shared" si="71"/>
        <v>1</v>
      </c>
      <c r="N434" s="635"/>
      <c r="O434" s="21">
        <f t="shared" si="72"/>
        <v>1</v>
      </c>
      <c r="P434" s="635"/>
      <c r="Q434" s="21">
        <f t="shared" si="73"/>
        <v>1</v>
      </c>
      <c r="R434" s="21">
        <f t="shared" ca="1" si="74"/>
        <v>5145</v>
      </c>
      <c r="S434" s="308">
        <f t="shared" ca="1" si="65"/>
        <v>16</v>
      </c>
    </row>
    <row r="435" spans="1:19">
      <c r="A435" s="3227" t="s">
        <v>4424</v>
      </c>
      <c r="B435" s="3228">
        <v>31.37</v>
      </c>
      <c r="C435" s="21">
        <f t="shared" si="66"/>
        <v>1</v>
      </c>
      <c r="D435" s="3237" t="s">
        <v>4322</v>
      </c>
      <c r="E435" s="21">
        <f t="shared" si="67"/>
        <v>1.02</v>
      </c>
      <c r="F435" s="635"/>
      <c r="G435" s="21">
        <f t="shared" si="68"/>
        <v>1</v>
      </c>
      <c r="H435" s="635"/>
      <c r="I435" s="21">
        <f t="shared" si="69"/>
        <v>1</v>
      </c>
      <c r="J435" s="635"/>
      <c r="K435" s="21">
        <f t="shared" si="70"/>
        <v>1</v>
      </c>
      <c r="L435" s="635"/>
      <c r="M435" s="21">
        <f t="shared" si="71"/>
        <v>1</v>
      </c>
      <c r="N435" s="635"/>
      <c r="O435" s="21">
        <f t="shared" si="72"/>
        <v>1</v>
      </c>
      <c r="P435" s="635"/>
      <c r="Q435" s="21">
        <f t="shared" si="73"/>
        <v>1</v>
      </c>
      <c r="R435" s="21">
        <f t="shared" ca="1" si="74"/>
        <v>5145</v>
      </c>
      <c r="S435" s="308">
        <f t="shared" ca="1" si="65"/>
        <v>16</v>
      </c>
    </row>
    <row r="436" spans="1:19">
      <c r="A436" s="3231" t="s">
        <v>5589</v>
      </c>
      <c r="B436" s="3230">
        <v>26.14</v>
      </c>
      <c r="C436" s="21">
        <f t="shared" si="66"/>
        <v>0.98</v>
      </c>
      <c r="D436" s="3238" t="s">
        <v>5487</v>
      </c>
      <c r="E436" s="21">
        <f t="shared" si="67"/>
        <v>1.02</v>
      </c>
      <c r="F436" s="635"/>
      <c r="G436" s="21">
        <f t="shared" si="68"/>
        <v>1</v>
      </c>
      <c r="H436" s="635"/>
      <c r="I436" s="21">
        <f t="shared" si="69"/>
        <v>1</v>
      </c>
      <c r="J436" s="635"/>
      <c r="K436" s="21">
        <f t="shared" si="70"/>
        <v>1</v>
      </c>
      <c r="L436" s="635"/>
      <c r="M436" s="21">
        <f t="shared" si="71"/>
        <v>1</v>
      </c>
      <c r="N436" s="635"/>
      <c r="O436" s="21">
        <f t="shared" si="72"/>
        <v>1</v>
      </c>
      <c r="P436" s="635"/>
      <c r="Q436" s="21">
        <f t="shared" si="73"/>
        <v>1</v>
      </c>
      <c r="R436" s="21">
        <f t="shared" ca="1" si="74"/>
        <v>5042</v>
      </c>
      <c r="S436" s="308">
        <f t="shared" ca="1" si="65"/>
        <v>13</v>
      </c>
    </row>
    <row r="437" spans="1:19">
      <c r="A437" s="3227" t="s">
        <v>4426</v>
      </c>
      <c r="B437" s="3228">
        <v>30.74</v>
      </c>
      <c r="C437" s="21">
        <f t="shared" si="66"/>
        <v>1</v>
      </c>
      <c r="D437" s="3237" t="s">
        <v>4322</v>
      </c>
      <c r="E437" s="21">
        <f t="shared" si="67"/>
        <v>1.02</v>
      </c>
      <c r="F437" s="635"/>
      <c r="G437" s="21">
        <f t="shared" si="68"/>
        <v>1</v>
      </c>
      <c r="H437" s="635"/>
      <c r="I437" s="21">
        <f t="shared" si="69"/>
        <v>1</v>
      </c>
      <c r="J437" s="635"/>
      <c r="K437" s="21">
        <f t="shared" si="70"/>
        <v>1</v>
      </c>
      <c r="L437" s="635"/>
      <c r="M437" s="21">
        <f t="shared" si="71"/>
        <v>1</v>
      </c>
      <c r="N437" s="635"/>
      <c r="O437" s="21">
        <f t="shared" si="72"/>
        <v>1</v>
      </c>
      <c r="P437" s="635"/>
      <c r="Q437" s="21">
        <f t="shared" si="73"/>
        <v>1</v>
      </c>
      <c r="R437" s="21">
        <f t="shared" ca="1" si="74"/>
        <v>5145</v>
      </c>
      <c r="S437" s="308">
        <f t="shared" ca="1" si="65"/>
        <v>16</v>
      </c>
    </row>
    <row r="438" spans="1:19">
      <c r="A438" s="3227" t="s">
        <v>5591</v>
      </c>
      <c r="B438" s="3228">
        <v>30.74</v>
      </c>
      <c r="C438" s="21">
        <f t="shared" si="66"/>
        <v>1</v>
      </c>
      <c r="D438" s="3237" t="s">
        <v>5487</v>
      </c>
      <c r="E438" s="21">
        <f t="shared" si="67"/>
        <v>1.02</v>
      </c>
      <c r="F438" s="635"/>
      <c r="G438" s="21">
        <f t="shared" si="68"/>
        <v>1</v>
      </c>
      <c r="H438" s="635"/>
      <c r="I438" s="21">
        <f t="shared" si="69"/>
        <v>1</v>
      </c>
      <c r="J438" s="635"/>
      <c r="K438" s="21">
        <f t="shared" si="70"/>
        <v>1</v>
      </c>
      <c r="L438" s="635"/>
      <c r="M438" s="21">
        <f t="shared" si="71"/>
        <v>1</v>
      </c>
      <c r="N438" s="635"/>
      <c r="O438" s="21">
        <f t="shared" si="72"/>
        <v>1</v>
      </c>
      <c r="P438" s="635"/>
      <c r="Q438" s="21">
        <f t="shared" si="73"/>
        <v>1</v>
      </c>
      <c r="R438" s="21">
        <f t="shared" ca="1" si="74"/>
        <v>5145</v>
      </c>
      <c r="S438" s="308">
        <f t="shared" ca="1" si="65"/>
        <v>16</v>
      </c>
    </row>
    <row r="439" spans="1:19">
      <c r="A439" s="3227" t="s">
        <v>4428</v>
      </c>
      <c r="B439" s="3228">
        <v>30.74</v>
      </c>
      <c r="C439" s="21">
        <f t="shared" si="66"/>
        <v>1</v>
      </c>
      <c r="D439" s="3237" t="s">
        <v>4322</v>
      </c>
      <c r="E439" s="21">
        <f t="shared" si="67"/>
        <v>1.02</v>
      </c>
      <c r="F439" s="635"/>
      <c r="G439" s="21">
        <f t="shared" si="68"/>
        <v>1</v>
      </c>
      <c r="H439" s="635"/>
      <c r="I439" s="21">
        <f t="shared" si="69"/>
        <v>1</v>
      </c>
      <c r="J439" s="635"/>
      <c r="K439" s="21">
        <f t="shared" si="70"/>
        <v>1</v>
      </c>
      <c r="L439" s="635"/>
      <c r="M439" s="21">
        <f t="shared" si="71"/>
        <v>1</v>
      </c>
      <c r="N439" s="635"/>
      <c r="O439" s="21">
        <f t="shared" si="72"/>
        <v>1</v>
      </c>
      <c r="P439" s="635"/>
      <c r="Q439" s="21">
        <f t="shared" si="73"/>
        <v>1</v>
      </c>
      <c r="R439" s="21">
        <f t="shared" ca="1" si="74"/>
        <v>5145</v>
      </c>
      <c r="S439" s="308">
        <f t="shared" ca="1" si="65"/>
        <v>16</v>
      </c>
    </row>
    <row r="440" spans="1:19">
      <c r="A440" s="3227" t="s">
        <v>5593</v>
      </c>
      <c r="B440" s="3228">
        <v>32.03</v>
      </c>
      <c r="C440" s="21">
        <f t="shared" si="66"/>
        <v>1</v>
      </c>
      <c r="D440" s="3237" t="s">
        <v>5487</v>
      </c>
      <c r="E440" s="21">
        <f t="shared" si="67"/>
        <v>1.02</v>
      </c>
      <c r="F440" s="635"/>
      <c r="G440" s="21">
        <f t="shared" si="68"/>
        <v>1</v>
      </c>
      <c r="H440" s="635"/>
      <c r="I440" s="21">
        <f t="shared" si="69"/>
        <v>1</v>
      </c>
      <c r="J440" s="635"/>
      <c r="K440" s="21">
        <f t="shared" si="70"/>
        <v>1</v>
      </c>
      <c r="L440" s="635"/>
      <c r="M440" s="21">
        <f t="shared" si="71"/>
        <v>1</v>
      </c>
      <c r="N440" s="635"/>
      <c r="O440" s="21">
        <f t="shared" si="72"/>
        <v>1</v>
      </c>
      <c r="P440" s="635"/>
      <c r="Q440" s="21">
        <f t="shared" si="73"/>
        <v>1</v>
      </c>
      <c r="R440" s="21">
        <f t="shared" ca="1" si="74"/>
        <v>5145</v>
      </c>
      <c r="S440" s="308">
        <f t="shared" ca="1" si="65"/>
        <v>16</v>
      </c>
    </row>
    <row r="441" spans="1:19">
      <c r="A441" s="3227" t="s">
        <v>4430</v>
      </c>
      <c r="B441" s="3228">
        <v>32.03</v>
      </c>
      <c r="C441" s="21">
        <f t="shared" si="66"/>
        <v>1</v>
      </c>
      <c r="D441" s="3239" t="s">
        <v>4330</v>
      </c>
      <c r="E441" s="21">
        <f t="shared" si="67"/>
        <v>1.02</v>
      </c>
      <c r="F441" s="635"/>
      <c r="G441" s="21">
        <f t="shared" si="68"/>
        <v>1</v>
      </c>
      <c r="H441" s="635"/>
      <c r="I441" s="21">
        <f t="shared" si="69"/>
        <v>1</v>
      </c>
      <c r="J441" s="635"/>
      <c r="K441" s="21">
        <f t="shared" si="70"/>
        <v>1</v>
      </c>
      <c r="L441" s="635"/>
      <c r="M441" s="21">
        <f t="shared" si="71"/>
        <v>1</v>
      </c>
      <c r="N441" s="635"/>
      <c r="O441" s="21">
        <f t="shared" si="72"/>
        <v>1</v>
      </c>
      <c r="P441" s="635"/>
      <c r="Q441" s="21">
        <f t="shared" si="73"/>
        <v>1</v>
      </c>
      <c r="R441" s="21">
        <f t="shared" ca="1" si="74"/>
        <v>5145</v>
      </c>
      <c r="S441" s="308">
        <f t="shared" ca="1" si="65"/>
        <v>16</v>
      </c>
    </row>
    <row r="442" spans="1:19">
      <c r="A442" s="3227" t="s">
        <v>5595</v>
      </c>
      <c r="B442" s="3228">
        <v>32.03</v>
      </c>
      <c r="C442" s="21">
        <f t="shared" si="66"/>
        <v>1</v>
      </c>
      <c r="D442" s="3237" t="s">
        <v>5487</v>
      </c>
      <c r="E442" s="21">
        <f t="shared" si="67"/>
        <v>1.02</v>
      </c>
      <c r="F442" s="635"/>
      <c r="G442" s="21">
        <f t="shared" si="68"/>
        <v>1</v>
      </c>
      <c r="H442" s="635"/>
      <c r="I442" s="21">
        <f t="shared" si="69"/>
        <v>1</v>
      </c>
      <c r="J442" s="635"/>
      <c r="K442" s="21">
        <f t="shared" si="70"/>
        <v>1</v>
      </c>
      <c r="L442" s="635"/>
      <c r="M442" s="21">
        <f t="shared" si="71"/>
        <v>1</v>
      </c>
      <c r="N442" s="635"/>
      <c r="O442" s="21">
        <f t="shared" si="72"/>
        <v>1</v>
      </c>
      <c r="P442" s="635"/>
      <c r="Q442" s="21">
        <f t="shared" si="73"/>
        <v>1</v>
      </c>
      <c r="R442" s="21">
        <f t="shared" ca="1" si="74"/>
        <v>5145</v>
      </c>
      <c r="S442" s="308">
        <f t="shared" ca="1" si="65"/>
        <v>16</v>
      </c>
    </row>
    <row r="443" spans="1:19">
      <c r="A443" s="3227" t="s">
        <v>4432</v>
      </c>
      <c r="B443" s="3228">
        <v>30.74</v>
      </c>
      <c r="C443" s="21">
        <f t="shared" si="66"/>
        <v>1</v>
      </c>
      <c r="D443" s="3237" t="s">
        <v>4322</v>
      </c>
      <c r="E443" s="21">
        <f t="shared" si="67"/>
        <v>1.02</v>
      </c>
      <c r="F443" s="635"/>
      <c r="G443" s="21">
        <f t="shared" si="68"/>
        <v>1</v>
      </c>
      <c r="H443" s="635"/>
      <c r="I443" s="21">
        <f t="shared" si="69"/>
        <v>1</v>
      </c>
      <c r="J443" s="635"/>
      <c r="K443" s="21">
        <f t="shared" si="70"/>
        <v>1</v>
      </c>
      <c r="L443" s="635"/>
      <c r="M443" s="21">
        <f t="shared" si="71"/>
        <v>1</v>
      </c>
      <c r="N443" s="635"/>
      <c r="O443" s="21">
        <f t="shared" si="72"/>
        <v>1</v>
      </c>
      <c r="P443" s="635"/>
      <c r="Q443" s="21">
        <f t="shared" si="73"/>
        <v>1</v>
      </c>
      <c r="R443" s="21">
        <f t="shared" ca="1" si="74"/>
        <v>5145</v>
      </c>
      <c r="S443" s="308">
        <f t="shared" ca="1" si="65"/>
        <v>16</v>
      </c>
    </row>
    <row r="444" spans="1:19">
      <c r="A444" s="3227" t="s">
        <v>5597</v>
      </c>
      <c r="B444" s="3228">
        <v>30.74</v>
      </c>
      <c r="C444" s="21">
        <f t="shared" si="66"/>
        <v>1</v>
      </c>
      <c r="D444" s="3237" t="s">
        <v>5487</v>
      </c>
      <c r="E444" s="21">
        <f t="shared" si="67"/>
        <v>1.02</v>
      </c>
      <c r="F444" s="635"/>
      <c r="G444" s="21">
        <f t="shared" si="68"/>
        <v>1</v>
      </c>
      <c r="H444" s="635"/>
      <c r="I444" s="21">
        <f t="shared" si="69"/>
        <v>1</v>
      </c>
      <c r="J444" s="635"/>
      <c r="K444" s="21">
        <f t="shared" si="70"/>
        <v>1</v>
      </c>
      <c r="L444" s="635"/>
      <c r="M444" s="21">
        <f t="shared" si="71"/>
        <v>1</v>
      </c>
      <c r="N444" s="635"/>
      <c r="O444" s="21">
        <f t="shared" si="72"/>
        <v>1</v>
      </c>
      <c r="P444" s="635"/>
      <c r="Q444" s="21">
        <f t="shared" si="73"/>
        <v>1</v>
      </c>
      <c r="R444" s="21">
        <f t="shared" ca="1" si="74"/>
        <v>5145</v>
      </c>
      <c r="S444" s="308">
        <f t="shared" ca="1" si="65"/>
        <v>16</v>
      </c>
    </row>
    <row r="445" spans="1:19">
      <c r="A445" s="3227" t="s">
        <v>4434</v>
      </c>
      <c r="B445" s="3228">
        <v>30.74</v>
      </c>
      <c r="C445" s="21">
        <f t="shared" si="66"/>
        <v>1</v>
      </c>
      <c r="D445" s="3237" t="s">
        <v>4322</v>
      </c>
      <c r="E445" s="21">
        <f t="shared" si="67"/>
        <v>1.02</v>
      </c>
      <c r="F445" s="635"/>
      <c r="G445" s="21">
        <f t="shared" si="68"/>
        <v>1</v>
      </c>
      <c r="H445" s="635"/>
      <c r="I445" s="21">
        <f t="shared" si="69"/>
        <v>1</v>
      </c>
      <c r="J445" s="635"/>
      <c r="K445" s="21">
        <f t="shared" si="70"/>
        <v>1</v>
      </c>
      <c r="L445" s="635"/>
      <c r="M445" s="21">
        <f t="shared" si="71"/>
        <v>1</v>
      </c>
      <c r="N445" s="635"/>
      <c r="O445" s="21">
        <f t="shared" si="72"/>
        <v>1</v>
      </c>
      <c r="P445" s="635"/>
      <c r="Q445" s="21">
        <f t="shared" si="73"/>
        <v>1</v>
      </c>
      <c r="R445" s="21">
        <f t="shared" ca="1" si="74"/>
        <v>5145</v>
      </c>
      <c r="S445" s="308">
        <f t="shared" ca="1" si="65"/>
        <v>16</v>
      </c>
    </row>
    <row r="446" spans="1:19">
      <c r="A446" s="3227" t="s">
        <v>5599</v>
      </c>
      <c r="B446" s="3228">
        <v>30.74</v>
      </c>
      <c r="C446" s="21">
        <f t="shared" si="66"/>
        <v>1</v>
      </c>
      <c r="D446" s="3237" t="s">
        <v>5487</v>
      </c>
      <c r="E446" s="21">
        <f t="shared" si="67"/>
        <v>1.02</v>
      </c>
      <c r="F446" s="635"/>
      <c r="G446" s="21">
        <f t="shared" si="68"/>
        <v>1</v>
      </c>
      <c r="H446" s="635"/>
      <c r="I446" s="21">
        <f t="shared" si="69"/>
        <v>1</v>
      </c>
      <c r="J446" s="635"/>
      <c r="K446" s="21">
        <f t="shared" si="70"/>
        <v>1</v>
      </c>
      <c r="L446" s="635"/>
      <c r="M446" s="21">
        <f t="shared" si="71"/>
        <v>1</v>
      </c>
      <c r="N446" s="635"/>
      <c r="O446" s="21">
        <f t="shared" si="72"/>
        <v>1</v>
      </c>
      <c r="P446" s="635"/>
      <c r="Q446" s="21">
        <f t="shared" si="73"/>
        <v>1</v>
      </c>
      <c r="R446" s="21">
        <f t="shared" ca="1" si="74"/>
        <v>5145</v>
      </c>
      <c r="S446" s="308">
        <f t="shared" ca="1" si="65"/>
        <v>16</v>
      </c>
    </row>
    <row r="447" spans="1:19">
      <c r="A447" s="3227" t="s">
        <v>4436</v>
      </c>
      <c r="B447" s="3228">
        <v>30.74</v>
      </c>
      <c r="C447" s="21">
        <f t="shared" si="66"/>
        <v>1</v>
      </c>
      <c r="D447" s="3237" t="s">
        <v>4322</v>
      </c>
      <c r="E447" s="21">
        <f t="shared" si="67"/>
        <v>1.02</v>
      </c>
      <c r="F447" s="635"/>
      <c r="G447" s="21">
        <f t="shared" si="68"/>
        <v>1</v>
      </c>
      <c r="H447" s="635"/>
      <c r="I447" s="21">
        <f t="shared" si="69"/>
        <v>1</v>
      </c>
      <c r="J447" s="635"/>
      <c r="K447" s="21">
        <f t="shared" si="70"/>
        <v>1</v>
      </c>
      <c r="L447" s="635"/>
      <c r="M447" s="21">
        <f t="shared" si="71"/>
        <v>1</v>
      </c>
      <c r="N447" s="635"/>
      <c r="O447" s="21">
        <f t="shared" si="72"/>
        <v>1</v>
      </c>
      <c r="P447" s="635"/>
      <c r="Q447" s="21">
        <f t="shared" si="73"/>
        <v>1</v>
      </c>
      <c r="R447" s="21">
        <f t="shared" ca="1" si="74"/>
        <v>5145</v>
      </c>
      <c r="S447" s="308">
        <f t="shared" ca="1" si="65"/>
        <v>16</v>
      </c>
    </row>
    <row r="448" spans="1:19">
      <c r="A448" s="3227" t="s">
        <v>5601</v>
      </c>
      <c r="B448" s="3228">
        <v>30.74</v>
      </c>
      <c r="C448" s="21">
        <f t="shared" si="66"/>
        <v>1</v>
      </c>
      <c r="D448" s="3237" t="s">
        <v>5487</v>
      </c>
      <c r="E448" s="21">
        <f t="shared" si="67"/>
        <v>1.02</v>
      </c>
      <c r="F448" s="635"/>
      <c r="G448" s="21">
        <f t="shared" si="68"/>
        <v>1</v>
      </c>
      <c r="H448" s="635"/>
      <c r="I448" s="21">
        <f t="shared" si="69"/>
        <v>1</v>
      </c>
      <c r="J448" s="635"/>
      <c r="K448" s="21">
        <f t="shared" si="70"/>
        <v>1</v>
      </c>
      <c r="L448" s="635"/>
      <c r="M448" s="21">
        <f t="shared" si="71"/>
        <v>1</v>
      </c>
      <c r="N448" s="635"/>
      <c r="O448" s="21">
        <f t="shared" si="72"/>
        <v>1</v>
      </c>
      <c r="P448" s="635"/>
      <c r="Q448" s="21">
        <f t="shared" si="73"/>
        <v>1</v>
      </c>
      <c r="R448" s="21">
        <f t="shared" ca="1" si="74"/>
        <v>5145</v>
      </c>
      <c r="S448" s="308">
        <f t="shared" ca="1" si="65"/>
        <v>16</v>
      </c>
    </row>
    <row r="449" spans="1:19">
      <c r="A449" s="3227" t="s">
        <v>4438</v>
      </c>
      <c r="B449" s="3228">
        <v>30.74</v>
      </c>
      <c r="C449" s="21">
        <f t="shared" si="66"/>
        <v>1</v>
      </c>
      <c r="D449" s="3237" t="s">
        <v>4322</v>
      </c>
      <c r="E449" s="21">
        <f t="shared" si="67"/>
        <v>1.02</v>
      </c>
      <c r="F449" s="635"/>
      <c r="G449" s="21">
        <f t="shared" si="68"/>
        <v>1</v>
      </c>
      <c r="H449" s="635"/>
      <c r="I449" s="21">
        <f t="shared" si="69"/>
        <v>1</v>
      </c>
      <c r="J449" s="635"/>
      <c r="K449" s="21">
        <f t="shared" si="70"/>
        <v>1</v>
      </c>
      <c r="L449" s="635"/>
      <c r="M449" s="21">
        <f t="shared" si="71"/>
        <v>1</v>
      </c>
      <c r="N449" s="635"/>
      <c r="O449" s="21">
        <f t="shared" si="72"/>
        <v>1</v>
      </c>
      <c r="P449" s="635"/>
      <c r="Q449" s="21">
        <f t="shared" si="73"/>
        <v>1</v>
      </c>
      <c r="R449" s="21">
        <f t="shared" ca="1" si="74"/>
        <v>5145</v>
      </c>
      <c r="S449" s="308">
        <f t="shared" ca="1" si="65"/>
        <v>16</v>
      </c>
    </row>
    <row r="450" spans="1:19">
      <c r="A450" s="3227" t="s">
        <v>5603</v>
      </c>
      <c r="B450" s="3228">
        <v>30.74</v>
      </c>
      <c r="C450" s="21">
        <f t="shared" si="66"/>
        <v>1</v>
      </c>
      <c r="D450" s="3237" t="s">
        <v>5487</v>
      </c>
      <c r="E450" s="21">
        <f t="shared" si="67"/>
        <v>1.02</v>
      </c>
      <c r="F450" s="635"/>
      <c r="G450" s="21">
        <f t="shared" si="68"/>
        <v>1</v>
      </c>
      <c r="H450" s="635"/>
      <c r="I450" s="21">
        <f t="shared" si="69"/>
        <v>1</v>
      </c>
      <c r="J450" s="635"/>
      <c r="K450" s="21">
        <f t="shared" si="70"/>
        <v>1</v>
      </c>
      <c r="L450" s="635"/>
      <c r="M450" s="21">
        <f t="shared" si="71"/>
        <v>1</v>
      </c>
      <c r="N450" s="635"/>
      <c r="O450" s="21">
        <f t="shared" si="72"/>
        <v>1</v>
      </c>
      <c r="P450" s="635"/>
      <c r="Q450" s="21">
        <f t="shared" si="73"/>
        <v>1</v>
      </c>
      <c r="R450" s="21">
        <f t="shared" ca="1" si="74"/>
        <v>5145</v>
      </c>
      <c r="S450" s="308">
        <f t="shared" ca="1" si="65"/>
        <v>16</v>
      </c>
    </row>
    <row r="451" spans="1:19">
      <c r="A451" s="3227" t="s">
        <v>4440</v>
      </c>
      <c r="B451" s="3228">
        <v>30.74</v>
      </c>
      <c r="C451" s="21">
        <f t="shared" si="66"/>
        <v>1</v>
      </c>
      <c r="D451" s="3237" t="s">
        <v>4322</v>
      </c>
      <c r="E451" s="21">
        <f t="shared" si="67"/>
        <v>1.02</v>
      </c>
      <c r="F451" s="635"/>
      <c r="G451" s="21">
        <f t="shared" si="68"/>
        <v>1</v>
      </c>
      <c r="H451" s="635"/>
      <c r="I451" s="21">
        <f t="shared" si="69"/>
        <v>1</v>
      </c>
      <c r="J451" s="635"/>
      <c r="K451" s="21">
        <f t="shared" si="70"/>
        <v>1</v>
      </c>
      <c r="L451" s="635"/>
      <c r="M451" s="21">
        <f t="shared" si="71"/>
        <v>1</v>
      </c>
      <c r="N451" s="635"/>
      <c r="O451" s="21">
        <f t="shared" si="72"/>
        <v>1</v>
      </c>
      <c r="P451" s="635"/>
      <c r="Q451" s="21">
        <f t="shared" si="73"/>
        <v>1</v>
      </c>
      <c r="R451" s="21">
        <f t="shared" ca="1" si="74"/>
        <v>5145</v>
      </c>
      <c r="S451" s="308">
        <f t="shared" ca="1" si="65"/>
        <v>16</v>
      </c>
    </row>
    <row r="452" spans="1:19">
      <c r="A452" s="3227" t="s">
        <v>5605</v>
      </c>
      <c r="B452" s="3228">
        <v>30.74</v>
      </c>
      <c r="C452" s="21">
        <f t="shared" si="66"/>
        <v>1</v>
      </c>
      <c r="D452" s="3237" t="s">
        <v>5487</v>
      </c>
      <c r="E452" s="21">
        <f t="shared" si="67"/>
        <v>1.02</v>
      </c>
      <c r="F452" s="635"/>
      <c r="G452" s="21">
        <f t="shared" si="68"/>
        <v>1</v>
      </c>
      <c r="H452" s="635"/>
      <c r="I452" s="21">
        <f t="shared" si="69"/>
        <v>1</v>
      </c>
      <c r="J452" s="635"/>
      <c r="K452" s="21">
        <f t="shared" si="70"/>
        <v>1</v>
      </c>
      <c r="L452" s="635"/>
      <c r="M452" s="21">
        <f t="shared" si="71"/>
        <v>1</v>
      </c>
      <c r="N452" s="635"/>
      <c r="O452" s="21">
        <f t="shared" si="72"/>
        <v>1</v>
      </c>
      <c r="P452" s="635"/>
      <c r="Q452" s="21">
        <f t="shared" si="73"/>
        <v>1</v>
      </c>
      <c r="R452" s="21">
        <f t="shared" ca="1" si="74"/>
        <v>5145</v>
      </c>
      <c r="S452" s="308">
        <f t="shared" ca="1" si="65"/>
        <v>16</v>
      </c>
    </row>
    <row r="453" spans="1:19">
      <c r="A453" s="3227" t="s">
        <v>4442</v>
      </c>
      <c r="B453" s="3228">
        <v>30.74</v>
      </c>
      <c r="C453" s="21">
        <f t="shared" si="66"/>
        <v>1</v>
      </c>
      <c r="D453" s="3237" t="s">
        <v>4322</v>
      </c>
      <c r="E453" s="21">
        <f t="shared" si="67"/>
        <v>1.02</v>
      </c>
      <c r="F453" s="635"/>
      <c r="G453" s="21">
        <f t="shared" si="68"/>
        <v>1</v>
      </c>
      <c r="H453" s="635"/>
      <c r="I453" s="21">
        <f t="shared" si="69"/>
        <v>1</v>
      </c>
      <c r="J453" s="635"/>
      <c r="K453" s="21">
        <f t="shared" si="70"/>
        <v>1</v>
      </c>
      <c r="L453" s="635"/>
      <c r="M453" s="21">
        <f t="shared" si="71"/>
        <v>1</v>
      </c>
      <c r="N453" s="635"/>
      <c r="O453" s="21">
        <f t="shared" si="72"/>
        <v>1</v>
      </c>
      <c r="P453" s="635"/>
      <c r="Q453" s="21">
        <f t="shared" si="73"/>
        <v>1</v>
      </c>
      <c r="R453" s="21">
        <f t="shared" ca="1" si="74"/>
        <v>5145</v>
      </c>
      <c r="S453" s="308">
        <f t="shared" ca="1" si="65"/>
        <v>16</v>
      </c>
    </row>
    <row r="454" spans="1:19">
      <c r="A454" s="3227" t="s">
        <v>5607</v>
      </c>
      <c r="B454" s="3228">
        <v>29.47</v>
      </c>
      <c r="C454" s="21">
        <f t="shared" si="66"/>
        <v>1</v>
      </c>
      <c r="D454" s="3237" t="s">
        <v>5487</v>
      </c>
      <c r="E454" s="21">
        <f t="shared" si="67"/>
        <v>1.02</v>
      </c>
      <c r="F454" s="635"/>
      <c r="G454" s="21">
        <f t="shared" si="68"/>
        <v>1</v>
      </c>
      <c r="H454" s="635"/>
      <c r="I454" s="21">
        <f t="shared" si="69"/>
        <v>1</v>
      </c>
      <c r="J454" s="635"/>
      <c r="K454" s="21">
        <f t="shared" si="70"/>
        <v>1</v>
      </c>
      <c r="L454" s="635"/>
      <c r="M454" s="21">
        <f t="shared" si="71"/>
        <v>1</v>
      </c>
      <c r="N454" s="635"/>
      <c r="O454" s="21">
        <f t="shared" si="72"/>
        <v>1</v>
      </c>
      <c r="P454" s="635"/>
      <c r="Q454" s="21">
        <f t="shared" si="73"/>
        <v>1</v>
      </c>
      <c r="R454" s="21">
        <f t="shared" ca="1" si="74"/>
        <v>5145</v>
      </c>
      <c r="S454" s="308">
        <f t="shared" ca="1" si="65"/>
        <v>15</v>
      </c>
    </row>
    <row r="455" spans="1:19">
      <c r="A455" s="3227" t="s">
        <v>4444</v>
      </c>
      <c r="B455" s="3228">
        <v>29.47</v>
      </c>
      <c r="C455" s="21">
        <f t="shared" si="66"/>
        <v>1</v>
      </c>
      <c r="D455" s="3239" t="s">
        <v>4330</v>
      </c>
      <c r="E455" s="21">
        <f t="shared" si="67"/>
        <v>1.02</v>
      </c>
      <c r="F455" s="635"/>
      <c r="G455" s="21">
        <f t="shared" si="68"/>
        <v>1</v>
      </c>
      <c r="H455" s="635"/>
      <c r="I455" s="21">
        <f t="shared" si="69"/>
        <v>1</v>
      </c>
      <c r="J455" s="635"/>
      <c r="K455" s="21">
        <f t="shared" si="70"/>
        <v>1</v>
      </c>
      <c r="L455" s="635"/>
      <c r="M455" s="21">
        <f t="shared" si="71"/>
        <v>1</v>
      </c>
      <c r="N455" s="635"/>
      <c r="O455" s="21">
        <f t="shared" si="72"/>
        <v>1</v>
      </c>
      <c r="P455" s="635"/>
      <c r="Q455" s="21">
        <f t="shared" si="73"/>
        <v>1</v>
      </c>
      <c r="R455" s="21">
        <f t="shared" ca="1" si="74"/>
        <v>5145</v>
      </c>
      <c r="S455" s="308">
        <f t="shared" ca="1" si="65"/>
        <v>15</v>
      </c>
    </row>
    <row r="456" spans="1:19">
      <c r="A456" s="3227" t="s">
        <v>5609</v>
      </c>
      <c r="B456" s="3228">
        <v>29.47</v>
      </c>
      <c r="C456" s="21">
        <f t="shared" si="66"/>
        <v>1</v>
      </c>
      <c r="D456" s="3239" t="s">
        <v>5494</v>
      </c>
      <c r="E456" s="21">
        <f t="shared" si="67"/>
        <v>1.02</v>
      </c>
      <c r="F456" s="635"/>
      <c r="G456" s="21">
        <f t="shared" si="68"/>
        <v>1</v>
      </c>
      <c r="H456" s="635"/>
      <c r="I456" s="21">
        <f t="shared" si="69"/>
        <v>1</v>
      </c>
      <c r="J456" s="635"/>
      <c r="K456" s="21">
        <f t="shared" si="70"/>
        <v>1</v>
      </c>
      <c r="L456" s="635"/>
      <c r="M456" s="21">
        <f t="shared" si="71"/>
        <v>1</v>
      </c>
      <c r="N456" s="635"/>
      <c r="O456" s="21">
        <f t="shared" si="72"/>
        <v>1</v>
      </c>
      <c r="P456" s="635"/>
      <c r="Q456" s="21">
        <f t="shared" si="73"/>
        <v>1</v>
      </c>
      <c r="R456" s="21">
        <f t="shared" ca="1" si="74"/>
        <v>5145</v>
      </c>
      <c r="S456" s="308">
        <f t="shared" ca="1" si="65"/>
        <v>15</v>
      </c>
    </row>
    <row r="457" spans="1:19">
      <c r="A457" s="3227" t="s">
        <v>4446</v>
      </c>
      <c r="B457" s="3228">
        <v>29.47</v>
      </c>
      <c r="C457" s="21">
        <f t="shared" si="66"/>
        <v>1</v>
      </c>
      <c r="D457" s="3237" t="s">
        <v>4322</v>
      </c>
      <c r="E457" s="21">
        <f t="shared" si="67"/>
        <v>1.02</v>
      </c>
      <c r="F457" s="635"/>
      <c r="G457" s="21">
        <f t="shared" si="68"/>
        <v>1</v>
      </c>
      <c r="H457" s="635"/>
      <c r="I457" s="21">
        <f t="shared" si="69"/>
        <v>1</v>
      </c>
      <c r="J457" s="635"/>
      <c r="K457" s="21">
        <f t="shared" si="70"/>
        <v>1</v>
      </c>
      <c r="L457" s="635"/>
      <c r="M457" s="21">
        <f t="shared" si="71"/>
        <v>1</v>
      </c>
      <c r="N457" s="635"/>
      <c r="O457" s="21">
        <f t="shared" si="72"/>
        <v>1</v>
      </c>
      <c r="P457" s="635"/>
      <c r="Q457" s="21">
        <f t="shared" si="73"/>
        <v>1</v>
      </c>
      <c r="R457" s="21">
        <f t="shared" ca="1" si="74"/>
        <v>5145</v>
      </c>
      <c r="S457" s="308">
        <f t="shared" ca="1" si="65"/>
        <v>15</v>
      </c>
    </row>
    <row r="458" spans="1:19">
      <c r="A458" s="3227" t="s">
        <v>5611</v>
      </c>
      <c r="B458" s="3228">
        <v>29.47</v>
      </c>
      <c r="C458" s="21">
        <f t="shared" si="66"/>
        <v>1</v>
      </c>
      <c r="D458" s="3237" t="s">
        <v>5487</v>
      </c>
      <c r="E458" s="21">
        <f t="shared" si="67"/>
        <v>1.02</v>
      </c>
      <c r="F458" s="635"/>
      <c r="G458" s="21">
        <f t="shared" si="68"/>
        <v>1</v>
      </c>
      <c r="H458" s="635"/>
      <c r="I458" s="21">
        <f t="shared" si="69"/>
        <v>1</v>
      </c>
      <c r="J458" s="635"/>
      <c r="K458" s="21">
        <f t="shared" si="70"/>
        <v>1</v>
      </c>
      <c r="L458" s="635"/>
      <c r="M458" s="21">
        <f t="shared" si="71"/>
        <v>1</v>
      </c>
      <c r="N458" s="635"/>
      <c r="O458" s="21">
        <f t="shared" si="72"/>
        <v>1</v>
      </c>
      <c r="P458" s="635"/>
      <c r="Q458" s="21">
        <f t="shared" si="73"/>
        <v>1</v>
      </c>
      <c r="R458" s="21">
        <f t="shared" ca="1" si="74"/>
        <v>5145</v>
      </c>
      <c r="S458" s="308">
        <f t="shared" ca="1" si="65"/>
        <v>15</v>
      </c>
    </row>
    <row r="459" spans="1:19">
      <c r="A459" s="3227" t="s">
        <v>4448</v>
      </c>
      <c r="B459" s="3228">
        <v>29.47</v>
      </c>
      <c r="C459" s="21">
        <f t="shared" si="66"/>
        <v>1</v>
      </c>
      <c r="D459" s="3239" t="s">
        <v>4330</v>
      </c>
      <c r="E459" s="21">
        <f t="shared" si="67"/>
        <v>1.02</v>
      </c>
      <c r="F459" s="635"/>
      <c r="G459" s="21">
        <f t="shared" si="68"/>
        <v>1</v>
      </c>
      <c r="H459" s="635"/>
      <c r="I459" s="21">
        <f t="shared" si="69"/>
        <v>1</v>
      </c>
      <c r="J459" s="635"/>
      <c r="K459" s="21">
        <f t="shared" si="70"/>
        <v>1</v>
      </c>
      <c r="L459" s="635"/>
      <c r="M459" s="21">
        <f t="shared" si="71"/>
        <v>1</v>
      </c>
      <c r="N459" s="635"/>
      <c r="O459" s="21">
        <f t="shared" si="72"/>
        <v>1</v>
      </c>
      <c r="P459" s="635"/>
      <c r="Q459" s="21">
        <f t="shared" si="73"/>
        <v>1</v>
      </c>
      <c r="R459" s="21">
        <f t="shared" ca="1" si="74"/>
        <v>5145</v>
      </c>
      <c r="S459" s="308">
        <f t="shared" ca="1" si="65"/>
        <v>15</v>
      </c>
    </row>
    <row r="460" spans="1:19">
      <c r="A460" s="3227" t="s">
        <v>5613</v>
      </c>
      <c r="B460" s="3228">
        <v>29.47</v>
      </c>
      <c r="C460" s="21">
        <f t="shared" si="66"/>
        <v>1</v>
      </c>
      <c r="D460" s="3239" t="s">
        <v>5494</v>
      </c>
      <c r="E460" s="21">
        <f t="shared" si="67"/>
        <v>1.02</v>
      </c>
      <c r="F460" s="635"/>
      <c r="G460" s="21">
        <f t="shared" si="68"/>
        <v>1</v>
      </c>
      <c r="H460" s="635"/>
      <c r="I460" s="21">
        <f t="shared" si="69"/>
        <v>1</v>
      </c>
      <c r="J460" s="635"/>
      <c r="K460" s="21">
        <f t="shared" si="70"/>
        <v>1</v>
      </c>
      <c r="L460" s="635"/>
      <c r="M460" s="21">
        <f t="shared" si="71"/>
        <v>1</v>
      </c>
      <c r="N460" s="635"/>
      <c r="O460" s="21">
        <f t="shared" si="72"/>
        <v>1</v>
      </c>
      <c r="P460" s="635"/>
      <c r="Q460" s="21">
        <f t="shared" si="73"/>
        <v>1</v>
      </c>
      <c r="R460" s="21">
        <f t="shared" ca="1" si="74"/>
        <v>5145</v>
      </c>
      <c r="S460" s="308">
        <f t="shared" ca="1" si="65"/>
        <v>15</v>
      </c>
    </row>
    <row r="461" spans="1:19">
      <c r="A461" s="3227" t="s">
        <v>4450</v>
      </c>
      <c r="B461" s="3228">
        <v>29.47</v>
      </c>
      <c r="C461" s="21">
        <f t="shared" si="66"/>
        <v>1</v>
      </c>
      <c r="D461" s="3237" t="s">
        <v>4322</v>
      </c>
      <c r="E461" s="21">
        <f t="shared" si="67"/>
        <v>1.02</v>
      </c>
      <c r="F461" s="635"/>
      <c r="G461" s="21">
        <f t="shared" si="68"/>
        <v>1</v>
      </c>
      <c r="H461" s="635"/>
      <c r="I461" s="21">
        <f t="shared" si="69"/>
        <v>1</v>
      </c>
      <c r="J461" s="635"/>
      <c r="K461" s="21">
        <f t="shared" si="70"/>
        <v>1</v>
      </c>
      <c r="L461" s="635"/>
      <c r="M461" s="21">
        <f t="shared" si="71"/>
        <v>1</v>
      </c>
      <c r="N461" s="635"/>
      <c r="O461" s="21">
        <f t="shared" si="72"/>
        <v>1</v>
      </c>
      <c r="P461" s="635"/>
      <c r="Q461" s="21">
        <f t="shared" si="73"/>
        <v>1</v>
      </c>
      <c r="R461" s="21">
        <f t="shared" ca="1" si="74"/>
        <v>5145</v>
      </c>
      <c r="S461" s="308">
        <f t="shared" ca="1" si="65"/>
        <v>15</v>
      </c>
    </row>
    <row r="462" spans="1:19">
      <c r="A462" s="3227" t="s">
        <v>5615</v>
      </c>
      <c r="B462" s="3228">
        <v>29.47</v>
      </c>
      <c r="C462" s="21">
        <f t="shared" si="66"/>
        <v>1</v>
      </c>
      <c r="D462" s="3237" t="s">
        <v>5487</v>
      </c>
      <c r="E462" s="21">
        <f t="shared" si="67"/>
        <v>1.02</v>
      </c>
      <c r="F462" s="635"/>
      <c r="G462" s="21">
        <f t="shared" si="68"/>
        <v>1</v>
      </c>
      <c r="H462" s="635"/>
      <c r="I462" s="21">
        <f t="shared" si="69"/>
        <v>1</v>
      </c>
      <c r="J462" s="635"/>
      <c r="K462" s="21">
        <f t="shared" si="70"/>
        <v>1</v>
      </c>
      <c r="L462" s="635"/>
      <c r="M462" s="21">
        <f t="shared" si="71"/>
        <v>1</v>
      </c>
      <c r="N462" s="635"/>
      <c r="O462" s="21">
        <f t="shared" si="72"/>
        <v>1</v>
      </c>
      <c r="P462" s="635"/>
      <c r="Q462" s="21">
        <f t="shared" si="73"/>
        <v>1</v>
      </c>
      <c r="R462" s="21">
        <f t="shared" ca="1" si="74"/>
        <v>5145</v>
      </c>
      <c r="S462" s="308">
        <f t="shared" ca="1" si="65"/>
        <v>15</v>
      </c>
    </row>
    <row r="463" spans="1:19">
      <c r="A463" s="3227" t="s">
        <v>4452</v>
      </c>
      <c r="B463" s="3228">
        <v>29.47</v>
      </c>
      <c r="C463" s="21">
        <f t="shared" si="66"/>
        <v>1</v>
      </c>
      <c r="D463" s="3237" t="s">
        <v>4322</v>
      </c>
      <c r="E463" s="21">
        <f t="shared" si="67"/>
        <v>1.02</v>
      </c>
      <c r="F463" s="635"/>
      <c r="G463" s="21">
        <f t="shared" si="68"/>
        <v>1</v>
      </c>
      <c r="H463" s="635"/>
      <c r="I463" s="21">
        <f t="shared" si="69"/>
        <v>1</v>
      </c>
      <c r="J463" s="635"/>
      <c r="K463" s="21">
        <f t="shared" si="70"/>
        <v>1</v>
      </c>
      <c r="L463" s="635"/>
      <c r="M463" s="21">
        <f t="shared" si="71"/>
        <v>1</v>
      </c>
      <c r="N463" s="635"/>
      <c r="O463" s="21">
        <f t="shared" si="72"/>
        <v>1</v>
      </c>
      <c r="P463" s="635"/>
      <c r="Q463" s="21">
        <f t="shared" si="73"/>
        <v>1</v>
      </c>
      <c r="R463" s="21">
        <f t="shared" ca="1" si="74"/>
        <v>5145</v>
      </c>
      <c r="S463" s="308">
        <f t="shared" ca="1" si="65"/>
        <v>15</v>
      </c>
    </row>
    <row r="464" spans="1:19">
      <c r="A464" s="3227" t="s">
        <v>5617</v>
      </c>
      <c r="B464" s="3228">
        <v>28.18</v>
      </c>
      <c r="C464" s="21">
        <f t="shared" si="66"/>
        <v>1</v>
      </c>
      <c r="D464" s="3237" t="s">
        <v>5487</v>
      </c>
      <c r="E464" s="21">
        <f t="shared" si="67"/>
        <v>1.02</v>
      </c>
      <c r="F464" s="635"/>
      <c r="G464" s="21">
        <f t="shared" si="68"/>
        <v>1</v>
      </c>
      <c r="H464" s="635"/>
      <c r="I464" s="21">
        <f t="shared" si="69"/>
        <v>1</v>
      </c>
      <c r="J464" s="635"/>
      <c r="K464" s="21">
        <f t="shared" si="70"/>
        <v>1</v>
      </c>
      <c r="L464" s="635"/>
      <c r="M464" s="21">
        <f t="shared" si="71"/>
        <v>1</v>
      </c>
      <c r="N464" s="635"/>
      <c r="O464" s="21">
        <f t="shared" si="72"/>
        <v>1</v>
      </c>
      <c r="P464" s="635"/>
      <c r="Q464" s="21">
        <f t="shared" si="73"/>
        <v>1</v>
      </c>
      <c r="R464" s="21">
        <f t="shared" ca="1" si="74"/>
        <v>5145</v>
      </c>
      <c r="S464" s="308">
        <f t="shared" ca="1" si="65"/>
        <v>14</v>
      </c>
    </row>
    <row r="465" spans="1:19">
      <c r="A465" s="3227" t="s">
        <v>4454</v>
      </c>
      <c r="B465" s="3228">
        <v>28.18</v>
      </c>
      <c r="C465" s="21">
        <f t="shared" si="66"/>
        <v>1</v>
      </c>
      <c r="D465" s="3237" t="s">
        <v>4322</v>
      </c>
      <c r="E465" s="21">
        <f t="shared" si="67"/>
        <v>1.02</v>
      </c>
      <c r="F465" s="635"/>
      <c r="G465" s="21">
        <f t="shared" si="68"/>
        <v>1</v>
      </c>
      <c r="H465" s="635"/>
      <c r="I465" s="21">
        <f t="shared" si="69"/>
        <v>1</v>
      </c>
      <c r="J465" s="635"/>
      <c r="K465" s="21">
        <f t="shared" si="70"/>
        <v>1</v>
      </c>
      <c r="L465" s="635"/>
      <c r="M465" s="21">
        <f t="shared" si="71"/>
        <v>1</v>
      </c>
      <c r="N465" s="635"/>
      <c r="O465" s="21">
        <f t="shared" si="72"/>
        <v>1</v>
      </c>
      <c r="P465" s="635"/>
      <c r="Q465" s="21">
        <f t="shared" si="73"/>
        <v>1</v>
      </c>
      <c r="R465" s="21">
        <f t="shared" ca="1" si="74"/>
        <v>5145</v>
      </c>
      <c r="S465" s="308">
        <f t="shared" ca="1" si="65"/>
        <v>14</v>
      </c>
    </row>
    <row r="466" spans="1:19">
      <c r="A466" s="3227" t="s">
        <v>5619</v>
      </c>
      <c r="B466" s="3228">
        <v>29.47</v>
      </c>
      <c r="C466" s="21">
        <f t="shared" si="66"/>
        <v>1</v>
      </c>
      <c r="D466" s="3237" t="s">
        <v>5487</v>
      </c>
      <c r="E466" s="21">
        <f t="shared" si="67"/>
        <v>1.02</v>
      </c>
      <c r="F466" s="635"/>
      <c r="G466" s="21">
        <f t="shared" si="68"/>
        <v>1</v>
      </c>
      <c r="H466" s="635"/>
      <c r="I466" s="21">
        <f t="shared" si="69"/>
        <v>1</v>
      </c>
      <c r="J466" s="635"/>
      <c r="K466" s="21">
        <f t="shared" si="70"/>
        <v>1</v>
      </c>
      <c r="L466" s="635"/>
      <c r="M466" s="21">
        <f t="shared" si="71"/>
        <v>1</v>
      </c>
      <c r="N466" s="635"/>
      <c r="O466" s="21">
        <f t="shared" si="72"/>
        <v>1</v>
      </c>
      <c r="P466" s="635"/>
      <c r="Q466" s="21">
        <f t="shared" si="73"/>
        <v>1</v>
      </c>
      <c r="R466" s="21">
        <f t="shared" ca="1" si="74"/>
        <v>5145</v>
      </c>
      <c r="S466" s="308">
        <f t="shared" ca="1" si="65"/>
        <v>15</v>
      </c>
    </row>
    <row r="467" spans="1:19">
      <c r="A467" s="3227" t="s">
        <v>4456</v>
      </c>
      <c r="B467" s="3228">
        <v>29.47</v>
      </c>
      <c r="C467" s="21">
        <f t="shared" si="66"/>
        <v>1</v>
      </c>
      <c r="D467" s="3237" t="s">
        <v>4322</v>
      </c>
      <c r="E467" s="21">
        <f t="shared" si="67"/>
        <v>1.02</v>
      </c>
      <c r="F467" s="635"/>
      <c r="G467" s="21">
        <f t="shared" si="68"/>
        <v>1</v>
      </c>
      <c r="H467" s="635"/>
      <c r="I467" s="21">
        <f t="shared" si="69"/>
        <v>1</v>
      </c>
      <c r="J467" s="635"/>
      <c r="K467" s="21">
        <f t="shared" si="70"/>
        <v>1</v>
      </c>
      <c r="L467" s="635"/>
      <c r="M467" s="21">
        <f t="shared" si="71"/>
        <v>1</v>
      </c>
      <c r="N467" s="635"/>
      <c r="O467" s="21">
        <f t="shared" si="72"/>
        <v>1</v>
      </c>
      <c r="P467" s="635"/>
      <c r="Q467" s="21">
        <f t="shared" si="73"/>
        <v>1</v>
      </c>
      <c r="R467" s="21">
        <f t="shared" ca="1" si="74"/>
        <v>5145</v>
      </c>
      <c r="S467" s="308">
        <f t="shared" ca="1" si="65"/>
        <v>15</v>
      </c>
    </row>
    <row r="468" spans="1:19">
      <c r="A468" s="3227" t="s">
        <v>5621</v>
      </c>
      <c r="B468" s="3228">
        <v>29.47</v>
      </c>
      <c r="C468" s="21">
        <f t="shared" si="66"/>
        <v>1</v>
      </c>
      <c r="D468" s="3239" t="s">
        <v>5494</v>
      </c>
      <c r="E468" s="21">
        <f t="shared" si="67"/>
        <v>1.02</v>
      </c>
      <c r="F468" s="635"/>
      <c r="G468" s="21">
        <f t="shared" si="68"/>
        <v>1</v>
      </c>
      <c r="H468" s="635"/>
      <c r="I468" s="21">
        <f t="shared" si="69"/>
        <v>1</v>
      </c>
      <c r="J468" s="635"/>
      <c r="K468" s="21">
        <f t="shared" si="70"/>
        <v>1</v>
      </c>
      <c r="L468" s="635"/>
      <c r="M468" s="21">
        <f t="shared" si="71"/>
        <v>1</v>
      </c>
      <c r="N468" s="635"/>
      <c r="O468" s="21">
        <f t="shared" si="72"/>
        <v>1</v>
      </c>
      <c r="P468" s="635"/>
      <c r="Q468" s="21">
        <f t="shared" si="73"/>
        <v>1</v>
      </c>
      <c r="R468" s="21">
        <f t="shared" ca="1" si="74"/>
        <v>5145</v>
      </c>
      <c r="S468" s="308">
        <f t="shared" ca="1" si="65"/>
        <v>15</v>
      </c>
    </row>
    <row r="469" spans="1:19">
      <c r="A469" s="3227" t="s">
        <v>4458</v>
      </c>
      <c r="B469" s="3228">
        <v>29.47</v>
      </c>
      <c r="C469" s="21">
        <f t="shared" si="66"/>
        <v>1</v>
      </c>
      <c r="D469" s="3237" t="s">
        <v>4322</v>
      </c>
      <c r="E469" s="21">
        <f t="shared" si="67"/>
        <v>1.02</v>
      </c>
      <c r="F469" s="635"/>
      <c r="G469" s="21">
        <f t="shared" si="68"/>
        <v>1</v>
      </c>
      <c r="H469" s="635"/>
      <c r="I469" s="21">
        <f t="shared" si="69"/>
        <v>1</v>
      </c>
      <c r="J469" s="635"/>
      <c r="K469" s="21">
        <f t="shared" si="70"/>
        <v>1</v>
      </c>
      <c r="L469" s="635"/>
      <c r="M469" s="21">
        <f t="shared" si="71"/>
        <v>1</v>
      </c>
      <c r="N469" s="635"/>
      <c r="O469" s="21">
        <f t="shared" si="72"/>
        <v>1</v>
      </c>
      <c r="P469" s="635"/>
      <c r="Q469" s="21">
        <f t="shared" si="73"/>
        <v>1</v>
      </c>
      <c r="R469" s="21">
        <f t="shared" ca="1" si="74"/>
        <v>5145</v>
      </c>
      <c r="S469" s="308">
        <f t="shared" ca="1" si="65"/>
        <v>15</v>
      </c>
    </row>
    <row r="470" spans="1:19">
      <c r="A470" s="3227" t="s">
        <v>5623</v>
      </c>
      <c r="B470" s="3228">
        <v>29.47</v>
      </c>
      <c r="C470" s="21">
        <f t="shared" si="66"/>
        <v>1</v>
      </c>
      <c r="D470" s="3237" t="s">
        <v>5487</v>
      </c>
      <c r="E470" s="21">
        <f t="shared" si="67"/>
        <v>1.02</v>
      </c>
      <c r="F470" s="635"/>
      <c r="G470" s="21">
        <f t="shared" si="68"/>
        <v>1</v>
      </c>
      <c r="H470" s="635"/>
      <c r="I470" s="21">
        <f t="shared" si="69"/>
        <v>1</v>
      </c>
      <c r="J470" s="635"/>
      <c r="K470" s="21">
        <f t="shared" si="70"/>
        <v>1</v>
      </c>
      <c r="L470" s="635"/>
      <c r="M470" s="21">
        <f t="shared" si="71"/>
        <v>1</v>
      </c>
      <c r="N470" s="635"/>
      <c r="O470" s="21">
        <f t="shared" si="72"/>
        <v>1</v>
      </c>
      <c r="P470" s="635"/>
      <c r="Q470" s="21">
        <f t="shared" si="73"/>
        <v>1</v>
      </c>
      <c r="R470" s="21">
        <f t="shared" ca="1" si="74"/>
        <v>5145</v>
      </c>
      <c r="S470" s="308">
        <f t="shared" ca="1" si="65"/>
        <v>15</v>
      </c>
    </row>
    <row r="471" spans="1:19">
      <c r="A471" s="3227" t="s">
        <v>4460</v>
      </c>
      <c r="B471" s="3228">
        <v>29.47</v>
      </c>
      <c r="C471" s="21">
        <f t="shared" si="66"/>
        <v>1</v>
      </c>
      <c r="D471" s="3237" t="s">
        <v>4322</v>
      </c>
      <c r="E471" s="21">
        <f t="shared" si="67"/>
        <v>1.02</v>
      </c>
      <c r="F471" s="635"/>
      <c r="G471" s="21">
        <f t="shared" si="68"/>
        <v>1</v>
      </c>
      <c r="H471" s="635"/>
      <c r="I471" s="21">
        <f t="shared" si="69"/>
        <v>1</v>
      </c>
      <c r="J471" s="635"/>
      <c r="K471" s="21">
        <f t="shared" si="70"/>
        <v>1</v>
      </c>
      <c r="L471" s="635"/>
      <c r="M471" s="21">
        <f t="shared" si="71"/>
        <v>1</v>
      </c>
      <c r="N471" s="635"/>
      <c r="O471" s="21">
        <f t="shared" si="72"/>
        <v>1</v>
      </c>
      <c r="P471" s="635"/>
      <c r="Q471" s="21">
        <f t="shared" si="73"/>
        <v>1</v>
      </c>
      <c r="R471" s="21">
        <f t="shared" ca="1" si="74"/>
        <v>5145</v>
      </c>
      <c r="S471" s="308">
        <f t="shared" ca="1" si="65"/>
        <v>15</v>
      </c>
    </row>
    <row r="472" spans="1:19">
      <c r="A472" s="3227" t="s">
        <v>5625</v>
      </c>
      <c r="B472" s="3233">
        <v>27.6</v>
      </c>
      <c r="C472" s="21">
        <f t="shared" si="66"/>
        <v>1</v>
      </c>
      <c r="D472" s="3237" t="s">
        <v>5487</v>
      </c>
      <c r="E472" s="21">
        <f t="shared" si="67"/>
        <v>1.02</v>
      </c>
      <c r="F472" s="635"/>
      <c r="G472" s="21">
        <f t="shared" si="68"/>
        <v>1</v>
      </c>
      <c r="H472" s="635"/>
      <c r="I472" s="21">
        <f t="shared" si="69"/>
        <v>1</v>
      </c>
      <c r="J472" s="635"/>
      <c r="K472" s="21">
        <f t="shared" si="70"/>
        <v>1</v>
      </c>
      <c r="L472" s="635"/>
      <c r="M472" s="21">
        <f t="shared" si="71"/>
        <v>1</v>
      </c>
      <c r="N472" s="635"/>
      <c r="O472" s="21">
        <f t="shared" si="72"/>
        <v>1</v>
      </c>
      <c r="P472" s="635"/>
      <c r="Q472" s="21">
        <f t="shared" si="73"/>
        <v>1</v>
      </c>
      <c r="R472" s="21">
        <f t="shared" ca="1" si="74"/>
        <v>5145</v>
      </c>
      <c r="S472" s="308">
        <f t="shared" ref="S472:S524" ca="1" si="75">ROUND(R472*B472/10000,0)</f>
        <v>14</v>
      </c>
    </row>
    <row r="473" spans="1:19">
      <c r="A473" s="3227" t="s">
        <v>4462</v>
      </c>
      <c r="B473" s="3233">
        <v>27.6</v>
      </c>
      <c r="C473" s="21">
        <f t="shared" si="66"/>
        <v>1</v>
      </c>
      <c r="D473" s="3237" t="s">
        <v>4322</v>
      </c>
      <c r="E473" s="21">
        <f t="shared" si="67"/>
        <v>1.02</v>
      </c>
      <c r="F473" s="635"/>
      <c r="G473" s="21">
        <f t="shared" si="68"/>
        <v>1</v>
      </c>
      <c r="H473" s="635"/>
      <c r="I473" s="21">
        <f t="shared" si="69"/>
        <v>1</v>
      </c>
      <c r="J473" s="635"/>
      <c r="K473" s="21">
        <f t="shared" si="70"/>
        <v>1</v>
      </c>
      <c r="L473" s="635"/>
      <c r="M473" s="21">
        <f t="shared" si="71"/>
        <v>1</v>
      </c>
      <c r="N473" s="635"/>
      <c r="O473" s="21">
        <f t="shared" si="72"/>
        <v>1</v>
      </c>
      <c r="P473" s="635"/>
      <c r="Q473" s="21">
        <f t="shared" si="73"/>
        <v>1</v>
      </c>
      <c r="R473" s="21">
        <f t="shared" ca="1" si="74"/>
        <v>5145</v>
      </c>
      <c r="S473" s="308">
        <f t="shared" ca="1" si="75"/>
        <v>14</v>
      </c>
    </row>
    <row r="474" spans="1:19">
      <c r="A474" s="3227" t="s">
        <v>5627</v>
      </c>
      <c r="B474" s="3228">
        <v>30.11</v>
      </c>
      <c r="C474" s="21">
        <f t="shared" ref="C474:C537" si="76">IF(B474="",1,(LOOKUP(B474,$3:$3,$4:$4)-LOOKUP($B$24,$3:$3,$4:$4)+100)/100)</f>
        <v>1</v>
      </c>
      <c r="D474" s="3237" t="s">
        <v>5487</v>
      </c>
      <c r="E474" s="21">
        <f t="shared" ref="E474:E524" si="77">(SUMIF($5:$5,D474,$6:$6)-SUMIF($5:$5,$D$24,$6:$6)+100)/100</f>
        <v>1.02</v>
      </c>
      <c r="F474" s="635"/>
      <c r="G474" s="21">
        <f t="shared" ref="G474:G524" si="78">(SUMIF($7:$7,F474,$8:$8)-SUMIF($7:$7,$F$24,$8:$8)+100)/100</f>
        <v>1</v>
      </c>
      <c r="H474" s="635"/>
      <c r="I474" s="21">
        <f t="shared" ref="I474:I524" si="79">(SUMIF($9:$9,H474,$10:$10)-SUMIF($9:$9,$H$24,$10:$10)+100)/100</f>
        <v>1</v>
      </c>
      <c r="J474" s="635"/>
      <c r="K474" s="21">
        <f t="shared" ref="K474:K524" si="80">(SUMIF($11:$11,J474,$12:$12)-SUMIF($11:$11,$J$24,$12:$12)+100)/100</f>
        <v>1</v>
      </c>
      <c r="L474" s="635"/>
      <c r="M474" s="21">
        <f t="shared" ref="M474:M524" si="81">(SUMIF($13:$13,L474,$14:$14)-SUMIF($13:$13,$L$24,$14:$14)+100)/100</f>
        <v>1</v>
      </c>
      <c r="N474" s="635"/>
      <c r="O474" s="21">
        <f t="shared" ref="O474:O524" si="82">(SUMIF($15:$15,N474,$16:$16)-SUMIF($15:$15,$N$24,$16:$16)+100)/100</f>
        <v>1</v>
      </c>
      <c r="P474" s="635"/>
      <c r="Q474" s="21">
        <f t="shared" ref="Q474:Q524" si="83">(SUMIF($17:$17,P474,$18:$18)-SUMIF($17:$17,$P$24,$18:$18)+100)/100</f>
        <v>1</v>
      </c>
      <c r="R474" s="21">
        <f t="shared" ref="R474:R524" ca="1" si="84">IF(B474="",0,ROUND($R$24*C474*E474*G474*I474*K474*M474*O474*Q474,0))</f>
        <v>5145</v>
      </c>
      <c r="S474" s="308">
        <f t="shared" ca="1" si="75"/>
        <v>15</v>
      </c>
    </row>
    <row r="475" spans="1:19">
      <c r="A475" s="3227" t="s">
        <v>4464</v>
      </c>
      <c r="B475" s="3228">
        <v>30.11</v>
      </c>
      <c r="C475" s="21">
        <f t="shared" si="76"/>
        <v>1</v>
      </c>
      <c r="D475" s="3237" t="s">
        <v>4322</v>
      </c>
      <c r="E475" s="21">
        <f t="shared" si="77"/>
        <v>1.02</v>
      </c>
      <c r="F475" s="635"/>
      <c r="G475" s="21">
        <f t="shared" si="78"/>
        <v>1</v>
      </c>
      <c r="H475" s="635"/>
      <c r="I475" s="21">
        <f t="shared" si="79"/>
        <v>1</v>
      </c>
      <c r="J475" s="635"/>
      <c r="K475" s="21">
        <f t="shared" si="80"/>
        <v>1</v>
      </c>
      <c r="L475" s="635"/>
      <c r="M475" s="21">
        <f t="shared" si="81"/>
        <v>1</v>
      </c>
      <c r="N475" s="635"/>
      <c r="O475" s="21">
        <f t="shared" si="82"/>
        <v>1</v>
      </c>
      <c r="P475" s="635"/>
      <c r="Q475" s="21">
        <f t="shared" si="83"/>
        <v>1</v>
      </c>
      <c r="R475" s="21">
        <f t="shared" ca="1" si="84"/>
        <v>5145</v>
      </c>
      <c r="S475" s="308">
        <f t="shared" ca="1" si="75"/>
        <v>15</v>
      </c>
    </row>
    <row r="476" spans="1:19">
      <c r="A476" s="3227" t="s">
        <v>5629</v>
      </c>
      <c r="B476" s="3228">
        <v>30.74</v>
      </c>
      <c r="C476" s="21">
        <f t="shared" si="76"/>
        <v>1</v>
      </c>
      <c r="D476" s="3237" t="s">
        <v>5487</v>
      </c>
      <c r="E476" s="21">
        <f t="shared" si="77"/>
        <v>1.02</v>
      </c>
      <c r="F476" s="635"/>
      <c r="G476" s="21">
        <f t="shared" si="78"/>
        <v>1</v>
      </c>
      <c r="H476" s="635"/>
      <c r="I476" s="21">
        <f t="shared" si="79"/>
        <v>1</v>
      </c>
      <c r="J476" s="635"/>
      <c r="K476" s="21">
        <f t="shared" si="80"/>
        <v>1</v>
      </c>
      <c r="L476" s="635"/>
      <c r="M476" s="21">
        <f t="shared" si="81"/>
        <v>1</v>
      </c>
      <c r="N476" s="635"/>
      <c r="O476" s="21">
        <f t="shared" si="82"/>
        <v>1</v>
      </c>
      <c r="P476" s="635"/>
      <c r="Q476" s="21">
        <f t="shared" si="83"/>
        <v>1</v>
      </c>
      <c r="R476" s="21">
        <f t="shared" ca="1" si="84"/>
        <v>5145</v>
      </c>
      <c r="S476" s="308">
        <f t="shared" ca="1" si="75"/>
        <v>16</v>
      </c>
    </row>
    <row r="477" spans="1:19">
      <c r="A477" s="3227" t="s">
        <v>4466</v>
      </c>
      <c r="B477" s="3228">
        <v>30.74</v>
      </c>
      <c r="C477" s="21">
        <f t="shared" si="76"/>
        <v>1</v>
      </c>
      <c r="D477" s="3237" t="s">
        <v>4322</v>
      </c>
      <c r="E477" s="21">
        <f t="shared" si="77"/>
        <v>1.02</v>
      </c>
      <c r="F477" s="635"/>
      <c r="G477" s="21">
        <f t="shared" si="78"/>
        <v>1</v>
      </c>
      <c r="H477" s="635"/>
      <c r="I477" s="21">
        <f t="shared" si="79"/>
        <v>1</v>
      </c>
      <c r="J477" s="635"/>
      <c r="K477" s="21">
        <f t="shared" si="80"/>
        <v>1</v>
      </c>
      <c r="L477" s="635"/>
      <c r="M477" s="21">
        <f t="shared" si="81"/>
        <v>1</v>
      </c>
      <c r="N477" s="635"/>
      <c r="O477" s="21">
        <f t="shared" si="82"/>
        <v>1</v>
      </c>
      <c r="P477" s="635"/>
      <c r="Q477" s="21">
        <f t="shared" si="83"/>
        <v>1</v>
      </c>
      <c r="R477" s="21">
        <f t="shared" ca="1" si="84"/>
        <v>5145</v>
      </c>
      <c r="S477" s="308">
        <f t="shared" ca="1" si="75"/>
        <v>16</v>
      </c>
    </row>
    <row r="478" spans="1:19">
      <c r="A478" s="3227" t="s">
        <v>5631</v>
      </c>
      <c r="B478" s="3228">
        <v>28.18</v>
      </c>
      <c r="C478" s="21">
        <f t="shared" si="76"/>
        <v>1</v>
      </c>
      <c r="D478" s="3237" t="s">
        <v>5487</v>
      </c>
      <c r="E478" s="21">
        <f t="shared" si="77"/>
        <v>1.02</v>
      </c>
      <c r="F478" s="635"/>
      <c r="G478" s="21">
        <f t="shared" si="78"/>
        <v>1</v>
      </c>
      <c r="H478" s="635"/>
      <c r="I478" s="21">
        <f t="shared" si="79"/>
        <v>1</v>
      </c>
      <c r="J478" s="635"/>
      <c r="K478" s="21">
        <f t="shared" si="80"/>
        <v>1</v>
      </c>
      <c r="L478" s="635"/>
      <c r="M478" s="21">
        <f t="shared" si="81"/>
        <v>1</v>
      </c>
      <c r="N478" s="635"/>
      <c r="O478" s="21">
        <f t="shared" si="82"/>
        <v>1</v>
      </c>
      <c r="P478" s="635"/>
      <c r="Q478" s="21">
        <f t="shared" si="83"/>
        <v>1</v>
      </c>
      <c r="R478" s="21">
        <f t="shared" ca="1" si="84"/>
        <v>5145</v>
      </c>
      <c r="S478" s="308">
        <f t="shared" ca="1" si="75"/>
        <v>14</v>
      </c>
    </row>
    <row r="479" spans="1:19">
      <c r="A479" s="3227" t="s">
        <v>4468</v>
      </c>
      <c r="B479" s="3228">
        <v>28.18</v>
      </c>
      <c r="C479" s="21">
        <f t="shared" si="76"/>
        <v>1</v>
      </c>
      <c r="D479" s="3237" t="s">
        <v>4322</v>
      </c>
      <c r="E479" s="21">
        <f t="shared" si="77"/>
        <v>1.02</v>
      </c>
      <c r="F479" s="635"/>
      <c r="G479" s="21">
        <f t="shared" si="78"/>
        <v>1</v>
      </c>
      <c r="H479" s="635"/>
      <c r="I479" s="21">
        <f t="shared" si="79"/>
        <v>1</v>
      </c>
      <c r="J479" s="635"/>
      <c r="K479" s="21">
        <f t="shared" si="80"/>
        <v>1</v>
      </c>
      <c r="L479" s="635"/>
      <c r="M479" s="21">
        <f t="shared" si="81"/>
        <v>1</v>
      </c>
      <c r="N479" s="635"/>
      <c r="O479" s="21">
        <f t="shared" si="82"/>
        <v>1</v>
      </c>
      <c r="P479" s="635"/>
      <c r="Q479" s="21">
        <f t="shared" si="83"/>
        <v>1</v>
      </c>
      <c r="R479" s="21">
        <f t="shared" ca="1" si="84"/>
        <v>5145</v>
      </c>
      <c r="S479" s="308">
        <f t="shared" ca="1" si="75"/>
        <v>14</v>
      </c>
    </row>
    <row r="480" spans="1:19">
      <c r="A480" s="3227" t="s">
        <v>5633</v>
      </c>
      <c r="B480" s="3228">
        <v>29.47</v>
      </c>
      <c r="C480" s="21">
        <f t="shared" si="76"/>
        <v>1</v>
      </c>
      <c r="D480" s="3237" t="s">
        <v>5487</v>
      </c>
      <c r="E480" s="21">
        <f t="shared" si="77"/>
        <v>1.02</v>
      </c>
      <c r="F480" s="635"/>
      <c r="G480" s="21">
        <f t="shared" si="78"/>
        <v>1</v>
      </c>
      <c r="H480" s="635"/>
      <c r="I480" s="21">
        <f t="shared" si="79"/>
        <v>1</v>
      </c>
      <c r="J480" s="635"/>
      <c r="K480" s="21">
        <f t="shared" si="80"/>
        <v>1</v>
      </c>
      <c r="L480" s="635"/>
      <c r="M480" s="21">
        <f t="shared" si="81"/>
        <v>1</v>
      </c>
      <c r="N480" s="635"/>
      <c r="O480" s="21">
        <f t="shared" si="82"/>
        <v>1</v>
      </c>
      <c r="P480" s="635"/>
      <c r="Q480" s="21">
        <f t="shared" si="83"/>
        <v>1</v>
      </c>
      <c r="R480" s="21">
        <f t="shared" ca="1" si="84"/>
        <v>5145</v>
      </c>
      <c r="S480" s="308">
        <f t="shared" ca="1" si="75"/>
        <v>15</v>
      </c>
    </row>
    <row r="481" spans="1:19">
      <c r="A481" s="3227" t="s">
        <v>4470</v>
      </c>
      <c r="B481" s="3228">
        <v>29.47</v>
      </c>
      <c r="C481" s="21">
        <f t="shared" si="76"/>
        <v>1</v>
      </c>
      <c r="D481" s="3237" t="s">
        <v>4322</v>
      </c>
      <c r="E481" s="21">
        <f t="shared" si="77"/>
        <v>1.02</v>
      </c>
      <c r="F481" s="635"/>
      <c r="G481" s="21">
        <f t="shared" si="78"/>
        <v>1</v>
      </c>
      <c r="H481" s="635"/>
      <c r="I481" s="21">
        <f t="shared" si="79"/>
        <v>1</v>
      </c>
      <c r="J481" s="635"/>
      <c r="K481" s="21">
        <f t="shared" si="80"/>
        <v>1</v>
      </c>
      <c r="L481" s="635"/>
      <c r="M481" s="21">
        <f t="shared" si="81"/>
        <v>1</v>
      </c>
      <c r="N481" s="635"/>
      <c r="O481" s="21">
        <f t="shared" si="82"/>
        <v>1</v>
      </c>
      <c r="P481" s="635"/>
      <c r="Q481" s="21">
        <f t="shared" si="83"/>
        <v>1</v>
      </c>
      <c r="R481" s="21">
        <f t="shared" ca="1" si="84"/>
        <v>5145</v>
      </c>
      <c r="S481" s="308">
        <f t="shared" ca="1" si="75"/>
        <v>15</v>
      </c>
    </row>
    <row r="482" spans="1:19">
      <c r="A482" s="3227" t="s">
        <v>5635</v>
      </c>
      <c r="B482" s="3228">
        <v>29.47</v>
      </c>
      <c r="C482" s="21">
        <f t="shared" si="76"/>
        <v>1</v>
      </c>
      <c r="D482" s="3237" t="s">
        <v>5487</v>
      </c>
      <c r="E482" s="21">
        <f t="shared" si="77"/>
        <v>1.02</v>
      </c>
      <c r="F482" s="635"/>
      <c r="G482" s="21">
        <f t="shared" si="78"/>
        <v>1</v>
      </c>
      <c r="H482" s="635"/>
      <c r="I482" s="21">
        <f t="shared" si="79"/>
        <v>1</v>
      </c>
      <c r="J482" s="635"/>
      <c r="K482" s="21">
        <f t="shared" si="80"/>
        <v>1</v>
      </c>
      <c r="L482" s="635"/>
      <c r="M482" s="21">
        <f t="shared" si="81"/>
        <v>1</v>
      </c>
      <c r="N482" s="635"/>
      <c r="O482" s="21">
        <f t="shared" si="82"/>
        <v>1</v>
      </c>
      <c r="P482" s="635"/>
      <c r="Q482" s="21">
        <f t="shared" si="83"/>
        <v>1</v>
      </c>
      <c r="R482" s="21">
        <f t="shared" ca="1" si="84"/>
        <v>5145</v>
      </c>
      <c r="S482" s="308">
        <f t="shared" ca="1" si="75"/>
        <v>15</v>
      </c>
    </row>
    <row r="483" spans="1:19">
      <c r="A483" s="3227" t="s">
        <v>4472</v>
      </c>
      <c r="B483" s="3228">
        <v>29.47</v>
      </c>
      <c r="C483" s="21">
        <f t="shared" si="76"/>
        <v>1</v>
      </c>
      <c r="D483" s="3237" t="s">
        <v>4322</v>
      </c>
      <c r="E483" s="21">
        <f t="shared" si="77"/>
        <v>1.02</v>
      </c>
      <c r="F483" s="635"/>
      <c r="G483" s="21">
        <f t="shared" si="78"/>
        <v>1</v>
      </c>
      <c r="H483" s="635"/>
      <c r="I483" s="21">
        <f t="shared" si="79"/>
        <v>1</v>
      </c>
      <c r="J483" s="635"/>
      <c r="K483" s="21">
        <f t="shared" si="80"/>
        <v>1</v>
      </c>
      <c r="L483" s="635"/>
      <c r="M483" s="21">
        <f t="shared" si="81"/>
        <v>1</v>
      </c>
      <c r="N483" s="635"/>
      <c r="O483" s="21">
        <f t="shared" si="82"/>
        <v>1</v>
      </c>
      <c r="P483" s="635"/>
      <c r="Q483" s="21">
        <f t="shared" si="83"/>
        <v>1</v>
      </c>
      <c r="R483" s="21">
        <f t="shared" ca="1" si="84"/>
        <v>5145</v>
      </c>
      <c r="S483" s="308">
        <f t="shared" ca="1" si="75"/>
        <v>15</v>
      </c>
    </row>
    <row r="484" spans="1:19">
      <c r="A484" s="3227" t="s">
        <v>5637</v>
      </c>
      <c r="B484" s="3228">
        <v>29.47</v>
      </c>
      <c r="C484" s="21">
        <f t="shared" si="76"/>
        <v>1</v>
      </c>
      <c r="D484" s="3237" t="s">
        <v>5487</v>
      </c>
      <c r="E484" s="21">
        <f t="shared" si="77"/>
        <v>1.02</v>
      </c>
      <c r="F484" s="635"/>
      <c r="G484" s="21">
        <f t="shared" si="78"/>
        <v>1</v>
      </c>
      <c r="H484" s="635"/>
      <c r="I484" s="21">
        <f t="shared" si="79"/>
        <v>1</v>
      </c>
      <c r="J484" s="635"/>
      <c r="K484" s="21">
        <f t="shared" si="80"/>
        <v>1</v>
      </c>
      <c r="L484" s="635"/>
      <c r="M484" s="21">
        <f t="shared" si="81"/>
        <v>1</v>
      </c>
      <c r="N484" s="635"/>
      <c r="O484" s="21">
        <f t="shared" si="82"/>
        <v>1</v>
      </c>
      <c r="P484" s="635"/>
      <c r="Q484" s="21">
        <f t="shared" si="83"/>
        <v>1</v>
      </c>
      <c r="R484" s="21">
        <f t="shared" ca="1" si="84"/>
        <v>5145</v>
      </c>
      <c r="S484" s="308">
        <f t="shared" ca="1" si="75"/>
        <v>15</v>
      </c>
    </row>
    <row r="485" spans="1:19">
      <c r="A485" s="3227" t="s">
        <v>4474</v>
      </c>
      <c r="B485" s="3228">
        <v>29.47</v>
      </c>
      <c r="C485" s="21">
        <f t="shared" si="76"/>
        <v>1</v>
      </c>
      <c r="D485" s="3237" t="s">
        <v>4322</v>
      </c>
      <c r="E485" s="21">
        <f t="shared" si="77"/>
        <v>1.02</v>
      </c>
      <c r="F485" s="635"/>
      <c r="G485" s="21">
        <f t="shared" si="78"/>
        <v>1</v>
      </c>
      <c r="H485" s="635"/>
      <c r="I485" s="21">
        <f t="shared" si="79"/>
        <v>1</v>
      </c>
      <c r="J485" s="635"/>
      <c r="K485" s="21">
        <f t="shared" si="80"/>
        <v>1</v>
      </c>
      <c r="L485" s="635"/>
      <c r="M485" s="21">
        <f t="shared" si="81"/>
        <v>1</v>
      </c>
      <c r="N485" s="635"/>
      <c r="O485" s="21">
        <f t="shared" si="82"/>
        <v>1</v>
      </c>
      <c r="P485" s="635"/>
      <c r="Q485" s="21">
        <f t="shared" si="83"/>
        <v>1</v>
      </c>
      <c r="R485" s="21">
        <f t="shared" ca="1" si="84"/>
        <v>5145</v>
      </c>
      <c r="S485" s="308">
        <f t="shared" ca="1" si="75"/>
        <v>15</v>
      </c>
    </row>
    <row r="486" spans="1:19">
      <c r="A486" s="3227" t="s">
        <v>5639</v>
      </c>
      <c r="B486" s="3228">
        <v>29.47</v>
      </c>
      <c r="C486" s="21">
        <f t="shared" si="76"/>
        <v>1</v>
      </c>
      <c r="D486" s="3237" t="s">
        <v>5487</v>
      </c>
      <c r="E486" s="21">
        <f t="shared" si="77"/>
        <v>1.02</v>
      </c>
      <c r="F486" s="635"/>
      <c r="G486" s="21">
        <f t="shared" si="78"/>
        <v>1</v>
      </c>
      <c r="H486" s="635"/>
      <c r="I486" s="21">
        <f t="shared" si="79"/>
        <v>1</v>
      </c>
      <c r="J486" s="635"/>
      <c r="K486" s="21">
        <f t="shared" si="80"/>
        <v>1</v>
      </c>
      <c r="L486" s="635"/>
      <c r="M486" s="21">
        <f t="shared" si="81"/>
        <v>1</v>
      </c>
      <c r="N486" s="635"/>
      <c r="O486" s="21">
        <f t="shared" si="82"/>
        <v>1</v>
      </c>
      <c r="P486" s="635"/>
      <c r="Q486" s="21">
        <f t="shared" si="83"/>
        <v>1</v>
      </c>
      <c r="R486" s="21">
        <f t="shared" ca="1" si="84"/>
        <v>5145</v>
      </c>
      <c r="S486" s="308">
        <f t="shared" ca="1" si="75"/>
        <v>15</v>
      </c>
    </row>
    <row r="487" spans="1:19">
      <c r="A487" s="3227" t="s">
        <v>4476</v>
      </c>
      <c r="B487" s="3228">
        <v>29.47</v>
      </c>
      <c r="C487" s="21">
        <f t="shared" si="76"/>
        <v>1</v>
      </c>
      <c r="D487" s="3237" t="s">
        <v>4322</v>
      </c>
      <c r="E487" s="21">
        <f t="shared" si="77"/>
        <v>1.02</v>
      </c>
      <c r="F487" s="635"/>
      <c r="G487" s="21">
        <f t="shared" si="78"/>
        <v>1</v>
      </c>
      <c r="H487" s="635"/>
      <c r="I487" s="21">
        <f t="shared" si="79"/>
        <v>1</v>
      </c>
      <c r="J487" s="635"/>
      <c r="K487" s="21">
        <f t="shared" si="80"/>
        <v>1</v>
      </c>
      <c r="L487" s="635"/>
      <c r="M487" s="21">
        <f t="shared" si="81"/>
        <v>1</v>
      </c>
      <c r="N487" s="635"/>
      <c r="O487" s="21">
        <f t="shared" si="82"/>
        <v>1</v>
      </c>
      <c r="P487" s="635"/>
      <c r="Q487" s="21">
        <f t="shared" si="83"/>
        <v>1</v>
      </c>
      <c r="R487" s="21">
        <f t="shared" ca="1" si="84"/>
        <v>5145</v>
      </c>
      <c r="S487" s="308">
        <f t="shared" ca="1" si="75"/>
        <v>15</v>
      </c>
    </row>
    <row r="488" spans="1:19">
      <c r="A488" s="3227" t="s">
        <v>5641</v>
      </c>
      <c r="B488" s="3228">
        <v>28.18</v>
      </c>
      <c r="C488" s="21">
        <f t="shared" si="76"/>
        <v>1</v>
      </c>
      <c r="D488" s="3237" t="s">
        <v>5487</v>
      </c>
      <c r="E488" s="21">
        <f t="shared" si="77"/>
        <v>1.02</v>
      </c>
      <c r="F488" s="635"/>
      <c r="G488" s="21">
        <f t="shared" si="78"/>
        <v>1</v>
      </c>
      <c r="H488" s="635"/>
      <c r="I488" s="21">
        <f t="shared" si="79"/>
        <v>1</v>
      </c>
      <c r="J488" s="635"/>
      <c r="K488" s="21">
        <f t="shared" si="80"/>
        <v>1</v>
      </c>
      <c r="L488" s="635"/>
      <c r="M488" s="21">
        <f t="shared" si="81"/>
        <v>1</v>
      </c>
      <c r="N488" s="635"/>
      <c r="O488" s="21">
        <f t="shared" si="82"/>
        <v>1</v>
      </c>
      <c r="P488" s="635"/>
      <c r="Q488" s="21">
        <f t="shared" si="83"/>
        <v>1</v>
      </c>
      <c r="R488" s="21">
        <f t="shared" ca="1" si="84"/>
        <v>5145</v>
      </c>
      <c r="S488" s="308">
        <f t="shared" ca="1" si="75"/>
        <v>14</v>
      </c>
    </row>
    <row r="489" spans="1:19">
      <c r="A489" s="3227" t="s">
        <v>4478</v>
      </c>
      <c r="B489" s="3228">
        <v>28.18</v>
      </c>
      <c r="C489" s="21">
        <f t="shared" si="76"/>
        <v>1</v>
      </c>
      <c r="D489" s="3237" t="s">
        <v>4322</v>
      </c>
      <c r="E489" s="21">
        <f t="shared" si="77"/>
        <v>1.02</v>
      </c>
      <c r="F489" s="635"/>
      <c r="G489" s="21">
        <f t="shared" si="78"/>
        <v>1</v>
      </c>
      <c r="H489" s="635"/>
      <c r="I489" s="21">
        <f t="shared" si="79"/>
        <v>1</v>
      </c>
      <c r="J489" s="635"/>
      <c r="K489" s="21">
        <f t="shared" si="80"/>
        <v>1</v>
      </c>
      <c r="L489" s="635"/>
      <c r="M489" s="21">
        <f t="shared" si="81"/>
        <v>1</v>
      </c>
      <c r="N489" s="635"/>
      <c r="O489" s="21">
        <f t="shared" si="82"/>
        <v>1</v>
      </c>
      <c r="P489" s="635"/>
      <c r="Q489" s="21">
        <f t="shared" si="83"/>
        <v>1</v>
      </c>
      <c r="R489" s="21">
        <f t="shared" ca="1" si="84"/>
        <v>5145</v>
      </c>
      <c r="S489" s="308">
        <f t="shared" ca="1" si="75"/>
        <v>14</v>
      </c>
    </row>
    <row r="490" spans="1:19">
      <c r="A490" s="3227" t="s">
        <v>5643</v>
      </c>
      <c r="B490" s="3228">
        <v>29.47</v>
      </c>
      <c r="C490" s="21">
        <f t="shared" si="76"/>
        <v>1</v>
      </c>
      <c r="D490" s="3237" t="s">
        <v>5487</v>
      </c>
      <c r="E490" s="21">
        <f t="shared" si="77"/>
        <v>1.02</v>
      </c>
      <c r="F490" s="635"/>
      <c r="G490" s="21">
        <f t="shared" si="78"/>
        <v>1</v>
      </c>
      <c r="H490" s="635"/>
      <c r="I490" s="21">
        <f t="shared" si="79"/>
        <v>1</v>
      </c>
      <c r="J490" s="635"/>
      <c r="K490" s="21">
        <f t="shared" si="80"/>
        <v>1</v>
      </c>
      <c r="L490" s="635"/>
      <c r="M490" s="21">
        <f t="shared" si="81"/>
        <v>1</v>
      </c>
      <c r="N490" s="635"/>
      <c r="O490" s="21">
        <f t="shared" si="82"/>
        <v>1</v>
      </c>
      <c r="P490" s="635"/>
      <c r="Q490" s="21">
        <f t="shared" si="83"/>
        <v>1</v>
      </c>
      <c r="R490" s="21">
        <f t="shared" ca="1" si="84"/>
        <v>5145</v>
      </c>
      <c r="S490" s="308">
        <f t="shared" ca="1" si="75"/>
        <v>15</v>
      </c>
    </row>
    <row r="491" spans="1:19">
      <c r="A491" s="3227" t="s">
        <v>4480</v>
      </c>
      <c r="B491" s="3228">
        <v>29.47</v>
      </c>
      <c r="C491" s="21">
        <f t="shared" si="76"/>
        <v>1</v>
      </c>
      <c r="D491" s="3237" t="s">
        <v>4322</v>
      </c>
      <c r="E491" s="21">
        <f t="shared" si="77"/>
        <v>1.02</v>
      </c>
      <c r="F491" s="635"/>
      <c r="G491" s="21">
        <f t="shared" si="78"/>
        <v>1</v>
      </c>
      <c r="H491" s="635"/>
      <c r="I491" s="21">
        <f t="shared" si="79"/>
        <v>1</v>
      </c>
      <c r="J491" s="635"/>
      <c r="K491" s="21">
        <f t="shared" si="80"/>
        <v>1</v>
      </c>
      <c r="L491" s="635"/>
      <c r="M491" s="21">
        <f t="shared" si="81"/>
        <v>1</v>
      </c>
      <c r="N491" s="635"/>
      <c r="O491" s="21">
        <f t="shared" si="82"/>
        <v>1</v>
      </c>
      <c r="P491" s="635"/>
      <c r="Q491" s="21">
        <f t="shared" si="83"/>
        <v>1</v>
      </c>
      <c r="R491" s="21">
        <f t="shared" ca="1" si="84"/>
        <v>5145</v>
      </c>
      <c r="S491" s="308">
        <f t="shared" ca="1" si="75"/>
        <v>15</v>
      </c>
    </row>
    <row r="492" spans="1:19">
      <c r="A492" s="3227" t="s">
        <v>5645</v>
      </c>
      <c r="B492" s="3228">
        <v>29.47</v>
      </c>
      <c r="C492" s="21">
        <f t="shared" si="76"/>
        <v>1</v>
      </c>
      <c r="D492" s="3237" t="s">
        <v>5487</v>
      </c>
      <c r="E492" s="21">
        <f t="shared" si="77"/>
        <v>1.02</v>
      </c>
      <c r="F492" s="635"/>
      <c r="G492" s="21">
        <f t="shared" si="78"/>
        <v>1</v>
      </c>
      <c r="H492" s="635"/>
      <c r="I492" s="21">
        <f t="shared" si="79"/>
        <v>1</v>
      </c>
      <c r="J492" s="635"/>
      <c r="K492" s="21">
        <f t="shared" si="80"/>
        <v>1</v>
      </c>
      <c r="L492" s="635"/>
      <c r="M492" s="21">
        <f t="shared" si="81"/>
        <v>1</v>
      </c>
      <c r="N492" s="635"/>
      <c r="O492" s="21">
        <f t="shared" si="82"/>
        <v>1</v>
      </c>
      <c r="P492" s="635"/>
      <c r="Q492" s="21">
        <f t="shared" si="83"/>
        <v>1</v>
      </c>
      <c r="R492" s="21">
        <f t="shared" ca="1" si="84"/>
        <v>5145</v>
      </c>
      <c r="S492" s="308">
        <f t="shared" ca="1" si="75"/>
        <v>15</v>
      </c>
    </row>
    <row r="493" spans="1:19">
      <c r="A493" s="3227" t="s">
        <v>4482</v>
      </c>
      <c r="B493" s="3228">
        <v>29.47</v>
      </c>
      <c r="C493" s="21">
        <f t="shared" si="76"/>
        <v>1</v>
      </c>
      <c r="D493" s="3237" t="s">
        <v>4322</v>
      </c>
      <c r="E493" s="21">
        <f t="shared" si="77"/>
        <v>1.02</v>
      </c>
      <c r="F493" s="635"/>
      <c r="G493" s="21">
        <f t="shared" si="78"/>
        <v>1</v>
      </c>
      <c r="H493" s="635"/>
      <c r="I493" s="21">
        <f t="shared" si="79"/>
        <v>1</v>
      </c>
      <c r="J493" s="635"/>
      <c r="K493" s="21">
        <f t="shared" si="80"/>
        <v>1</v>
      </c>
      <c r="L493" s="635"/>
      <c r="M493" s="21">
        <f t="shared" si="81"/>
        <v>1</v>
      </c>
      <c r="N493" s="635"/>
      <c r="O493" s="21">
        <f t="shared" si="82"/>
        <v>1</v>
      </c>
      <c r="P493" s="635"/>
      <c r="Q493" s="21">
        <f t="shared" si="83"/>
        <v>1</v>
      </c>
      <c r="R493" s="21">
        <f t="shared" ca="1" si="84"/>
        <v>5145</v>
      </c>
      <c r="S493" s="308">
        <f t="shared" ca="1" si="75"/>
        <v>15</v>
      </c>
    </row>
    <row r="494" spans="1:19">
      <c r="A494" s="3227" t="s">
        <v>5647</v>
      </c>
      <c r="B494" s="3228">
        <v>29.47</v>
      </c>
      <c r="C494" s="21">
        <f t="shared" si="76"/>
        <v>1</v>
      </c>
      <c r="D494" s="3237" t="s">
        <v>5487</v>
      </c>
      <c r="E494" s="21">
        <f t="shared" si="77"/>
        <v>1.02</v>
      </c>
      <c r="F494" s="635"/>
      <c r="G494" s="21">
        <f t="shared" si="78"/>
        <v>1</v>
      </c>
      <c r="H494" s="635"/>
      <c r="I494" s="21">
        <f t="shared" si="79"/>
        <v>1</v>
      </c>
      <c r="J494" s="635"/>
      <c r="K494" s="21">
        <f t="shared" si="80"/>
        <v>1</v>
      </c>
      <c r="L494" s="635"/>
      <c r="M494" s="21">
        <f t="shared" si="81"/>
        <v>1</v>
      </c>
      <c r="N494" s="635"/>
      <c r="O494" s="21">
        <f t="shared" si="82"/>
        <v>1</v>
      </c>
      <c r="P494" s="635"/>
      <c r="Q494" s="21">
        <f t="shared" si="83"/>
        <v>1</v>
      </c>
      <c r="R494" s="21">
        <f t="shared" ca="1" si="84"/>
        <v>5145</v>
      </c>
      <c r="S494" s="308">
        <f t="shared" ca="1" si="75"/>
        <v>15</v>
      </c>
    </row>
    <row r="495" spans="1:19">
      <c r="A495" s="3227" t="s">
        <v>4484</v>
      </c>
      <c r="B495" s="3228">
        <v>29.47</v>
      </c>
      <c r="C495" s="21">
        <f t="shared" si="76"/>
        <v>1</v>
      </c>
      <c r="D495" s="3237" t="s">
        <v>4322</v>
      </c>
      <c r="E495" s="21">
        <f t="shared" si="77"/>
        <v>1.02</v>
      </c>
      <c r="F495" s="635"/>
      <c r="G495" s="21">
        <f t="shared" si="78"/>
        <v>1</v>
      </c>
      <c r="H495" s="635"/>
      <c r="I495" s="21">
        <f t="shared" si="79"/>
        <v>1</v>
      </c>
      <c r="J495" s="635"/>
      <c r="K495" s="21">
        <f t="shared" si="80"/>
        <v>1</v>
      </c>
      <c r="L495" s="635"/>
      <c r="M495" s="21">
        <f t="shared" si="81"/>
        <v>1</v>
      </c>
      <c r="N495" s="635"/>
      <c r="O495" s="21">
        <f t="shared" si="82"/>
        <v>1</v>
      </c>
      <c r="P495" s="635"/>
      <c r="Q495" s="21">
        <f t="shared" si="83"/>
        <v>1</v>
      </c>
      <c r="R495" s="21">
        <f t="shared" ca="1" si="84"/>
        <v>5145</v>
      </c>
      <c r="S495" s="308">
        <f t="shared" ca="1" si="75"/>
        <v>15</v>
      </c>
    </row>
    <row r="496" spans="1:19">
      <c r="A496" s="3227" t="s">
        <v>5649</v>
      </c>
      <c r="B496" s="3228">
        <v>29.47</v>
      </c>
      <c r="C496" s="21">
        <f t="shared" si="76"/>
        <v>1</v>
      </c>
      <c r="D496" s="3239" t="s">
        <v>5494</v>
      </c>
      <c r="E496" s="21">
        <f t="shared" si="77"/>
        <v>1.02</v>
      </c>
      <c r="F496" s="635"/>
      <c r="G496" s="21">
        <f t="shared" si="78"/>
        <v>1</v>
      </c>
      <c r="H496" s="635"/>
      <c r="I496" s="21">
        <f t="shared" si="79"/>
        <v>1</v>
      </c>
      <c r="J496" s="635"/>
      <c r="K496" s="21">
        <f t="shared" si="80"/>
        <v>1</v>
      </c>
      <c r="L496" s="635"/>
      <c r="M496" s="21">
        <f t="shared" si="81"/>
        <v>1</v>
      </c>
      <c r="N496" s="635"/>
      <c r="O496" s="21">
        <f t="shared" si="82"/>
        <v>1</v>
      </c>
      <c r="P496" s="635"/>
      <c r="Q496" s="21">
        <f t="shared" si="83"/>
        <v>1</v>
      </c>
      <c r="R496" s="21">
        <f t="shared" ca="1" si="84"/>
        <v>5145</v>
      </c>
      <c r="S496" s="308">
        <f t="shared" ca="1" si="75"/>
        <v>15</v>
      </c>
    </row>
    <row r="497" spans="1:19">
      <c r="A497" s="3227" t="s">
        <v>4486</v>
      </c>
      <c r="B497" s="3228">
        <v>29.47</v>
      </c>
      <c r="C497" s="21">
        <f t="shared" si="76"/>
        <v>1</v>
      </c>
      <c r="D497" s="3237" t="s">
        <v>4322</v>
      </c>
      <c r="E497" s="21">
        <f t="shared" si="77"/>
        <v>1.02</v>
      </c>
      <c r="F497" s="635"/>
      <c r="G497" s="21">
        <f t="shared" si="78"/>
        <v>1</v>
      </c>
      <c r="H497" s="635"/>
      <c r="I497" s="21">
        <f t="shared" si="79"/>
        <v>1</v>
      </c>
      <c r="J497" s="635"/>
      <c r="K497" s="21">
        <f t="shared" si="80"/>
        <v>1</v>
      </c>
      <c r="L497" s="635"/>
      <c r="M497" s="21">
        <f t="shared" si="81"/>
        <v>1</v>
      </c>
      <c r="N497" s="635"/>
      <c r="O497" s="21">
        <f t="shared" si="82"/>
        <v>1</v>
      </c>
      <c r="P497" s="635"/>
      <c r="Q497" s="21">
        <f t="shared" si="83"/>
        <v>1</v>
      </c>
      <c r="R497" s="21">
        <f t="shared" ca="1" si="84"/>
        <v>5145</v>
      </c>
      <c r="S497" s="308">
        <f t="shared" ca="1" si="75"/>
        <v>15</v>
      </c>
    </row>
    <row r="498" spans="1:19">
      <c r="A498" s="3227" t="s">
        <v>5651</v>
      </c>
      <c r="B498" s="3233">
        <v>33.299999999999997</v>
      </c>
      <c r="C498" s="21">
        <f t="shared" si="76"/>
        <v>1</v>
      </c>
      <c r="D498" s="3237" t="s">
        <v>5487</v>
      </c>
      <c r="E498" s="21">
        <f t="shared" si="77"/>
        <v>1.02</v>
      </c>
      <c r="F498" s="635"/>
      <c r="G498" s="21">
        <f t="shared" si="78"/>
        <v>1</v>
      </c>
      <c r="H498" s="635"/>
      <c r="I498" s="21">
        <f t="shared" si="79"/>
        <v>1</v>
      </c>
      <c r="J498" s="635"/>
      <c r="K498" s="21">
        <f t="shared" si="80"/>
        <v>1</v>
      </c>
      <c r="L498" s="635"/>
      <c r="M498" s="21">
        <f t="shared" si="81"/>
        <v>1</v>
      </c>
      <c r="N498" s="635"/>
      <c r="O498" s="21">
        <f t="shared" si="82"/>
        <v>1</v>
      </c>
      <c r="P498" s="635"/>
      <c r="Q498" s="21">
        <f t="shared" si="83"/>
        <v>1</v>
      </c>
      <c r="R498" s="21">
        <f t="shared" ca="1" si="84"/>
        <v>5145</v>
      </c>
      <c r="S498" s="308">
        <f t="shared" ca="1" si="75"/>
        <v>17</v>
      </c>
    </row>
    <row r="499" spans="1:19">
      <c r="A499" s="3227" t="s">
        <v>4488</v>
      </c>
      <c r="B499" s="3228">
        <v>30.74</v>
      </c>
      <c r="C499" s="21">
        <f t="shared" si="76"/>
        <v>1</v>
      </c>
      <c r="D499" s="3237" t="s">
        <v>4322</v>
      </c>
      <c r="E499" s="21">
        <f t="shared" si="77"/>
        <v>1.02</v>
      </c>
      <c r="F499" s="635"/>
      <c r="G499" s="21">
        <f t="shared" si="78"/>
        <v>1</v>
      </c>
      <c r="H499" s="635"/>
      <c r="I499" s="21">
        <f t="shared" si="79"/>
        <v>1</v>
      </c>
      <c r="J499" s="635"/>
      <c r="K499" s="21">
        <f t="shared" si="80"/>
        <v>1</v>
      </c>
      <c r="L499" s="635"/>
      <c r="M499" s="21">
        <f t="shared" si="81"/>
        <v>1</v>
      </c>
      <c r="N499" s="635"/>
      <c r="O499" s="21">
        <f t="shared" si="82"/>
        <v>1</v>
      </c>
      <c r="P499" s="635"/>
      <c r="Q499" s="21">
        <f t="shared" si="83"/>
        <v>1</v>
      </c>
      <c r="R499" s="21">
        <f t="shared" ca="1" si="84"/>
        <v>5145</v>
      </c>
      <c r="S499" s="308">
        <f t="shared" ca="1" si="75"/>
        <v>16</v>
      </c>
    </row>
    <row r="500" spans="1:19">
      <c r="A500" s="3227" t="s">
        <v>5653</v>
      </c>
      <c r="B500" s="3228">
        <v>28.18</v>
      </c>
      <c r="C500" s="21">
        <f t="shared" si="76"/>
        <v>1</v>
      </c>
      <c r="D500" s="3237" t="s">
        <v>5487</v>
      </c>
      <c r="E500" s="21">
        <f t="shared" si="77"/>
        <v>1.02</v>
      </c>
      <c r="F500" s="635"/>
      <c r="G500" s="21">
        <f t="shared" si="78"/>
        <v>1</v>
      </c>
      <c r="H500" s="635"/>
      <c r="I500" s="21">
        <f t="shared" si="79"/>
        <v>1</v>
      </c>
      <c r="J500" s="635"/>
      <c r="K500" s="21">
        <f t="shared" si="80"/>
        <v>1</v>
      </c>
      <c r="L500" s="635"/>
      <c r="M500" s="21">
        <f t="shared" si="81"/>
        <v>1</v>
      </c>
      <c r="N500" s="635"/>
      <c r="O500" s="21">
        <f t="shared" si="82"/>
        <v>1</v>
      </c>
      <c r="P500" s="635"/>
      <c r="Q500" s="21">
        <f t="shared" si="83"/>
        <v>1</v>
      </c>
      <c r="R500" s="21">
        <f t="shared" ca="1" si="84"/>
        <v>5145</v>
      </c>
      <c r="S500" s="308">
        <f t="shared" ca="1" si="75"/>
        <v>14</v>
      </c>
    </row>
    <row r="501" spans="1:19">
      <c r="A501" s="3227" t="s">
        <v>4490</v>
      </c>
      <c r="B501" s="3228">
        <v>28.18</v>
      </c>
      <c r="C501" s="21">
        <f t="shared" si="76"/>
        <v>1</v>
      </c>
      <c r="D501" s="3237" t="s">
        <v>4322</v>
      </c>
      <c r="E501" s="21">
        <f t="shared" si="77"/>
        <v>1.02</v>
      </c>
      <c r="F501" s="635"/>
      <c r="G501" s="21">
        <f t="shared" si="78"/>
        <v>1</v>
      </c>
      <c r="H501" s="635"/>
      <c r="I501" s="21">
        <f t="shared" si="79"/>
        <v>1</v>
      </c>
      <c r="J501" s="635"/>
      <c r="K501" s="21">
        <f t="shared" si="80"/>
        <v>1</v>
      </c>
      <c r="L501" s="635"/>
      <c r="M501" s="21">
        <f t="shared" si="81"/>
        <v>1</v>
      </c>
      <c r="N501" s="635"/>
      <c r="O501" s="21">
        <f t="shared" si="82"/>
        <v>1</v>
      </c>
      <c r="P501" s="635"/>
      <c r="Q501" s="21">
        <f t="shared" si="83"/>
        <v>1</v>
      </c>
      <c r="R501" s="21">
        <f t="shared" ca="1" si="84"/>
        <v>5145</v>
      </c>
      <c r="S501" s="308">
        <f t="shared" ca="1" si="75"/>
        <v>14</v>
      </c>
    </row>
    <row r="502" spans="1:19">
      <c r="A502" s="3227" t="s">
        <v>5655</v>
      </c>
      <c r="B502" s="3228">
        <v>30.74</v>
      </c>
      <c r="C502" s="21">
        <f t="shared" si="76"/>
        <v>1</v>
      </c>
      <c r="D502" s="3237" t="s">
        <v>5487</v>
      </c>
      <c r="E502" s="21">
        <f t="shared" si="77"/>
        <v>1.02</v>
      </c>
      <c r="F502" s="635"/>
      <c r="G502" s="21">
        <f t="shared" si="78"/>
        <v>1</v>
      </c>
      <c r="H502" s="635"/>
      <c r="I502" s="21">
        <f t="shared" si="79"/>
        <v>1</v>
      </c>
      <c r="J502" s="635"/>
      <c r="K502" s="21">
        <f t="shared" si="80"/>
        <v>1</v>
      </c>
      <c r="L502" s="635"/>
      <c r="M502" s="21">
        <f t="shared" si="81"/>
        <v>1</v>
      </c>
      <c r="N502" s="635"/>
      <c r="O502" s="21">
        <f t="shared" si="82"/>
        <v>1</v>
      </c>
      <c r="P502" s="635"/>
      <c r="Q502" s="21">
        <f t="shared" si="83"/>
        <v>1</v>
      </c>
      <c r="R502" s="21">
        <f t="shared" ca="1" si="84"/>
        <v>5145</v>
      </c>
      <c r="S502" s="308">
        <f t="shared" ca="1" si="75"/>
        <v>16</v>
      </c>
    </row>
    <row r="503" spans="1:19">
      <c r="A503" s="3227" t="s">
        <v>4492</v>
      </c>
      <c r="B503" s="3228">
        <v>30.74</v>
      </c>
      <c r="C503" s="21">
        <f t="shared" si="76"/>
        <v>1</v>
      </c>
      <c r="D503" s="3237" t="s">
        <v>4322</v>
      </c>
      <c r="E503" s="21">
        <f t="shared" si="77"/>
        <v>1.02</v>
      </c>
      <c r="F503" s="635"/>
      <c r="G503" s="21">
        <f t="shared" si="78"/>
        <v>1</v>
      </c>
      <c r="H503" s="635"/>
      <c r="I503" s="21">
        <f t="shared" si="79"/>
        <v>1</v>
      </c>
      <c r="J503" s="635"/>
      <c r="K503" s="21">
        <f t="shared" si="80"/>
        <v>1</v>
      </c>
      <c r="L503" s="635"/>
      <c r="M503" s="21">
        <f t="shared" si="81"/>
        <v>1</v>
      </c>
      <c r="N503" s="635"/>
      <c r="O503" s="21">
        <f t="shared" si="82"/>
        <v>1</v>
      </c>
      <c r="P503" s="635"/>
      <c r="Q503" s="21">
        <f t="shared" si="83"/>
        <v>1</v>
      </c>
      <c r="R503" s="21">
        <f t="shared" ca="1" si="84"/>
        <v>5145</v>
      </c>
      <c r="S503" s="308">
        <f t="shared" ca="1" si="75"/>
        <v>16</v>
      </c>
    </row>
    <row r="504" spans="1:19">
      <c r="A504" s="3227" t="s">
        <v>5657</v>
      </c>
      <c r="B504" s="3228">
        <v>28.18</v>
      </c>
      <c r="C504" s="21">
        <f t="shared" si="76"/>
        <v>1</v>
      </c>
      <c r="D504" s="3239" t="s">
        <v>5494</v>
      </c>
      <c r="E504" s="21">
        <f t="shared" si="77"/>
        <v>1.02</v>
      </c>
      <c r="F504" s="635"/>
      <c r="G504" s="21">
        <f t="shared" si="78"/>
        <v>1</v>
      </c>
      <c r="H504" s="635"/>
      <c r="I504" s="21">
        <f t="shared" si="79"/>
        <v>1</v>
      </c>
      <c r="J504" s="635"/>
      <c r="K504" s="21">
        <f t="shared" si="80"/>
        <v>1</v>
      </c>
      <c r="L504" s="635"/>
      <c r="M504" s="21">
        <f t="shared" si="81"/>
        <v>1</v>
      </c>
      <c r="N504" s="635"/>
      <c r="O504" s="21">
        <f t="shared" si="82"/>
        <v>1</v>
      </c>
      <c r="P504" s="635"/>
      <c r="Q504" s="21">
        <f t="shared" si="83"/>
        <v>1</v>
      </c>
      <c r="R504" s="21">
        <f t="shared" ca="1" si="84"/>
        <v>5145</v>
      </c>
      <c r="S504" s="308">
        <f t="shared" ca="1" si="75"/>
        <v>14</v>
      </c>
    </row>
    <row r="505" spans="1:19">
      <c r="A505" s="3227" t="s">
        <v>4494</v>
      </c>
      <c r="B505" s="3228">
        <v>28.18</v>
      </c>
      <c r="C505" s="21">
        <f t="shared" si="76"/>
        <v>1</v>
      </c>
      <c r="D505" s="3239" t="s">
        <v>4330</v>
      </c>
      <c r="E505" s="21">
        <f t="shared" si="77"/>
        <v>1.02</v>
      </c>
      <c r="F505" s="635"/>
      <c r="G505" s="21">
        <f t="shared" si="78"/>
        <v>1</v>
      </c>
      <c r="H505" s="635"/>
      <c r="I505" s="21">
        <f t="shared" si="79"/>
        <v>1</v>
      </c>
      <c r="J505" s="635"/>
      <c r="K505" s="21">
        <f t="shared" si="80"/>
        <v>1</v>
      </c>
      <c r="L505" s="635"/>
      <c r="M505" s="21">
        <f t="shared" si="81"/>
        <v>1</v>
      </c>
      <c r="N505" s="635"/>
      <c r="O505" s="21">
        <f t="shared" si="82"/>
        <v>1</v>
      </c>
      <c r="P505" s="635"/>
      <c r="Q505" s="21">
        <f t="shared" si="83"/>
        <v>1</v>
      </c>
      <c r="R505" s="21">
        <f t="shared" ca="1" si="84"/>
        <v>5145</v>
      </c>
      <c r="S505" s="308">
        <f t="shared" ca="1" si="75"/>
        <v>14</v>
      </c>
    </row>
    <row r="506" spans="1:19">
      <c r="A506" s="3227" t="s">
        <v>5659</v>
      </c>
      <c r="B506" s="3228">
        <v>29.47</v>
      </c>
      <c r="C506" s="21">
        <f t="shared" si="76"/>
        <v>1</v>
      </c>
      <c r="D506" s="3237" t="s">
        <v>5487</v>
      </c>
      <c r="E506" s="21">
        <f t="shared" si="77"/>
        <v>1.02</v>
      </c>
      <c r="F506" s="635"/>
      <c r="G506" s="21">
        <f t="shared" si="78"/>
        <v>1</v>
      </c>
      <c r="H506" s="635"/>
      <c r="I506" s="21">
        <f t="shared" si="79"/>
        <v>1</v>
      </c>
      <c r="J506" s="635"/>
      <c r="K506" s="21">
        <f t="shared" si="80"/>
        <v>1</v>
      </c>
      <c r="L506" s="635"/>
      <c r="M506" s="21">
        <f t="shared" si="81"/>
        <v>1</v>
      </c>
      <c r="N506" s="635"/>
      <c r="O506" s="21">
        <f t="shared" si="82"/>
        <v>1</v>
      </c>
      <c r="P506" s="635"/>
      <c r="Q506" s="21">
        <f t="shared" si="83"/>
        <v>1</v>
      </c>
      <c r="R506" s="21">
        <f t="shared" ca="1" si="84"/>
        <v>5145</v>
      </c>
      <c r="S506" s="308">
        <f t="shared" ca="1" si="75"/>
        <v>15</v>
      </c>
    </row>
    <row r="507" spans="1:19">
      <c r="A507" s="3227" t="s">
        <v>4496</v>
      </c>
      <c r="B507" s="3228">
        <v>29.47</v>
      </c>
      <c r="C507" s="21">
        <f t="shared" si="76"/>
        <v>1</v>
      </c>
      <c r="D507" s="3237" t="s">
        <v>4322</v>
      </c>
      <c r="E507" s="21">
        <f t="shared" si="77"/>
        <v>1.02</v>
      </c>
      <c r="F507" s="635"/>
      <c r="G507" s="21">
        <f t="shared" si="78"/>
        <v>1</v>
      </c>
      <c r="H507" s="635"/>
      <c r="I507" s="21">
        <f t="shared" si="79"/>
        <v>1</v>
      </c>
      <c r="J507" s="635"/>
      <c r="K507" s="21">
        <f t="shared" si="80"/>
        <v>1</v>
      </c>
      <c r="L507" s="635"/>
      <c r="M507" s="21">
        <f t="shared" si="81"/>
        <v>1</v>
      </c>
      <c r="N507" s="635"/>
      <c r="O507" s="21">
        <f t="shared" si="82"/>
        <v>1</v>
      </c>
      <c r="P507" s="635"/>
      <c r="Q507" s="21">
        <f t="shared" si="83"/>
        <v>1</v>
      </c>
      <c r="R507" s="21">
        <f t="shared" ca="1" si="84"/>
        <v>5145</v>
      </c>
      <c r="S507" s="308">
        <f t="shared" ca="1" si="75"/>
        <v>15</v>
      </c>
    </row>
    <row r="508" spans="1:19">
      <c r="A508" s="3227" t="s">
        <v>5661</v>
      </c>
      <c r="B508" s="3228">
        <v>29.47</v>
      </c>
      <c r="C508" s="21">
        <f t="shared" si="76"/>
        <v>1</v>
      </c>
      <c r="D508" s="3237" t="s">
        <v>5487</v>
      </c>
      <c r="E508" s="21">
        <f t="shared" si="77"/>
        <v>1.02</v>
      </c>
      <c r="F508" s="635"/>
      <c r="G508" s="21">
        <f t="shared" si="78"/>
        <v>1</v>
      </c>
      <c r="H508" s="635"/>
      <c r="I508" s="21">
        <f t="shared" si="79"/>
        <v>1</v>
      </c>
      <c r="J508" s="635"/>
      <c r="K508" s="21">
        <f t="shared" si="80"/>
        <v>1</v>
      </c>
      <c r="L508" s="635"/>
      <c r="M508" s="21">
        <f t="shared" si="81"/>
        <v>1</v>
      </c>
      <c r="N508" s="635"/>
      <c r="O508" s="21">
        <f t="shared" si="82"/>
        <v>1</v>
      </c>
      <c r="P508" s="635"/>
      <c r="Q508" s="21">
        <f t="shared" si="83"/>
        <v>1</v>
      </c>
      <c r="R508" s="21">
        <f t="shared" ca="1" si="84"/>
        <v>5145</v>
      </c>
      <c r="S508" s="308">
        <f t="shared" ca="1" si="75"/>
        <v>15</v>
      </c>
    </row>
    <row r="509" spans="1:19">
      <c r="A509" s="3227" t="s">
        <v>4498</v>
      </c>
      <c r="B509" s="3228">
        <v>29.47</v>
      </c>
      <c r="C509" s="21">
        <f t="shared" si="76"/>
        <v>1</v>
      </c>
      <c r="D509" s="3237" t="s">
        <v>4322</v>
      </c>
      <c r="E509" s="21">
        <f t="shared" si="77"/>
        <v>1.02</v>
      </c>
      <c r="F509" s="635"/>
      <c r="G509" s="21">
        <f t="shared" si="78"/>
        <v>1</v>
      </c>
      <c r="H509" s="635"/>
      <c r="I509" s="21">
        <f t="shared" si="79"/>
        <v>1</v>
      </c>
      <c r="J509" s="635"/>
      <c r="K509" s="21">
        <f t="shared" si="80"/>
        <v>1</v>
      </c>
      <c r="L509" s="635"/>
      <c r="M509" s="21">
        <f t="shared" si="81"/>
        <v>1</v>
      </c>
      <c r="N509" s="635"/>
      <c r="O509" s="21">
        <f t="shared" si="82"/>
        <v>1</v>
      </c>
      <c r="P509" s="635"/>
      <c r="Q509" s="21">
        <f t="shared" si="83"/>
        <v>1</v>
      </c>
      <c r="R509" s="21">
        <f t="shared" ca="1" si="84"/>
        <v>5145</v>
      </c>
      <c r="S509" s="308">
        <f t="shared" ca="1" si="75"/>
        <v>15</v>
      </c>
    </row>
    <row r="510" spans="1:19">
      <c r="A510" s="3227" t="s">
        <v>5663</v>
      </c>
      <c r="B510" s="3228">
        <v>29.47</v>
      </c>
      <c r="C510" s="21">
        <f t="shared" si="76"/>
        <v>1</v>
      </c>
      <c r="D510" s="3237" t="s">
        <v>5487</v>
      </c>
      <c r="E510" s="21">
        <f t="shared" si="77"/>
        <v>1.02</v>
      </c>
      <c r="F510" s="635"/>
      <c r="G510" s="21">
        <f t="shared" si="78"/>
        <v>1</v>
      </c>
      <c r="H510" s="635"/>
      <c r="I510" s="21">
        <f t="shared" si="79"/>
        <v>1</v>
      </c>
      <c r="J510" s="635"/>
      <c r="K510" s="21">
        <f t="shared" si="80"/>
        <v>1</v>
      </c>
      <c r="L510" s="635"/>
      <c r="M510" s="21">
        <f t="shared" si="81"/>
        <v>1</v>
      </c>
      <c r="N510" s="635"/>
      <c r="O510" s="21">
        <f t="shared" si="82"/>
        <v>1</v>
      </c>
      <c r="P510" s="635"/>
      <c r="Q510" s="21">
        <f t="shared" si="83"/>
        <v>1</v>
      </c>
      <c r="R510" s="21">
        <f t="shared" ca="1" si="84"/>
        <v>5145</v>
      </c>
      <c r="S510" s="308">
        <f t="shared" ca="1" si="75"/>
        <v>15</v>
      </c>
    </row>
    <row r="511" spans="1:19">
      <c r="A511" s="3227" t="s">
        <v>4500</v>
      </c>
      <c r="B511" s="3228">
        <v>29.47</v>
      </c>
      <c r="C511" s="21">
        <f t="shared" si="76"/>
        <v>1</v>
      </c>
      <c r="D511" s="3237" t="s">
        <v>4322</v>
      </c>
      <c r="E511" s="21">
        <f t="shared" si="77"/>
        <v>1.02</v>
      </c>
      <c r="F511" s="635"/>
      <c r="G511" s="21">
        <f t="shared" si="78"/>
        <v>1</v>
      </c>
      <c r="H511" s="635"/>
      <c r="I511" s="21">
        <f t="shared" si="79"/>
        <v>1</v>
      </c>
      <c r="J511" s="635"/>
      <c r="K511" s="21">
        <f t="shared" si="80"/>
        <v>1</v>
      </c>
      <c r="L511" s="635"/>
      <c r="M511" s="21">
        <f t="shared" si="81"/>
        <v>1</v>
      </c>
      <c r="N511" s="635"/>
      <c r="O511" s="21">
        <f t="shared" si="82"/>
        <v>1</v>
      </c>
      <c r="P511" s="635"/>
      <c r="Q511" s="21">
        <f t="shared" si="83"/>
        <v>1</v>
      </c>
      <c r="R511" s="21">
        <f t="shared" ca="1" si="84"/>
        <v>5145</v>
      </c>
      <c r="S511" s="308">
        <f t="shared" ca="1" si="75"/>
        <v>15</v>
      </c>
    </row>
    <row r="512" spans="1:19">
      <c r="A512" s="3227" t="s">
        <v>5665</v>
      </c>
      <c r="B512" s="3228">
        <v>29.47</v>
      </c>
      <c r="C512" s="21">
        <f t="shared" si="76"/>
        <v>1</v>
      </c>
      <c r="D512" s="3237" t="s">
        <v>5487</v>
      </c>
      <c r="E512" s="21">
        <f t="shared" si="77"/>
        <v>1.02</v>
      </c>
      <c r="F512" s="635"/>
      <c r="G512" s="21">
        <f t="shared" si="78"/>
        <v>1</v>
      </c>
      <c r="H512" s="635"/>
      <c r="I512" s="21">
        <f t="shared" si="79"/>
        <v>1</v>
      </c>
      <c r="J512" s="635"/>
      <c r="K512" s="21">
        <f t="shared" si="80"/>
        <v>1</v>
      </c>
      <c r="L512" s="635"/>
      <c r="M512" s="21">
        <f t="shared" si="81"/>
        <v>1</v>
      </c>
      <c r="N512" s="635"/>
      <c r="O512" s="21">
        <f t="shared" si="82"/>
        <v>1</v>
      </c>
      <c r="P512" s="635"/>
      <c r="Q512" s="21">
        <f t="shared" si="83"/>
        <v>1</v>
      </c>
      <c r="R512" s="21">
        <f t="shared" ca="1" si="84"/>
        <v>5145</v>
      </c>
      <c r="S512" s="308">
        <f t="shared" ca="1" si="75"/>
        <v>15</v>
      </c>
    </row>
    <row r="513" spans="1:19">
      <c r="A513" s="3227" t="s">
        <v>4502</v>
      </c>
      <c r="B513" s="3228">
        <v>29.47</v>
      </c>
      <c r="C513" s="21">
        <f t="shared" si="76"/>
        <v>1</v>
      </c>
      <c r="D513" s="3237" t="s">
        <v>4322</v>
      </c>
      <c r="E513" s="21">
        <f t="shared" si="77"/>
        <v>1.02</v>
      </c>
      <c r="F513" s="635"/>
      <c r="G513" s="21">
        <f t="shared" si="78"/>
        <v>1</v>
      </c>
      <c r="H513" s="635"/>
      <c r="I513" s="21">
        <f t="shared" si="79"/>
        <v>1</v>
      </c>
      <c r="J513" s="635"/>
      <c r="K513" s="21">
        <f t="shared" si="80"/>
        <v>1</v>
      </c>
      <c r="L513" s="635"/>
      <c r="M513" s="21">
        <f t="shared" si="81"/>
        <v>1</v>
      </c>
      <c r="N513" s="635"/>
      <c r="O513" s="21">
        <f t="shared" si="82"/>
        <v>1</v>
      </c>
      <c r="P513" s="635"/>
      <c r="Q513" s="21">
        <f t="shared" si="83"/>
        <v>1</v>
      </c>
      <c r="R513" s="21">
        <f t="shared" ca="1" si="84"/>
        <v>5145</v>
      </c>
      <c r="S513" s="308">
        <f t="shared" ca="1" si="75"/>
        <v>15</v>
      </c>
    </row>
    <row r="514" spans="1:19">
      <c r="A514" s="3227" t="s">
        <v>5667</v>
      </c>
      <c r="B514" s="3228">
        <v>29.47</v>
      </c>
      <c r="C514" s="21">
        <f t="shared" si="76"/>
        <v>1</v>
      </c>
      <c r="D514" s="3237" t="s">
        <v>5487</v>
      </c>
      <c r="E514" s="21">
        <f t="shared" si="77"/>
        <v>1.02</v>
      </c>
      <c r="F514" s="635"/>
      <c r="G514" s="21">
        <f t="shared" si="78"/>
        <v>1</v>
      </c>
      <c r="H514" s="635"/>
      <c r="I514" s="21">
        <f t="shared" si="79"/>
        <v>1</v>
      </c>
      <c r="J514" s="635"/>
      <c r="K514" s="21">
        <f t="shared" si="80"/>
        <v>1</v>
      </c>
      <c r="L514" s="635"/>
      <c r="M514" s="21">
        <f t="shared" si="81"/>
        <v>1</v>
      </c>
      <c r="N514" s="635"/>
      <c r="O514" s="21">
        <f t="shared" si="82"/>
        <v>1</v>
      </c>
      <c r="P514" s="635"/>
      <c r="Q514" s="21">
        <f t="shared" si="83"/>
        <v>1</v>
      </c>
      <c r="R514" s="21">
        <f t="shared" ca="1" si="84"/>
        <v>5145</v>
      </c>
      <c r="S514" s="308">
        <f t="shared" ca="1" si="75"/>
        <v>15</v>
      </c>
    </row>
    <row r="515" spans="1:19">
      <c r="A515" s="3227" t="s">
        <v>4504</v>
      </c>
      <c r="B515" s="3228">
        <v>30.74</v>
      </c>
      <c r="C515" s="21">
        <f t="shared" si="76"/>
        <v>1</v>
      </c>
      <c r="D515" s="3237" t="s">
        <v>4322</v>
      </c>
      <c r="E515" s="21">
        <f t="shared" si="77"/>
        <v>1.02</v>
      </c>
      <c r="F515" s="635"/>
      <c r="G515" s="21">
        <f t="shared" si="78"/>
        <v>1</v>
      </c>
      <c r="H515" s="635"/>
      <c r="I515" s="21">
        <f t="shared" si="79"/>
        <v>1</v>
      </c>
      <c r="J515" s="635"/>
      <c r="K515" s="21">
        <f t="shared" si="80"/>
        <v>1</v>
      </c>
      <c r="L515" s="635"/>
      <c r="M515" s="21">
        <f t="shared" si="81"/>
        <v>1</v>
      </c>
      <c r="N515" s="635"/>
      <c r="O515" s="21">
        <f t="shared" si="82"/>
        <v>1</v>
      </c>
      <c r="P515" s="635"/>
      <c r="Q515" s="21">
        <f t="shared" si="83"/>
        <v>1</v>
      </c>
      <c r="R515" s="21">
        <f t="shared" ca="1" si="84"/>
        <v>5145</v>
      </c>
      <c r="S515" s="308">
        <f t="shared" ca="1" si="75"/>
        <v>16</v>
      </c>
    </row>
    <row r="516" spans="1:19">
      <c r="A516" s="3227" t="s">
        <v>5669</v>
      </c>
      <c r="B516" s="3228">
        <v>29.47</v>
      </c>
      <c r="C516" s="21">
        <f t="shared" si="76"/>
        <v>1</v>
      </c>
      <c r="D516" s="3237" t="s">
        <v>5487</v>
      </c>
      <c r="E516" s="21">
        <f t="shared" si="77"/>
        <v>1.02</v>
      </c>
      <c r="F516" s="635"/>
      <c r="G516" s="21">
        <f t="shared" si="78"/>
        <v>1</v>
      </c>
      <c r="H516" s="635"/>
      <c r="I516" s="21">
        <f t="shared" si="79"/>
        <v>1</v>
      </c>
      <c r="J516" s="635"/>
      <c r="K516" s="21">
        <f t="shared" si="80"/>
        <v>1</v>
      </c>
      <c r="L516" s="635"/>
      <c r="M516" s="21">
        <f t="shared" si="81"/>
        <v>1</v>
      </c>
      <c r="N516" s="635"/>
      <c r="O516" s="21">
        <f t="shared" si="82"/>
        <v>1</v>
      </c>
      <c r="P516" s="635"/>
      <c r="Q516" s="21">
        <f t="shared" si="83"/>
        <v>1</v>
      </c>
      <c r="R516" s="21">
        <f t="shared" ca="1" si="84"/>
        <v>5145</v>
      </c>
      <c r="S516" s="308">
        <f t="shared" ca="1" si="75"/>
        <v>15</v>
      </c>
    </row>
    <row r="517" spans="1:19">
      <c r="A517" s="3227" t="s">
        <v>4506</v>
      </c>
      <c r="B517" s="3228">
        <v>30.74</v>
      </c>
      <c r="C517" s="21">
        <f t="shared" si="76"/>
        <v>1</v>
      </c>
      <c r="D517" s="3237" t="s">
        <v>4322</v>
      </c>
      <c r="E517" s="21">
        <f t="shared" si="77"/>
        <v>1.02</v>
      </c>
      <c r="F517" s="635"/>
      <c r="G517" s="21">
        <f t="shared" si="78"/>
        <v>1</v>
      </c>
      <c r="H517" s="635"/>
      <c r="I517" s="21">
        <f t="shared" si="79"/>
        <v>1</v>
      </c>
      <c r="J517" s="635"/>
      <c r="K517" s="21">
        <f t="shared" si="80"/>
        <v>1</v>
      </c>
      <c r="L517" s="635"/>
      <c r="M517" s="21">
        <f t="shared" si="81"/>
        <v>1</v>
      </c>
      <c r="N517" s="635"/>
      <c r="O517" s="21">
        <f t="shared" si="82"/>
        <v>1</v>
      </c>
      <c r="P517" s="635"/>
      <c r="Q517" s="21">
        <f t="shared" si="83"/>
        <v>1</v>
      </c>
      <c r="R517" s="21">
        <f t="shared" ca="1" si="84"/>
        <v>5145</v>
      </c>
      <c r="S517" s="308">
        <f t="shared" ca="1" si="75"/>
        <v>16</v>
      </c>
    </row>
    <row r="518" spans="1:19">
      <c r="A518" s="3227" t="s">
        <v>5671</v>
      </c>
      <c r="B518" s="3228">
        <v>30.74</v>
      </c>
      <c r="C518" s="21">
        <f t="shared" si="76"/>
        <v>1</v>
      </c>
      <c r="D518" s="3237" t="s">
        <v>5487</v>
      </c>
      <c r="E518" s="21">
        <f t="shared" si="77"/>
        <v>1.02</v>
      </c>
      <c r="F518" s="635"/>
      <c r="G518" s="21">
        <f t="shared" si="78"/>
        <v>1</v>
      </c>
      <c r="H518" s="635"/>
      <c r="I518" s="21">
        <f t="shared" si="79"/>
        <v>1</v>
      </c>
      <c r="J518" s="635"/>
      <c r="K518" s="21">
        <f t="shared" si="80"/>
        <v>1</v>
      </c>
      <c r="L518" s="635"/>
      <c r="M518" s="21">
        <f t="shared" si="81"/>
        <v>1</v>
      </c>
      <c r="N518" s="635"/>
      <c r="O518" s="21">
        <f t="shared" si="82"/>
        <v>1</v>
      </c>
      <c r="P518" s="635"/>
      <c r="Q518" s="21">
        <f t="shared" si="83"/>
        <v>1</v>
      </c>
      <c r="R518" s="21">
        <f t="shared" ca="1" si="84"/>
        <v>5145</v>
      </c>
      <c r="S518" s="308">
        <f t="shared" ca="1" si="75"/>
        <v>16</v>
      </c>
    </row>
    <row r="519" spans="1:19">
      <c r="A519" s="3227" t="s">
        <v>4508</v>
      </c>
      <c r="B519" s="3228">
        <v>29.47</v>
      </c>
      <c r="C519" s="21">
        <f t="shared" si="76"/>
        <v>1</v>
      </c>
      <c r="D519" s="3239" t="s">
        <v>4330</v>
      </c>
      <c r="E519" s="21">
        <f t="shared" si="77"/>
        <v>1.02</v>
      </c>
      <c r="F519" s="635"/>
      <c r="G519" s="21">
        <f t="shared" si="78"/>
        <v>1</v>
      </c>
      <c r="H519" s="635"/>
      <c r="I519" s="21">
        <f t="shared" si="79"/>
        <v>1</v>
      </c>
      <c r="J519" s="635"/>
      <c r="K519" s="21">
        <f t="shared" si="80"/>
        <v>1</v>
      </c>
      <c r="L519" s="635"/>
      <c r="M519" s="21">
        <f t="shared" si="81"/>
        <v>1</v>
      </c>
      <c r="N519" s="635"/>
      <c r="O519" s="21">
        <f t="shared" si="82"/>
        <v>1</v>
      </c>
      <c r="P519" s="635"/>
      <c r="Q519" s="21">
        <f t="shared" si="83"/>
        <v>1</v>
      </c>
      <c r="R519" s="21">
        <f t="shared" ca="1" si="84"/>
        <v>5145</v>
      </c>
      <c r="S519" s="308">
        <f t="shared" ca="1" si="75"/>
        <v>15</v>
      </c>
    </row>
    <row r="520" spans="1:19">
      <c r="A520" s="3227" t="s">
        <v>5673</v>
      </c>
      <c r="B520" s="3228">
        <v>29.47</v>
      </c>
      <c r="C520" s="21">
        <f t="shared" si="76"/>
        <v>1</v>
      </c>
      <c r="D520" s="3237" t="s">
        <v>5487</v>
      </c>
      <c r="E520" s="21">
        <f t="shared" si="77"/>
        <v>1.02</v>
      </c>
      <c r="F520" s="635"/>
      <c r="G520" s="21">
        <f t="shared" si="78"/>
        <v>1</v>
      </c>
      <c r="H520" s="635"/>
      <c r="I520" s="21">
        <f t="shared" si="79"/>
        <v>1</v>
      </c>
      <c r="J520" s="635"/>
      <c r="K520" s="21">
        <f t="shared" si="80"/>
        <v>1</v>
      </c>
      <c r="L520" s="635"/>
      <c r="M520" s="21">
        <f t="shared" si="81"/>
        <v>1</v>
      </c>
      <c r="N520" s="635"/>
      <c r="O520" s="21">
        <f t="shared" si="82"/>
        <v>1</v>
      </c>
      <c r="P520" s="635"/>
      <c r="Q520" s="21">
        <f t="shared" si="83"/>
        <v>1</v>
      </c>
      <c r="R520" s="21">
        <f t="shared" ca="1" si="84"/>
        <v>5145</v>
      </c>
      <c r="S520" s="308">
        <f t="shared" ca="1" si="75"/>
        <v>15</v>
      </c>
    </row>
    <row r="521" spans="1:19">
      <c r="A521" s="3227" t="s">
        <v>4510</v>
      </c>
      <c r="B521" s="3228">
        <v>29.47</v>
      </c>
      <c r="C521" s="21">
        <f t="shared" si="76"/>
        <v>1</v>
      </c>
      <c r="D521" s="3237" t="s">
        <v>4322</v>
      </c>
      <c r="E521" s="21">
        <f t="shared" si="77"/>
        <v>1.02</v>
      </c>
      <c r="F521" s="635"/>
      <c r="G521" s="21">
        <f t="shared" si="78"/>
        <v>1</v>
      </c>
      <c r="H521" s="635"/>
      <c r="I521" s="21">
        <f t="shared" si="79"/>
        <v>1</v>
      </c>
      <c r="J521" s="635"/>
      <c r="K521" s="21">
        <f t="shared" si="80"/>
        <v>1</v>
      </c>
      <c r="L521" s="635"/>
      <c r="M521" s="21">
        <f t="shared" si="81"/>
        <v>1</v>
      </c>
      <c r="N521" s="635"/>
      <c r="O521" s="21">
        <f t="shared" si="82"/>
        <v>1</v>
      </c>
      <c r="P521" s="635"/>
      <c r="Q521" s="21">
        <f t="shared" si="83"/>
        <v>1</v>
      </c>
      <c r="R521" s="21">
        <f t="shared" ca="1" si="84"/>
        <v>5145</v>
      </c>
      <c r="S521" s="308">
        <f t="shared" ca="1" si="75"/>
        <v>15</v>
      </c>
    </row>
    <row r="522" spans="1:19">
      <c r="A522" s="3227" t="s">
        <v>5675</v>
      </c>
      <c r="B522" s="3228">
        <v>29.47</v>
      </c>
      <c r="C522" s="21">
        <f t="shared" si="76"/>
        <v>1</v>
      </c>
      <c r="D522" s="3237" t="s">
        <v>5487</v>
      </c>
      <c r="E522" s="21">
        <f t="shared" si="77"/>
        <v>1.02</v>
      </c>
      <c r="F522" s="635"/>
      <c r="G522" s="21">
        <f t="shared" si="78"/>
        <v>1</v>
      </c>
      <c r="H522" s="635"/>
      <c r="I522" s="21">
        <f t="shared" si="79"/>
        <v>1</v>
      </c>
      <c r="J522" s="635"/>
      <c r="K522" s="21">
        <f t="shared" si="80"/>
        <v>1</v>
      </c>
      <c r="L522" s="635"/>
      <c r="M522" s="21">
        <f t="shared" si="81"/>
        <v>1</v>
      </c>
      <c r="N522" s="635"/>
      <c r="O522" s="21">
        <f t="shared" si="82"/>
        <v>1</v>
      </c>
      <c r="P522" s="635"/>
      <c r="Q522" s="21">
        <f t="shared" si="83"/>
        <v>1</v>
      </c>
      <c r="R522" s="21">
        <f t="shared" ca="1" si="84"/>
        <v>5145</v>
      </c>
      <c r="S522" s="308">
        <f t="shared" ca="1" si="75"/>
        <v>15</v>
      </c>
    </row>
    <row r="523" spans="1:19">
      <c r="A523" s="3227" t="s">
        <v>4512</v>
      </c>
      <c r="B523" s="3228">
        <v>29.47</v>
      </c>
      <c r="C523" s="21">
        <f t="shared" si="76"/>
        <v>1</v>
      </c>
      <c r="D523" s="3237" t="s">
        <v>4322</v>
      </c>
      <c r="E523" s="21">
        <f t="shared" si="77"/>
        <v>1.02</v>
      </c>
      <c r="F523" s="635"/>
      <c r="G523" s="21">
        <f t="shared" si="78"/>
        <v>1</v>
      </c>
      <c r="H523" s="635"/>
      <c r="I523" s="21">
        <f t="shared" si="79"/>
        <v>1</v>
      </c>
      <c r="J523" s="635"/>
      <c r="K523" s="21">
        <f t="shared" si="80"/>
        <v>1</v>
      </c>
      <c r="L523" s="635"/>
      <c r="M523" s="21">
        <f t="shared" si="81"/>
        <v>1</v>
      </c>
      <c r="N523" s="635"/>
      <c r="O523" s="21">
        <f t="shared" si="82"/>
        <v>1</v>
      </c>
      <c r="P523" s="635"/>
      <c r="Q523" s="21">
        <f t="shared" si="83"/>
        <v>1</v>
      </c>
      <c r="R523" s="21">
        <f t="shared" ca="1" si="84"/>
        <v>5145</v>
      </c>
      <c r="S523" s="308">
        <f t="shared" ca="1" si="75"/>
        <v>15</v>
      </c>
    </row>
    <row r="524" spans="1:19">
      <c r="A524" s="3227" t="s">
        <v>5677</v>
      </c>
      <c r="B524" s="3228">
        <v>29.47</v>
      </c>
      <c r="C524" s="21">
        <f t="shared" si="76"/>
        <v>1</v>
      </c>
      <c r="D524" s="3237" t="s">
        <v>5487</v>
      </c>
      <c r="E524" s="21">
        <f t="shared" si="77"/>
        <v>1.02</v>
      </c>
      <c r="F524" s="635"/>
      <c r="G524" s="21">
        <f t="shared" si="78"/>
        <v>1</v>
      </c>
      <c r="H524" s="635"/>
      <c r="I524" s="21">
        <f t="shared" si="79"/>
        <v>1</v>
      </c>
      <c r="J524" s="635"/>
      <c r="K524" s="21">
        <f t="shared" si="80"/>
        <v>1</v>
      </c>
      <c r="L524" s="635"/>
      <c r="M524" s="21">
        <f t="shared" si="81"/>
        <v>1</v>
      </c>
      <c r="N524" s="635"/>
      <c r="O524" s="21">
        <f t="shared" si="82"/>
        <v>1</v>
      </c>
      <c r="P524" s="635"/>
      <c r="Q524" s="21">
        <f t="shared" si="83"/>
        <v>1</v>
      </c>
      <c r="R524" s="21">
        <f t="shared" ca="1" si="84"/>
        <v>5145</v>
      </c>
      <c r="S524" s="308">
        <f t="shared" ca="1" si="75"/>
        <v>15</v>
      </c>
    </row>
    <row r="525" spans="1:19">
      <c r="A525" s="3227" t="s">
        <v>4514</v>
      </c>
      <c r="B525" s="3228">
        <v>29.47</v>
      </c>
      <c r="C525" s="3241">
        <f t="shared" si="76"/>
        <v>1</v>
      </c>
      <c r="D525" s="3237" t="s">
        <v>4322</v>
      </c>
      <c r="E525" s="3241">
        <f t="shared" ref="E525:E588" si="85">(SUMIF($5:$5,D525,$6:$6)-SUMIF($5:$5,$D$24,$6:$6)+100)/100</f>
        <v>1.02</v>
      </c>
      <c r="F525" s="635"/>
      <c r="G525" s="3241">
        <f t="shared" ref="G525:G588" si="86">(SUMIF($7:$7,F525,$8:$8)-SUMIF($7:$7,$F$24,$8:$8)+100)/100</f>
        <v>1</v>
      </c>
      <c r="H525" s="635"/>
      <c r="I525" s="3241">
        <f t="shared" ref="I525:I588" si="87">(SUMIF($9:$9,H525,$10:$10)-SUMIF($9:$9,$H$24,$10:$10)+100)/100</f>
        <v>1</v>
      </c>
      <c r="J525" s="635"/>
      <c r="K525" s="3241">
        <f t="shared" ref="K525:K588" si="88">(SUMIF($11:$11,J525,$12:$12)-SUMIF($11:$11,$J$24,$12:$12)+100)/100</f>
        <v>1</v>
      </c>
      <c r="L525" s="635"/>
      <c r="M525" s="3241">
        <f t="shared" ref="M525:M588" si="89">(SUMIF($13:$13,L525,$14:$14)-SUMIF($13:$13,$L$24,$14:$14)+100)/100</f>
        <v>1</v>
      </c>
      <c r="N525" s="635"/>
      <c r="O525" s="3241">
        <f t="shared" ref="O525:O588" si="90">(SUMIF($15:$15,N525,$16:$16)-SUMIF($15:$15,$N$24,$16:$16)+100)/100</f>
        <v>1</v>
      </c>
      <c r="P525" s="635"/>
      <c r="Q525" s="3241">
        <f t="shared" ref="Q525:Q588" si="91">(SUMIF($17:$17,P525,$18:$18)-SUMIF($17:$17,$P$24,$18:$18)+100)/100</f>
        <v>1</v>
      </c>
      <c r="R525" s="3241">
        <f t="shared" ref="R525:R588" ca="1" si="92">IF(B525="",0,ROUND($R$24*C525*E525*G525*I525*K525*M525*O525*Q525,0))</f>
        <v>5145</v>
      </c>
      <c r="S525" s="905">
        <f t="shared" ref="S525:S588" ca="1" si="93">ROUND(R525*B525/10000,0)</f>
        <v>15</v>
      </c>
    </row>
    <row r="526" spans="1:19">
      <c r="A526" s="3227" t="s">
        <v>5679</v>
      </c>
      <c r="B526" s="3228">
        <v>29.47</v>
      </c>
      <c r="C526" s="3241">
        <f t="shared" si="76"/>
        <v>1</v>
      </c>
      <c r="D526" s="3237" t="s">
        <v>5487</v>
      </c>
      <c r="E526" s="3241">
        <f t="shared" si="85"/>
        <v>1.02</v>
      </c>
      <c r="F526" s="635"/>
      <c r="G526" s="3241">
        <f t="shared" si="86"/>
        <v>1</v>
      </c>
      <c r="H526" s="635"/>
      <c r="I526" s="3241">
        <f t="shared" si="87"/>
        <v>1</v>
      </c>
      <c r="J526" s="635"/>
      <c r="K526" s="3241">
        <f t="shared" si="88"/>
        <v>1</v>
      </c>
      <c r="L526" s="635"/>
      <c r="M526" s="3241">
        <f t="shared" si="89"/>
        <v>1</v>
      </c>
      <c r="N526" s="635"/>
      <c r="O526" s="3241">
        <f t="shared" si="90"/>
        <v>1</v>
      </c>
      <c r="P526" s="635"/>
      <c r="Q526" s="3241">
        <f t="shared" si="91"/>
        <v>1</v>
      </c>
      <c r="R526" s="3241">
        <f t="shared" ca="1" si="92"/>
        <v>5145</v>
      </c>
      <c r="S526" s="905">
        <f t="shared" ca="1" si="93"/>
        <v>15</v>
      </c>
    </row>
    <row r="527" spans="1:19">
      <c r="A527" s="3227" t="s">
        <v>4516</v>
      </c>
      <c r="B527" s="3228">
        <v>29.47</v>
      </c>
      <c r="C527" s="3241">
        <f t="shared" si="76"/>
        <v>1</v>
      </c>
      <c r="D527" s="3237" t="s">
        <v>4322</v>
      </c>
      <c r="E527" s="3241">
        <f t="shared" si="85"/>
        <v>1.02</v>
      </c>
      <c r="F527" s="635"/>
      <c r="G527" s="3241">
        <f t="shared" si="86"/>
        <v>1</v>
      </c>
      <c r="H527" s="635"/>
      <c r="I527" s="3241">
        <f t="shared" si="87"/>
        <v>1</v>
      </c>
      <c r="J527" s="635"/>
      <c r="K527" s="3241">
        <f t="shared" si="88"/>
        <v>1</v>
      </c>
      <c r="L527" s="635"/>
      <c r="M527" s="3241">
        <f t="shared" si="89"/>
        <v>1</v>
      </c>
      <c r="N527" s="635"/>
      <c r="O527" s="3241">
        <f t="shared" si="90"/>
        <v>1</v>
      </c>
      <c r="P527" s="635"/>
      <c r="Q527" s="3241">
        <f t="shared" si="91"/>
        <v>1</v>
      </c>
      <c r="R527" s="3241">
        <f t="shared" ca="1" si="92"/>
        <v>5145</v>
      </c>
      <c r="S527" s="905">
        <f t="shared" ca="1" si="93"/>
        <v>15</v>
      </c>
    </row>
    <row r="528" spans="1:19">
      <c r="A528" s="3227" t="s">
        <v>5681</v>
      </c>
      <c r="B528" s="3228">
        <v>29.47</v>
      </c>
      <c r="C528" s="3241">
        <f t="shared" si="76"/>
        <v>1</v>
      </c>
      <c r="D528" s="3237" t="s">
        <v>5487</v>
      </c>
      <c r="E528" s="3241">
        <f t="shared" si="85"/>
        <v>1.02</v>
      </c>
      <c r="F528" s="635"/>
      <c r="G528" s="3241">
        <f t="shared" si="86"/>
        <v>1</v>
      </c>
      <c r="H528" s="635"/>
      <c r="I528" s="3241">
        <f t="shared" si="87"/>
        <v>1</v>
      </c>
      <c r="J528" s="635"/>
      <c r="K528" s="3241">
        <f t="shared" si="88"/>
        <v>1</v>
      </c>
      <c r="L528" s="635"/>
      <c r="M528" s="3241">
        <f t="shared" si="89"/>
        <v>1</v>
      </c>
      <c r="N528" s="635"/>
      <c r="O528" s="3241">
        <f t="shared" si="90"/>
        <v>1</v>
      </c>
      <c r="P528" s="635"/>
      <c r="Q528" s="3241">
        <f t="shared" si="91"/>
        <v>1</v>
      </c>
      <c r="R528" s="3241">
        <f t="shared" ca="1" si="92"/>
        <v>5145</v>
      </c>
      <c r="S528" s="905">
        <f t="shared" ca="1" si="93"/>
        <v>15</v>
      </c>
    </row>
    <row r="529" spans="1:19">
      <c r="A529" s="3227" t="s">
        <v>4518</v>
      </c>
      <c r="B529" s="3228">
        <v>28.18</v>
      </c>
      <c r="C529" s="3241">
        <f t="shared" si="76"/>
        <v>1</v>
      </c>
      <c r="D529" s="3237" t="s">
        <v>4322</v>
      </c>
      <c r="E529" s="3241">
        <f t="shared" si="85"/>
        <v>1.02</v>
      </c>
      <c r="F529" s="635"/>
      <c r="G529" s="3241">
        <f t="shared" si="86"/>
        <v>1</v>
      </c>
      <c r="H529" s="635"/>
      <c r="I529" s="3241">
        <f t="shared" si="87"/>
        <v>1</v>
      </c>
      <c r="J529" s="635"/>
      <c r="K529" s="3241">
        <f t="shared" si="88"/>
        <v>1</v>
      </c>
      <c r="L529" s="635"/>
      <c r="M529" s="3241">
        <f t="shared" si="89"/>
        <v>1</v>
      </c>
      <c r="N529" s="635"/>
      <c r="O529" s="3241">
        <f t="shared" si="90"/>
        <v>1</v>
      </c>
      <c r="P529" s="635"/>
      <c r="Q529" s="3241">
        <f t="shared" si="91"/>
        <v>1</v>
      </c>
      <c r="R529" s="3241">
        <f t="shared" ca="1" si="92"/>
        <v>5145</v>
      </c>
      <c r="S529" s="905">
        <f t="shared" ca="1" si="93"/>
        <v>14</v>
      </c>
    </row>
    <row r="530" spans="1:19">
      <c r="A530" s="3227" t="s">
        <v>5683</v>
      </c>
      <c r="B530" s="3228">
        <v>29.47</v>
      </c>
      <c r="C530" s="3241">
        <f t="shared" si="76"/>
        <v>1</v>
      </c>
      <c r="D530" s="3237" t="s">
        <v>5487</v>
      </c>
      <c r="E530" s="3241">
        <f t="shared" si="85"/>
        <v>1.02</v>
      </c>
      <c r="F530" s="635"/>
      <c r="G530" s="3241">
        <f t="shared" si="86"/>
        <v>1</v>
      </c>
      <c r="H530" s="635"/>
      <c r="I530" s="3241">
        <f t="shared" si="87"/>
        <v>1</v>
      </c>
      <c r="J530" s="635"/>
      <c r="K530" s="3241">
        <f t="shared" si="88"/>
        <v>1</v>
      </c>
      <c r="L530" s="635"/>
      <c r="M530" s="3241">
        <f t="shared" si="89"/>
        <v>1</v>
      </c>
      <c r="N530" s="635"/>
      <c r="O530" s="3241">
        <f t="shared" si="90"/>
        <v>1</v>
      </c>
      <c r="P530" s="635"/>
      <c r="Q530" s="3241">
        <f t="shared" si="91"/>
        <v>1</v>
      </c>
      <c r="R530" s="3241">
        <f t="shared" ca="1" si="92"/>
        <v>5145</v>
      </c>
      <c r="S530" s="905">
        <f t="shared" ca="1" si="93"/>
        <v>15</v>
      </c>
    </row>
    <row r="531" spans="1:19">
      <c r="A531" s="3227" t="s">
        <v>4520</v>
      </c>
      <c r="B531" s="3228">
        <v>29.47</v>
      </c>
      <c r="C531" s="3241">
        <f t="shared" si="76"/>
        <v>1</v>
      </c>
      <c r="D531" s="3237" t="s">
        <v>4322</v>
      </c>
      <c r="E531" s="3241">
        <f t="shared" si="85"/>
        <v>1.02</v>
      </c>
      <c r="F531" s="635"/>
      <c r="G531" s="3241">
        <f t="shared" si="86"/>
        <v>1</v>
      </c>
      <c r="H531" s="635"/>
      <c r="I531" s="3241">
        <f t="shared" si="87"/>
        <v>1</v>
      </c>
      <c r="J531" s="635"/>
      <c r="K531" s="3241">
        <f t="shared" si="88"/>
        <v>1</v>
      </c>
      <c r="L531" s="635"/>
      <c r="M531" s="3241">
        <f t="shared" si="89"/>
        <v>1</v>
      </c>
      <c r="N531" s="635"/>
      <c r="O531" s="3241">
        <f t="shared" si="90"/>
        <v>1</v>
      </c>
      <c r="P531" s="635"/>
      <c r="Q531" s="3241">
        <f t="shared" si="91"/>
        <v>1</v>
      </c>
      <c r="R531" s="3241">
        <f t="shared" ca="1" si="92"/>
        <v>5145</v>
      </c>
      <c r="S531" s="905">
        <f t="shared" ca="1" si="93"/>
        <v>15</v>
      </c>
    </row>
    <row r="532" spans="1:19">
      <c r="A532" s="3227" t="s">
        <v>5685</v>
      </c>
      <c r="B532" s="3228">
        <v>29.47</v>
      </c>
      <c r="C532" s="3241">
        <f t="shared" si="76"/>
        <v>1</v>
      </c>
      <c r="D532" s="3237" t="s">
        <v>5487</v>
      </c>
      <c r="E532" s="3241">
        <f t="shared" si="85"/>
        <v>1.02</v>
      </c>
      <c r="F532" s="635"/>
      <c r="G532" s="3241">
        <f t="shared" si="86"/>
        <v>1</v>
      </c>
      <c r="H532" s="635"/>
      <c r="I532" s="3241">
        <f t="shared" si="87"/>
        <v>1</v>
      </c>
      <c r="J532" s="635"/>
      <c r="K532" s="3241">
        <f t="shared" si="88"/>
        <v>1</v>
      </c>
      <c r="L532" s="635"/>
      <c r="M532" s="3241">
        <f t="shared" si="89"/>
        <v>1</v>
      </c>
      <c r="N532" s="635"/>
      <c r="O532" s="3241">
        <f t="shared" si="90"/>
        <v>1</v>
      </c>
      <c r="P532" s="635"/>
      <c r="Q532" s="3241">
        <f t="shared" si="91"/>
        <v>1</v>
      </c>
      <c r="R532" s="3241">
        <f t="shared" ca="1" si="92"/>
        <v>5145</v>
      </c>
      <c r="S532" s="905">
        <f t="shared" ca="1" si="93"/>
        <v>15</v>
      </c>
    </row>
    <row r="533" spans="1:19">
      <c r="A533" s="3227" t="s">
        <v>4522</v>
      </c>
      <c r="B533" s="3228">
        <v>29.47</v>
      </c>
      <c r="C533" s="3241">
        <f t="shared" si="76"/>
        <v>1</v>
      </c>
      <c r="D533" s="3237" t="s">
        <v>4322</v>
      </c>
      <c r="E533" s="3241">
        <f t="shared" si="85"/>
        <v>1.02</v>
      </c>
      <c r="F533" s="635"/>
      <c r="G533" s="3241">
        <f t="shared" si="86"/>
        <v>1</v>
      </c>
      <c r="H533" s="635"/>
      <c r="I533" s="3241">
        <f t="shared" si="87"/>
        <v>1</v>
      </c>
      <c r="J533" s="635"/>
      <c r="K533" s="3241">
        <f t="shared" si="88"/>
        <v>1</v>
      </c>
      <c r="L533" s="635"/>
      <c r="M533" s="3241">
        <f t="shared" si="89"/>
        <v>1</v>
      </c>
      <c r="N533" s="635"/>
      <c r="O533" s="3241">
        <f t="shared" si="90"/>
        <v>1</v>
      </c>
      <c r="P533" s="635"/>
      <c r="Q533" s="3241">
        <f t="shared" si="91"/>
        <v>1</v>
      </c>
      <c r="R533" s="3241">
        <f t="shared" ca="1" si="92"/>
        <v>5145</v>
      </c>
      <c r="S533" s="905">
        <f t="shared" ca="1" si="93"/>
        <v>15</v>
      </c>
    </row>
    <row r="534" spans="1:19">
      <c r="A534" s="3227" t="s">
        <v>5687</v>
      </c>
      <c r="B534" s="3228">
        <v>30.74</v>
      </c>
      <c r="C534" s="3241">
        <f t="shared" si="76"/>
        <v>1</v>
      </c>
      <c r="D534" s="3237" t="s">
        <v>5487</v>
      </c>
      <c r="E534" s="3241">
        <f t="shared" si="85"/>
        <v>1.02</v>
      </c>
      <c r="F534" s="635"/>
      <c r="G534" s="3241">
        <f t="shared" si="86"/>
        <v>1</v>
      </c>
      <c r="H534" s="635"/>
      <c r="I534" s="3241">
        <f t="shared" si="87"/>
        <v>1</v>
      </c>
      <c r="J534" s="635"/>
      <c r="K534" s="3241">
        <f t="shared" si="88"/>
        <v>1</v>
      </c>
      <c r="L534" s="635"/>
      <c r="M534" s="3241">
        <f t="shared" si="89"/>
        <v>1</v>
      </c>
      <c r="N534" s="635"/>
      <c r="O534" s="3241">
        <f t="shared" si="90"/>
        <v>1</v>
      </c>
      <c r="P534" s="635"/>
      <c r="Q534" s="3241">
        <f t="shared" si="91"/>
        <v>1</v>
      </c>
      <c r="R534" s="3241">
        <f t="shared" ca="1" si="92"/>
        <v>5145</v>
      </c>
      <c r="S534" s="905">
        <f t="shared" ca="1" si="93"/>
        <v>16</v>
      </c>
    </row>
    <row r="535" spans="1:19">
      <c r="A535" s="3227" t="s">
        <v>4524</v>
      </c>
      <c r="B535" s="3228">
        <v>30.74</v>
      </c>
      <c r="C535" s="3241">
        <f t="shared" si="76"/>
        <v>1</v>
      </c>
      <c r="D535" s="3237" t="s">
        <v>4322</v>
      </c>
      <c r="E535" s="3241">
        <f t="shared" si="85"/>
        <v>1.02</v>
      </c>
      <c r="F535" s="635"/>
      <c r="G535" s="3241">
        <f t="shared" si="86"/>
        <v>1</v>
      </c>
      <c r="H535" s="635"/>
      <c r="I535" s="3241">
        <f t="shared" si="87"/>
        <v>1</v>
      </c>
      <c r="J535" s="635"/>
      <c r="K535" s="3241">
        <f t="shared" si="88"/>
        <v>1</v>
      </c>
      <c r="L535" s="635"/>
      <c r="M535" s="3241">
        <f t="shared" si="89"/>
        <v>1</v>
      </c>
      <c r="N535" s="635"/>
      <c r="O535" s="3241">
        <f t="shared" si="90"/>
        <v>1</v>
      </c>
      <c r="P535" s="635"/>
      <c r="Q535" s="3241">
        <f t="shared" si="91"/>
        <v>1</v>
      </c>
      <c r="R535" s="3241">
        <f t="shared" ca="1" si="92"/>
        <v>5145</v>
      </c>
      <c r="S535" s="905">
        <f t="shared" ca="1" si="93"/>
        <v>16</v>
      </c>
    </row>
    <row r="536" spans="1:19">
      <c r="A536" s="3227" t="s">
        <v>5689</v>
      </c>
      <c r="B536" s="3228">
        <v>28.18</v>
      </c>
      <c r="C536" s="3241">
        <f t="shared" si="76"/>
        <v>1</v>
      </c>
      <c r="D536" s="3237" t="s">
        <v>5487</v>
      </c>
      <c r="E536" s="3241">
        <f t="shared" si="85"/>
        <v>1.02</v>
      </c>
      <c r="F536" s="635"/>
      <c r="G536" s="3241">
        <f t="shared" si="86"/>
        <v>1</v>
      </c>
      <c r="H536" s="635"/>
      <c r="I536" s="3241">
        <f t="shared" si="87"/>
        <v>1</v>
      </c>
      <c r="J536" s="635"/>
      <c r="K536" s="3241">
        <f t="shared" si="88"/>
        <v>1</v>
      </c>
      <c r="L536" s="635"/>
      <c r="M536" s="3241">
        <f t="shared" si="89"/>
        <v>1</v>
      </c>
      <c r="N536" s="635"/>
      <c r="O536" s="3241">
        <f t="shared" si="90"/>
        <v>1</v>
      </c>
      <c r="P536" s="635"/>
      <c r="Q536" s="3241">
        <f t="shared" si="91"/>
        <v>1</v>
      </c>
      <c r="R536" s="3241">
        <f t="shared" ca="1" si="92"/>
        <v>5145</v>
      </c>
      <c r="S536" s="905">
        <f t="shared" ca="1" si="93"/>
        <v>14</v>
      </c>
    </row>
    <row r="537" spans="1:19">
      <c r="A537" s="3227" t="s">
        <v>4526</v>
      </c>
      <c r="B537" s="3228">
        <v>28.18</v>
      </c>
      <c r="C537" s="3241">
        <f t="shared" si="76"/>
        <v>1</v>
      </c>
      <c r="D537" s="3237" t="s">
        <v>4322</v>
      </c>
      <c r="E537" s="3241">
        <f t="shared" si="85"/>
        <v>1.02</v>
      </c>
      <c r="F537" s="635"/>
      <c r="G537" s="3241">
        <f t="shared" si="86"/>
        <v>1</v>
      </c>
      <c r="H537" s="635"/>
      <c r="I537" s="3241">
        <f t="shared" si="87"/>
        <v>1</v>
      </c>
      <c r="J537" s="635"/>
      <c r="K537" s="3241">
        <f t="shared" si="88"/>
        <v>1</v>
      </c>
      <c r="L537" s="635"/>
      <c r="M537" s="3241">
        <f t="shared" si="89"/>
        <v>1</v>
      </c>
      <c r="N537" s="635"/>
      <c r="O537" s="3241">
        <f t="shared" si="90"/>
        <v>1</v>
      </c>
      <c r="P537" s="635"/>
      <c r="Q537" s="3241">
        <f t="shared" si="91"/>
        <v>1</v>
      </c>
      <c r="R537" s="3241">
        <f t="shared" ca="1" si="92"/>
        <v>5145</v>
      </c>
      <c r="S537" s="905">
        <f t="shared" ca="1" si="93"/>
        <v>14</v>
      </c>
    </row>
    <row r="538" spans="1:19">
      <c r="A538" s="3227" t="s">
        <v>5691</v>
      </c>
      <c r="B538" s="3228">
        <v>29.47</v>
      </c>
      <c r="C538" s="3241">
        <f t="shared" ref="C538:C601" si="94">IF(B538="",1,(LOOKUP(B538,$3:$3,$4:$4)-LOOKUP($B$24,$3:$3,$4:$4)+100)/100)</f>
        <v>1</v>
      </c>
      <c r="D538" s="3237" t="s">
        <v>5487</v>
      </c>
      <c r="E538" s="3241">
        <f t="shared" si="85"/>
        <v>1.02</v>
      </c>
      <c r="F538" s="635"/>
      <c r="G538" s="3241">
        <f t="shared" si="86"/>
        <v>1</v>
      </c>
      <c r="H538" s="635"/>
      <c r="I538" s="3241">
        <f t="shared" si="87"/>
        <v>1</v>
      </c>
      <c r="J538" s="635"/>
      <c r="K538" s="3241">
        <f t="shared" si="88"/>
        <v>1</v>
      </c>
      <c r="L538" s="635"/>
      <c r="M538" s="3241">
        <f t="shared" si="89"/>
        <v>1</v>
      </c>
      <c r="N538" s="635"/>
      <c r="O538" s="3241">
        <f t="shared" si="90"/>
        <v>1</v>
      </c>
      <c r="P538" s="635"/>
      <c r="Q538" s="3241">
        <f t="shared" si="91"/>
        <v>1</v>
      </c>
      <c r="R538" s="3241">
        <f t="shared" ca="1" si="92"/>
        <v>5145</v>
      </c>
      <c r="S538" s="905">
        <f t="shared" ca="1" si="93"/>
        <v>15</v>
      </c>
    </row>
    <row r="539" spans="1:19">
      <c r="A539" s="3227" t="s">
        <v>4528</v>
      </c>
      <c r="B539" s="3228">
        <v>29.47</v>
      </c>
      <c r="C539" s="3241">
        <f t="shared" si="94"/>
        <v>1</v>
      </c>
      <c r="D539" s="3237" t="s">
        <v>4322</v>
      </c>
      <c r="E539" s="3241">
        <f t="shared" si="85"/>
        <v>1.02</v>
      </c>
      <c r="F539" s="635"/>
      <c r="G539" s="3241">
        <f t="shared" si="86"/>
        <v>1</v>
      </c>
      <c r="H539" s="635"/>
      <c r="I539" s="3241">
        <f t="shared" si="87"/>
        <v>1</v>
      </c>
      <c r="J539" s="635"/>
      <c r="K539" s="3241">
        <f t="shared" si="88"/>
        <v>1</v>
      </c>
      <c r="L539" s="635"/>
      <c r="M539" s="3241">
        <f t="shared" si="89"/>
        <v>1</v>
      </c>
      <c r="N539" s="635"/>
      <c r="O539" s="3241">
        <f t="shared" si="90"/>
        <v>1</v>
      </c>
      <c r="P539" s="635"/>
      <c r="Q539" s="3241">
        <f t="shared" si="91"/>
        <v>1</v>
      </c>
      <c r="R539" s="3241">
        <f t="shared" ca="1" si="92"/>
        <v>5145</v>
      </c>
      <c r="S539" s="905">
        <f t="shared" ca="1" si="93"/>
        <v>15</v>
      </c>
    </row>
    <row r="540" spans="1:19">
      <c r="A540" s="3227" t="s">
        <v>5693</v>
      </c>
      <c r="B540" s="3228">
        <v>29.47</v>
      </c>
      <c r="C540" s="3241">
        <f t="shared" si="94"/>
        <v>1</v>
      </c>
      <c r="D540" s="3237" t="s">
        <v>5487</v>
      </c>
      <c r="E540" s="3241">
        <f t="shared" si="85"/>
        <v>1.02</v>
      </c>
      <c r="F540" s="635"/>
      <c r="G540" s="3241">
        <f t="shared" si="86"/>
        <v>1</v>
      </c>
      <c r="H540" s="635"/>
      <c r="I540" s="3241">
        <f t="shared" si="87"/>
        <v>1</v>
      </c>
      <c r="J540" s="635"/>
      <c r="K540" s="3241">
        <f t="shared" si="88"/>
        <v>1</v>
      </c>
      <c r="L540" s="635"/>
      <c r="M540" s="3241">
        <f t="shared" si="89"/>
        <v>1</v>
      </c>
      <c r="N540" s="635"/>
      <c r="O540" s="3241">
        <f t="shared" si="90"/>
        <v>1</v>
      </c>
      <c r="P540" s="635"/>
      <c r="Q540" s="3241">
        <f t="shared" si="91"/>
        <v>1</v>
      </c>
      <c r="R540" s="3241">
        <f t="shared" ca="1" si="92"/>
        <v>5145</v>
      </c>
      <c r="S540" s="905">
        <f t="shared" ca="1" si="93"/>
        <v>15</v>
      </c>
    </row>
    <row r="541" spans="1:19">
      <c r="A541" s="3227" t="s">
        <v>4530</v>
      </c>
      <c r="B541" s="3228">
        <v>29.47</v>
      </c>
      <c r="C541" s="3241">
        <f t="shared" si="94"/>
        <v>1</v>
      </c>
      <c r="D541" s="3237" t="s">
        <v>4322</v>
      </c>
      <c r="E541" s="3241">
        <f t="shared" si="85"/>
        <v>1.02</v>
      </c>
      <c r="F541" s="635"/>
      <c r="G541" s="3241">
        <f t="shared" si="86"/>
        <v>1</v>
      </c>
      <c r="H541" s="635"/>
      <c r="I541" s="3241">
        <f t="shared" si="87"/>
        <v>1</v>
      </c>
      <c r="J541" s="635"/>
      <c r="K541" s="3241">
        <f t="shared" si="88"/>
        <v>1</v>
      </c>
      <c r="L541" s="635"/>
      <c r="M541" s="3241">
        <f t="shared" si="89"/>
        <v>1</v>
      </c>
      <c r="N541" s="635"/>
      <c r="O541" s="3241">
        <f t="shared" si="90"/>
        <v>1</v>
      </c>
      <c r="P541" s="635"/>
      <c r="Q541" s="3241">
        <f t="shared" si="91"/>
        <v>1</v>
      </c>
      <c r="R541" s="3241">
        <f t="shared" ca="1" si="92"/>
        <v>5145</v>
      </c>
      <c r="S541" s="905">
        <f t="shared" ca="1" si="93"/>
        <v>15</v>
      </c>
    </row>
    <row r="542" spans="1:19">
      <c r="A542" s="3227" t="s">
        <v>5695</v>
      </c>
      <c r="B542" s="3228">
        <v>29.47</v>
      </c>
      <c r="C542" s="3241">
        <f t="shared" si="94"/>
        <v>1</v>
      </c>
      <c r="D542" s="3237" t="s">
        <v>5487</v>
      </c>
      <c r="E542" s="3241">
        <f t="shared" si="85"/>
        <v>1.02</v>
      </c>
      <c r="F542" s="635"/>
      <c r="G542" s="3241">
        <f t="shared" si="86"/>
        <v>1</v>
      </c>
      <c r="H542" s="635"/>
      <c r="I542" s="3241">
        <f t="shared" si="87"/>
        <v>1</v>
      </c>
      <c r="J542" s="635"/>
      <c r="K542" s="3241">
        <f t="shared" si="88"/>
        <v>1</v>
      </c>
      <c r="L542" s="635"/>
      <c r="M542" s="3241">
        <f t="shared" si="89"/>
        <v>1</v>
      </c>
      <c r="N542" s="635"/>
      <c r="O542" s="3241">
        <f t="shared" si="90"/>
        <v>1</v>
      </c>
      <c r="P542" s="635"/>
      <c r="Q542" s="3241">
        <f t="shared" si="91"/>
        <v>1</v>
      </c>
      <c r="R542" s="3241">
        <f t="shared" ca="1" si="92"/>
        <v>5145</v>
      </c>
      <c r="S542" s="905">
        <f t="shared" ca="1" si="93"/>
        <v>15</v>
      </c>
    </row>
    <row r="543" spans="1:19">
      <c r="A543" s="3227" t="s">
        <v>4532</v>
      </c>
      <c r="B543" s="3228">
        <v>28.18</v>
      </c>
      <c r="C543" s="3241">
        <f t="shared" si="94"/>
        <v>1</v>
      </c>
      <c r="D543" s="3237" t="s">
        <v>4322</v>
      </c>
      <c r="E543" s="3241">
        <f t="shared" si="85"/>
        <v>1.02</v>
      </c>
      <c r="F543" s="635"/>
      <c r="G543" s="3241">
        <f t="shared" si="86"/>
        <v>1</v>
      </c>
      <c r="H543" s="635"/>
      <c r="I543" s="3241">
        <f t="shared" si="87"/>
        <v>1</v>
      </c>
      <c r="J543" s="635"/>
      <c r="K543" s="3241">
        <f t="shared" si="88"/>
        <v>1</v>
      </c>
      <c r="L543" s="635"/>
      <c r="M543" s="3241">
        <f t="shared" si="89"/>
        <v>1</v>
      </c>
      <c r="N543" s="635"/>
      <c r="O543" s="3241">
        <f t="shared" si="90"/>
        <v>1</v>
      </c>
      <c r="P543" s="635"/>
      <c r="Q543" s="3241">
        <f t="shared" si="91"/>
        <v>1</v>
      </c>
      <c r="R543" s="3241">
        <f t="shared" ca="1" si="92"/>
        <v>5145</v>
      </c>
      <c r="S543" s="905">
        <f t="shared" ca="1" si="93"/>
        <v>14</v>
      </c>
    </row>
    <row r="544" spans="1:19">
      <c r="A544" s="3227" t="s">
        <v>5697</v>
      </c>
      <c r="B544" s="3228">
        <v>28.18</v>
      </c>
      <c r="C544" s="3241">
        <f t="shared" si="94"/>
        <v>1</v>
      </c>
      <c r="D544" s="3237" t="s">
        <v>5487</v>
      </c>
      <c r="E544" s="3241">
        <f t="shared" si="85"/>
        <v>1.02</v>
      </c>
      <c r="F544" s="635"/>
      <c r="G544" s="3241">
        <f t="shared" si="86"/>
        <v>1</v>
      </c>
      <c r="H544" s="635"/>
      <c r="I544" s="3241">
        <f t="shared" si="87"/>
        <v>1</v>
      </c>
      <c r="J544" s="635"/>
      <c r="K544" s="3241">
        <f t="shared" si="88"/>
        <v>1</v>
      </c>
      <c r="L544" s="635"/>
      <c r="M544" s="3241">
        <f t="shared" si="89"/>
        <v>1</v>
      </c>
      <c r="N544" s="635"/>
      <c r="O544" s="3241">
        <f t="shared" si="90"/>
        <v>1</v>
      </c>
      <c r="P544" s="635"/>
      <c r="Q544" s="3241">
        <f t="shared" si="91"/>
        <v>1</v>
      </c>
      <c r="R544" s="3241">
        <f t="shared" ca="1" si="92"/>
        <v>5145</v>
      </c>
      <c r="S544" s="905">
        <f t="shared" ca="1" si="93"/>
        <v>14</v>
      </c>
    </row>
    <row r="545" spans="1:19">
      <c r="A545" s="3227" t="s">
        <v>4534</v>
      </c>
      <c r="B545" s="3228">
        <v>29.47</v>
      </c>
      <c r="C545" s="3241">
        <f t="shared" si="94"/>
        <v>1</v>
      </c>
      <c r="D545" s="3239" t="s">
        <v>4330</v>
      </c>
      <c r="E545" s="3241">
        <f t="shared" si="85"/>
        <v>1.02</v>
      </c>
      <c r="F545" s="635"/>
      <c r="G545" s="3241">
        <f t="shared" si="86"/>
        <v>1</v>
      </c>
      <c r="H545" s="635"/>
      <c r="I545" s="3241">
        <f t="shared" si="87"/>
        <v>1</v>
      </c>
      <c r="J545" s="635"/>
      <c r="K545" s="3241">
        <f t="shared" si="88"/>
        <v>1</v>
      </c>
      <c r="L545" s="635"/>
      <c r="M545" s="3241">
        <f t="shared" si="89"/>
        <v>1</v>
      </c>
      <c r="N545" s="635"/>
      <c r="O545" s="3241">
        <f t="shared" si="90"/>
        <v>1</v>
      </c>
      <c r="P545" s="635"/>
      <c r="Q545" s="3241">
        <f t="shared" si="91"/>
        <v>1</v>
      </c>
      <c r="R545" s="3241">
        <f t="shared" ca="1" si="92"/>
        <v>5145</v>
      </c>
      <c r="S545" s="905">
        <f t="shared" ca="1" si="93"/>
        <v>15</v>
      </c>
    </row>
    <row r="546" spans="1:19">
      <c r="A546" s="3227" t="s">
        <v>5699</v>
      </c>
      <c r="B546" s="3228">
        <v>29.47</v>
      </c>
      <c r="C546" s="3241">
        <f t="shared" si="94"/>
        <v>1</v>
      </c>
      <c r="D546" s="3237" t="s">
        <v>5487</v>
      </c>
      <c r="E546" s="3241">
        <f t="shared" si="85"/>
        <v>1.02</v>
      </c>
      <c r="F546" s="635"/>
      <c r="G546" s="3241">
        <f t="shared" si="86"/>
        <v>1</v>
      </c>
      <c r="H546" s="635"/>
      <c r="I546" s="3241">
        <f t="shared" si="87"/>
        <v>1</v>
      </c>
      <c r="J546" s="635"/>
      <c r="K546" s="3241">
        <f t="shared" si="88"/>
        <v>1</v>
      </c>
      <c r="L546" s="635"/>
      <c r="M546" s="3241">
        <f t="shared" si="89"/>
        <v>1</v>
      </c>
      <c r="N546" s="635"/>
      <c r="O546" s="3241">
        <f t="shared" si="90"/>
        <v>1</v>
      </c>
      <c r="P546" s="635"/>
      <c r="Q546" s="3241">
        <f t="shared" si="91"/>
        <v>1</v>
      </c>
      <c r="R546" s="3241">
        <f t="shared" ca="1" si="92"/>
        <v>5145</v>
      </c>
      <c r="S546" s="905">
        <f t="shared" ca="1" si="93"/>
        <v>15</v>
      </c>
    </row>
    <row r="547" spans="1:19">
      <c r="A547" s="3227" t="s">
        <v>4536</v>
      </c>
      <c r="B547" s="3228">
        <v>29.47</v>
      </c>
      <c r="C547" s="3241">
        <f t="shared" si="94"/>
        <v>1</v>
      </c>
      <c r="D547" s="3237" t="s">
        <v>4322</v>
      </c>
      <c r="E547" s="3241">
        <f t="shared" si="85"/>
        <v>1.02</v>
      </c>
      <c r="F547" s="635"/>
      <c r="G547" s="3241">
        <f t="shared" si="86"/>
        <v>1</v>
      </c>
      <c r="H547" s="635"/>
      <c r="I547" s="3241">
        <f t="shared" si="87"/>
        <v>1</v>
      </c>
      <c r="J547" s="635"/>
      <c r="K547" s="3241">
        <f t="shared" si="88"/>
        <v>1</v>
      </c>
      <c r="L547" s="635"/>
      <c r="M547" s="3241">
        <f t="shared" si="89"/>
        <v>1</v>
      </c>
      <c r="N547" s="635"/>
      <c r="O547" s="3241">
        <f t="shared" si="90"/>
        <v>1</v>
      </c>
      <c r="P547" s="635"/>
      <c r="Q547" s="3241">
        <f t="shared" si="91"/>
        <v>1</v>
      </c>
      <c r="R547" s="3241">
        <f t="shared" ca="1" si="92"/>
        <v>5145</v>
      </c>
      <c r="S547" s="905">
        <f t="shared" ca="1" si="93"/>
        <v>15</v>
      </c>
    </row>
    <row r="548" spans="1:19">
      <c r="A548" s="3227" t="s">
        <v>5701</v>
      </c>
      <c r="B548" s="3228">
        <v>29.47</v>
      </c>
      <c r="C548" s="3241">
        <f t="shared" si="94"/>
        <v>1</v>
      </c>
      <c r="D548" s="3237" t="s">
        <v>5487</v>
      </c>
      <c r="E548" s="3241">
        <f t="shared" si="85"/>
        <v>1.02</v>
      </c>
      <c r="F548" s="635"/>
      <c r="G548" s="3241">
        <f t="shared" si="86"/>
        <v>1</v>
      </c>
      <c r="H548" s="635"/>
      <c r="I548" s="3241">
        <f t="shared" si="87"/>
        <v>1</v>
      </c>
      <c r="J548" s="635"/>
      <c r="K548" s="3241">
        <f t="shared" si="88"/>
        <v>1</v>
      </c>
      <c r="L548" s="635"/>
      <c r="M548" s="3241">
        <f t="shared" si="89"/>
        <v>1</v>
      </c>
      <c r="N548" s="635"/>
      <c r="O548" s="3241">
        <f t="shared" si="90"/>
        <v>1</v>
      </c>
      <c r="P548" s="635"/>
      <c r="Q548" s="3241">
        <f t="shared" si="91"/>
        <v>1</v>
      </c>
      <c r="R548" s="3241">
        <f t="shared" ca="1" si="92"/>
        <v>5145</v>
      </c>
      <c r="S548" s="905">
        <f t="shared" ca="1" si="93"/>
        <v>15</v>
      </c>
    </row>
    <row r="549" spans="1:19">
      <c r="A549" s="3227" t="s">
        <v>4538</v>
      </c>
      <c r="B549" s="3228">
        <v>29.47</v>
      </c>
      <c r="C549" s="3241">
        <f t="shared" si="94"/>
        <v>1</v>
      </c>
      <c r="D549" s="3237" t="s">
        <v>4322</v>
      </c>
      <c r="E549" s="3241">
        <f t="shared" si="85"/>
        <v>1.02</v>
      </c>
      <c r="F549" s="635"/>
      <c r="G549" s="3241">
        <f t="shared" si="86"/>
        <v>1</v>
      </c>
      <c r="H549" s="635"/>
      <c r="I549" s="3241">
        <f t="shared" si="87"/>
        <v>1</v>
      </c>
      <c r="J549" s="635"/>
      <c r="K549" s="3241">
        <f t="shared" si="88"/>
        <v>1</v>
      </c>
      <c r="L549" s="635"/>
      <c r="M549" s="3241">
        <f t="shared" si="89"/>
        <v>1</v>
      </c>
      <c r="N549" s="635"/>
      <c r="O549" s="3241">
        <f t="shared" si="90"/>
        <v>1</v>
      </c>
      <c r="P549" s="635"/>
      <c r="Q549" s="3241">
        <f t="shared" si="91"/>
        <v>1</v>
      </c>
      <c r="R549" s="3241">
        <f t="shared" ca="1" si="92"/>
        <v>5145</v>
      </c>
      <c r="S549" s="905">
        <f t="shared" ca="1" si="93"/>
        <v>15</v>
      </c>
    </row>
    <row r="550" spans="1:19">
      <c r="A550" s="3227" t="s">
        <v>5703</v>
      </c>
      <c r="B550" s="3228">
        <v>29.47</v>
      </c>
      <c r="C550" s="3241">
        <f t="shared" si="94"/>
        <v>1</v>
      </c>
      <c r="D550" s="3237" t="s">
        <v>5487</v>
      </c>
      <c r="E550" s="3241">
        <f t="shared" si="85"/>
        <v>1.02</v>
      </c>
      <c r="F550" s="635"/>
      <c r="G550" s="3241">
        <f t="shared" si="86"/>
        <v>1</v>
      </c>
      <c r="H550" s="635"/>
      <c r="I550" s="3241">
        <f t="shared" si="87"/>
        <v>1</v>
      </c>
      <c r="J550" s="635"/>
      <c r="K550" s="3241">
        <f t="shared" si="88"/>
        <v>1</v>
      </c>
      <c r="L550" s="635"/>
      <c r="M550" s="3241">
        <f t="shared" si="89"/>
        <v>1</v>
      </c>
      <c r="N550" s="635"/>
      <c r="O550" s="3241">
        <f t="shared" si="90"/>
        <v>1</v>
      </c>
      <c r="P550" s="635"/>
      <c r="Q550" s="3241">
        <f t="shared" si="91"/>
        <v>1</v>
      </c>
      <c r="R550" s="3241">
        <f t="shared" ca="1" si="92"/>
        <v>5145</v>
      </c>
      <c r="S550" s="905">
        <f t="shared" ca="1" si="93"/>
        <v>15</v>
      </c>
    </row>
    <row r="551" spans="1:19">
      <c r="A551" s="3227" t="s">
        <v>4540</v>
      </c>
      <c r="B551" s="3228">
        <v>29.47</v>
      </c>
      <c r="C551" s="3241">
        <f t="shared" si="94"/>
        <v>1</v>
      </c>
      <c r="D551" s="3237" t="s">
        <v>4322</v>
      </c>
      <c r="E551" s="3241">
        <f t="shared" si="85"/>
        <v>1.02</v>
      </c>
      <c r="F551" s="635"/>
      <c r="G551" s="3241">
        <f t="shared" si="86"/>
        <v>1</v>
      </c>
      <c r="H551" s="635"/>
      <c r="I551" s="3241">
        <f t="shared" si="87"/>
        <v>1</v>
      </c>
      <c r="J551" s="635"/>
      <c r="K551" s="3241">
        <f t="shared" si="88"/>
        <v>1</v>
      </c>
      <c r="L551" s="635"/>
      <c r="M551" s="3241">
        <f t="shared" si="89"/>
        <v>1</v>
      </c>
      <c r="N551" s="635"/>
      <c r="O551" s="3241">
        <f t="shared" si="90"/>
        <v>1</v>
      </c>
      <c r="P551" s="635"/>
      <c r="Q551" s="3241">
        <f t="shared" si="91"/>
        <v>1</v>
      </c>
      <c r="R551" s="3241">
        <f t="shared" ca="1" si="92"/>
        <v>5145</v>
      </c>
      <c r="S551" s="905">
        <f t="shared" ca="1" si="93"/>
        <v>15</v>
      </c>
    </row>
    <row r="552" spans="1:19">
      <c r="A552" s="3227" t="s">
        <v>5705</v>
      </c>
      <c r="B552" s="3228">
        <v>29.47</v>
      </c>
      <c r="C552" s="3241">
        <f t="shared" si="94"/>
        <v>1</v>
      </c>
      <c r="D552" s="3239" t="s">
        <v>5494</v>
      </c>
      <c r="E552" s="3241">
        <f t="shared" si="85"/>
        <v>1.02</v>
      </c>
      <c r="F552" s="635"/>
      <c r="G552" s="3241">
        <f t="shared" si="86"/>
        <v>1</v>
      </c>
      <c r="H552" s="635"/>
      <c r="I552" s="3241">
        <f t="shared" si="87"/>
        <v>1</v>
      </c>
      <c r="J552" s="635"/>
      <c r="K552" s="3241">
        <f t="shared" si="88"/>
        <v>1</v>
      </c>
      <c r="L552" s="635"/>
      <c r="M552" s="3241">
        <f t="shared" si="89"/>
        <v>1</v>
      </c>
      <c r="N552" s="635"/>
      <c r="O552" s="3241">
        <f t="shared" si="90"/>
        <v>1</v>
      </c>
      <c r="P552" s="635"/>
      <c r="Q552" s="3241">
        <f t="shared" si="91"/>
        <v>1</v>
      </c>
      <c r="R552" s="3241">
        <f t="shared" ca="1" si="92"/>
        <v>5145</v>
      </c>
      <c r="S552" s="905">
        <f t="shared" ca="1" si="93"/>
        <v>15</v>
      </c>
    </row>
    <row r="553" spans="1:19">
      <c r="A553" s="3227" t="s">
        <v>4542</v>
      </c>
      <c r="B553" s="3228">
        <v>29.47</v>
      </c>
      <c r="C553" s="3241">
        <f t="shared" si="94"/>
        <v>1</v>
      </c>
      <c r="D553" s="3239" t="s">
        <v>4330</v>
      </c>
      <c r="E553" s="3241">
        <f t="shared" si="85"/>
        <v>1.02</v>
      </c>
      <c r="F553" s="635"/>
      <c r="G553" s="3241">
        <f t="shared" si="86"/>
        <v>1</v>
      </c>
      <c r="H553" s="635"/>
      <c r="I553" s="3241">
        <f t="shared" si="87"/>
        <v>1</v>
      </c>
      <c r="J553" s="635"/>
      <c r="K553" s="3241">
        <f t="shared" si="88"/>
        <v>1</v>
      </c>
      <c r="L553" s="635"/>
      <c r="M553" s="3241">
        <f t="shared" si="89"/>
        <v>1</v>
      </c>
      <c r="N553" s="635"/>
      <c r="O553" s="3241">
        <f t="shared" si="90"/>
        <v>1</v>
      </c>
      <c r="P553" s="635"/>
      <c r="Q553" s="3241">
        <f t="shared" si="91"/>
        <v>1</v>
      </c>
      <c r="R553" s="3241">
        <f t="shared" ca="1" si="92"/>
        <v>5145</v>
      </c>
      <c r="S553" s="905">
        <f t="shared" ca="1" si="93"/>
        <v>15</v>
      </c>
    </row>
    <row r="554" spans="1:19">
      <c r="A554" s="3227" t="s">
        <v>5707</v>
      </c>
      <c r="B554" s="3228">
        <v>29.47</v>
      </c>
      <c r="C554" s="3241">
        <f t="shared" si="94"/>
        <v>1</v>
      </c>
      <c r="D554" s="3239" t="s">
        <v>5494</v>
      </c>
      <c r="E554" s="3241">
        <f t="shared" si="85"/>
        <v>1.02</v>
      </c>
      <c r="F554" s="635"/>
      <c r="G554" s="3241">
        <f t="shared" si="86"/>
        <v>1</v>
      </c>
      <c r="H554" s="635"/>
      <c r="I554" s="3241">
        <f t="shared" si="87"/>
        <v>1</v>
      </c>
      <c r="J554" s="635"/>
      <c r="K554" s="3241">
        <f t="shared" si="88"/>
        <v>1</v>
      </c>
      <c r="L554" s="635"/>
      <c r="M554" s="3241">
        <f t="shared" si="89"/>
        <v>1</v>
      </c>
      <c r="N554" s="635"/>
      <c r="O554" s="3241">
        <f t="shared" si="90"/>
        <v>1</v>
      </c>
      <c r="P554" s="635"/>
      <c r="Q554" s="3241">
        <f t="shared" si="91"/>
        <v>1</v>
      </c>
      <c r="R554" s="3241">
        <f t="shared" ca="1" si="92"/>
        <v>5145</v>
      </c>
      <c r="S554" s="905">
        <f t="shared" ca="1" si="93"/>
        <v>15</v>
      </c>
    </row>
    <row r="555" spans="1:19">
      <c r="A555" s="3227" t="s">
        <v>4544</v>
      </c>
      <c r="B555" s="3228">
        <v>29.47</v>
      </c>
      <c r="C555" s="3241">
        <f t="shared" si="94"/>
        <v>1</v>
      </c>
      <c r="D555" s="3239" t="s">
        <v>4330</v>
      </c>
      <c r="E555" s="3241">
        <f t="shared" si="85"/>
        <v>1.02</v>
      </c>
      <c r="F555" s="635"/>
      <c r="G555" s="3241">
        <f t="shared" si="86"/>
        <v>1</v>
      </c>
      <c r="H555" s="635"/>
      <c r="I555" s="3241">
        <f t="shared" si="87"/>
        <v>1</v>
      </c>
      <c r="J555" s="635"/>
      <c r="K555" s="3241">
        <f t="shared" si="88"/>
        <v>1</v>
      </c>
      <c r="L555" s="635"/>
      <c r="M555" s="3241">
        <f t="shared" si="89"/>
        <v>1</v>
      </c>
      <c r="N555" s="635"/>
      <c r="O555" s="3241">
        <f t="shared" si="90"/>
        <v>1</v>
      </c>
      <c r="P555" s="635"/>
      <c r="Q555" s="3241">
        <f t="shared" si="91"/>
        <v>1</v>
      </c>
      <c r="R555" s="3241">
        <f t="shared" ca="1" si="92"/>
        <v>5145</v>
      </c>
      <c r="S555" s="905">
        <f t="shared" ca="1" si="93"/>
        <v>15</v>
      </c>
    </row>
    <row r="556" spans="1:19">
      <c r="A556" s="3227" t="s">
        <v>5709</v>
      </c>
      <c r="B556" s="3228">
        <v>29.47</v>
      </c>
      <c r="C556" s="3241">
        <f t="shared" si="94"/>
        <v>1</v>
      </c>
      <c r="D556" s="3237" t="s">
        <v>5487</v>
      </c>
      <c r="E556" s="3241">
        <f t="shared" si="85"/>
        <v>1.02</v>
      </c>
      <c r="F556" s="635"/>
      <c r="G556" s="3241">
        <f t="shared" si="86"/>
        <v>1</v>
      </c>
      <c r="H556" s="635"/>
      <c r="I556" s="3241">
        <f t="shared" si="87"/>
        <v>1</v>
      </c>
      <c r="J556" s="635"/>
      <c r="K556" s="3241">
        <f t="shared" si="88"/>
        <v>1</v>
      </c>
      <c r="L556" s="635"/>
      <c r="M556" s="3241">
        <f t="shared" si="89"/>
        <v>1</v>
      </c>
      <c r="N556" s="635"/>
      <c r="O556" s="3241">
        <f t="shared" si="90"/>
        <v>1</v>
      </c>
      <c r="P556" s="635"/>
      <c r="Q556" s="3241">
        <f t="shared" si="91"/>
        <v>1</v>
      </c>
      <c r="R556" s="3241">
        <f t="shared" ca="1" si="92"/>
        <v>5145</v>
      </c>
      <c r="S556" s="905">
        <f t="shared" ca="1" si="93"/>
        <v>15</v>
      </c>
    </row>
    <row r="557" spans="1:19">
      <c r="A557" s="3227" t="s">
        <v>4546</v>
      </c>
      <c r="B557" s="3228">
        <v>30.74</v>
      </c>
      <c r="C557" s="3241">
        <f t="shared" si="94"/>
        <v>1</v>
      </c>
      <c r="D557" s="3239" t="s">
        <v>4330</v>
      </c>
      <c r="E557" s="3241">
        <f t="shared" si="85"/>
        <v>1.02</v>
      </c>
      <c r="F557" s="635"/>
      <c r="G557" s="3241">
        <f t="shared" si="86"/>
        <v>1</v>
      </c>
      <c r="H557" s="635"/>
      <c r="I557" s="3241">
        <f t="shared" si="87"/>
        <v>1</v>
      </c>
      <c r="J557" s="635"/>
      <c r="K557" s="3241">
        <f t="shared" si="88"/>
        <v>1</v>
      </c>
      <c r="L557" s="635"/>
      <c r="M557" s="3241">
        <f t="shared" si="89"/>
        <v>1</v>
      </c>
      <c r="N557" s="635"/>
      <c r="O557" s="3241">
        <f t="shared" si="90"/>
        <v>1</v>
      </c>
      <c r="P557" s="635"/>
      <c r="Q557" s="3241">
        <f t="shared" si="91"/>
        <v>1</v>
      </c>
      <c r="R557" s="3241">
        <f t="shared" ca="1" si="92"/>
        <v>5145</v>
      </c>
      <c r="S557" s="905">
        <f t="shared" ca="1" si="93"/>
        <v>16</v>
      </c>
    </row>
    <row r="558" spans="1:19">
      <c r="A558" s="3227" t="s">
        <v>5711</v>
      </c>
      <c r="B558" s="3228">
        <v>30.74</v>
      </c>
      <c r="C558" s="3241">
        <f t="shared" si="94"/>
        <v>1</v>
      </c>
      <c r="D558" s="3237" t="s">
        <v>5487</v>
      </c>
      <c r="E558" s="3241">
        <f t="shared" si="85"/>
        <v>1.02</v>
      </c>
      <c r="F558" s="635"/>
      <c r="G558" s="3241">
        <f t="shared" si="86"/>
        <v>1</v>
      </c>
      <c r="H558" s="635"/>
      <c r="I558" s="3241">
        <f t="shared" si="87"/>
        <v>1</v>
      </c>
      <c r="J558" s="635"/>
      <c r="K558" s="3241">
        <f t="shared" si="88"/>
        <v>1</v>
      </c>
      <c r="L558" s="635"/>
      <c r="M558" s="3241">
        <f t="shared" si="89"/>
        <v>1</v>
      </c>
      <c r="N558" s="635"/>
      <c r="O558" s="3241">
        <f t="shared" si="90"/>
        <v>1</v>
      </c>
      <c r="P558" s="635"/>
      <c r="Q558" s="3241">
        <f t="shared" si="91"/>
        <v>1</v>
      </c>
      <c r="R558" s="3241">
        <f t="shared" ca="1" si="92"/>
        <v>5145</v>
      </c>
      <c r="S558" s="905">
        <f t="shared" ca="1" si="93"/>
        <v>16</v>
      </c>
    </row>
    <row r="559" spans="1:19">
      <c r="A559" s="3227" t="s">
        <v>4548</v>
      </c>
      <c r="B559" s="3228">
        <v>30.74</v>
      </c>
      <c r="C559" s="3241">
        <f t="shared" si="94"/>
        <v>1</v>
      </c>
      <c r="D559" s="3237" t="s">
        <v>4322</v>
      </c>
      <c r="E559" s="3241">
        <f t="shared" si="85"/>
        <v>1.02</v>
      </c>
      <c r="F559" s="635"/>
      <c r="G559" s="3241">
        <f t="shared" si="86"/>
        <v>1</v>
      </c>
      <c r="H559" s="635"/>
      <c r="I559" s="3241">
        <f t="shared" si="87"/>
        <v>1</v>
      </c>
      <c r="J559" s="635"/>
      <c r="K559" s="3241">
        <f t="shared" si="88"/>
        <v>1</v>
      </c>
      <c r="L559" s="635"/>
      <c r="M559" s="3241">
        <f t="shared" si="89"/>
        <v>1</v>
      </c>
      <c r="N559" s="635"/>
      <c r="O559" s="3241">
        <f t="shared" si="90"/>
        <v>1</v>
      </c>
      <c r="P559" s="635"/>
      <c r="Q559" s="3241">
        <f t="shared" si="91"/>
        <v>1</v>
      </c>
      <c r="R559" s="3241">
        <f t="shared" ca="1" si="92"/>
        <v>5145</v>
      </c>
      <c r="S559" s="905">
        <f t="shared" ca="1" si="93"/>
        <v>16</v>
      </c>
    </row>
    <row r="560" spans="1:19">
      <c r="A560" s="3227" t="s">
        <v>5713</v>
      </c>
      <c r="B560" s="3228">
        <v>30.74</v>
      </c>
      <c r="C560" s="3241">
        <f t="shared" si="94"/>
        <v>1</v>
      </c>
      <c r="D560" s="3237" t="s">
        <v>5487</v>
      </c>
      <c r="E560" s="3241">
        <f t="shared" si="85"/>
        <v>1.02</v>
      </c>
      <c r="F560" s="635"/>
      <c r="G560" s="3241">
        <f t="shared" si="86"/>
        <v>1</v>
      </c>
      <c r="H560" s="635"/>
      <c r="I560" s="3241">
        <f t="shared" si="87"/>
        <v>1</v>
      </c>
      <c r="J560" s="635"/>
      <c r="K560" s="3241">
        <f t="shared" si="88"/>
        <v>1</v>
      </c>
      <c r="L560" s="635"/>
      <c r="M560" s="3241">
        <f t="shared" si="89"/>
        <v>1</v>
      </c>
      <c r="N560" s="635"/>
      <c r="O560" s="3241">
        <f t="shared" si="90"/>
        <v>1</v>
      </c>
      <c r="P560" s="635"/>
      <c r="Q560" s="3241">
        <f t="shared" si="91"/>
        <v>1</v>
      </c>
      <c r="R560" s="3241">
        <f t="shared" ca="1" si="92"/>
        <v>5145</v>
      </c>
      <c r="S560" s="905">
        <f t="shared" ca="1" si="93"/>
        <v>16</v>
      </c>
    </row>
    <row r="561" spans="1:19">
      <c r="A561" s="3227" t="s">
        <v>4550</v>
      </c>
      <c r="B561" s="3228">
        <v>30.74</v>
      </c>
      <c r="C561" s="3241">
        <f t="shared" si="94"/>
        <v>1</v>
      </c>
      <c r="D561" s="3237" t="s">
        <v>4322</v>
      </c>
      <c r="E561" s="3241">
        <f t="shared" si="85"/>
        <v>1.02</v>
      </c>
      <c r="F561" s="635"/>
      <c r="G561" s="3241">
        <f t="shared" si="86"/>
        <v>1</v>
      </c>
      <c r="H561" s="635"/>
      <c r="I561" s="3241">
        <f t="shared" si="87"/>
        <v>1</v>
      </c>
      <c r="J561" s="635"/>
      <c r="K561" s="3241">
        <f t="shared" si="88"/>
        <v>1</v>
      </c>
      <c r="L561" s="635"/>
      <c r="M561" s="3241">
        <f t="shared" si="89"/>
        <v>1</v>
      </c>
      <c r="N561" s="635"/>
      <c r="O561" s="3241">
        <f t="shared" si="90"/>
        <v>1</v>
      </c>
      <c r="P561" s="635"/>
      <c r="Q561" s="3241">
        <f t="shared" si="91"/>
        <v>1</v>
      </c>
      <c r="R561" s="3241">
        <f t="shared" ca="1" si="92"/>
        <v>5145</v>
      </c>
      <c r="S561" s="905">
        <f t="shared" ca="1" si="93"/>
        <v>16</v>
      </c>
    </row>
    <row r="562" spans="1:19">
      <c r="A562" s="3227" t="s">
        <v>5715</v>
      </c>
      <c r="B562" s="3228">
        <v>30.74</v>
      </c>
      <c r="C562" s="3241">
        <f t="shared" si="94"/>
        <v>1</v>
      </c>
      <c r="D562" s="3237" t="s">
        <v>5487</v>
      </c>
      <c r="E562" s="3241">
        <f t="shared" si="85"/>
        <v>1.02</v>
      </c>
      <c r="F562" s="635"/>
      <c r="G562" s="3241">
        <f t="shared" si="86"/>
        <v>1</v>
      </c>
      <c r="H562" s="635"/>
      <c r="I562" s="3241">
        <f t="shared" si="87"/>
        <v>1</v>
      </c>
      <c r="J562" s="635"/>
      <c r="K562" s="3241">
        <f t="shared" si="88"/>
        <v>1</v>
      </c>
      <c r="L562" s="635"/>
      <c r="M562" s="3241">
        <f t="shared" si="89"/>
        <v>1</v>
      </c>
      <c r="N562" s="635"/>
      <c r="O562" s="3241">
        <f t="shared" si="90"/>
        <v>1</v>
      </c>
      <c r="P562" s="635"/>
      <c r="Q562" s="3241">
        <f t="shared" si="91"/>
        <v>1</v>
      </c>
      <c r="R562" s="3241">
        <f t="shared" ca="1" si="92"/>
        <v>5145</v>
      </c>
      <c r="S562" s="905">
        <f t="shared" ca="1" si="93"/>
        <v>16</v>
      </c>
    </row>
    <row r="563" spans="1:19">
      <c r="A563" s="3227" t="s">
        <v>4552</v>
      </c>
      <c r="B563" s="3228">
        <v>30.74</v>
      </c>
      <c r="C563" s="3241">
        <f t="shared" si="94"/>
        <v>1</v>
      </c>
      <c r="D563" s="3237" t="s">
        <v>4322</v>
      </c>
      <c r="E563" s="3241">
        <f t="shared" si="85"/>
        <v>1.02</v>
      </c>
      <c r="F563" s="635"/>
      <c r="G563" s="3241">
        <f t="shared" si="86"/>
        <v>1</v>
      </c>
      <c r="H563" s="635"/>
      <c r="I563" s="3241">
        <f t="shared" si="87"/>
        <v>1</v>
      </c>
      <c r="J563" s="635"/>
      <c r="K563" s="3241">
        <f t="shared" si="88"/>
        <v>1</v>
      </c>
      <c r="L563" s="635"/>
      <c r="M563" s="3241">
        <f t="shared" si="89"/>
        <v>1</v>
      </c>
      <c r="N563" s="635"/>
      <c r="O563" s="3241">
        <f t="shared" si="90"/>
        <v>1</v>
      </c>
      <c r="P563" s="635"/>
      <c r="Q563" s="3241">
        <f t="shared" si="91"/>
        <v>1</v>
      </c>
      <c r="R563" s="3241">
        <f t="shared" ca="1" si="92"/>
        <v>5145</v>
      </c>
      <c r="S563" s="905">
        <f t="shared" ca="1" si="93"/>
        <v>16</v>
      </c>
    </row>
    <row r="564" spans="1:19">
      <c r="A564" s="3227" t="s">
        <v>5717</v>
      </c>
      <c r="B564" s="3228">
        <v>30.74</v>
      </c>
      <c r="C564" s="3241">
        <f t="shared" si="94"/>
        <v>1</v>
      </c>
      <c r="D564" s="3237" t="s">
        <v>5487</v>
      </c>
      <c r="E564" s="3241">
        <f t="shared" si="85"/>
        <v>1.02</v>
      </c>
      <c r="F564" s="635"/>
      <c r="G564" s="3241">
        <f t="shared" si="86"/>
        <v>1</v>
      </c>
      <c r="H564" s="635"/>
      <c r="I564" s="3241">
        <f t="shared" si="87"/>
        <v>1</v>
      </c>
      <c r="J564" s="635"/>
      <c r="K564" s="3241">
        <f t="shared" si="88"/>
        <v>1</v>
      </c>
      <c r="L564" s="635"/>
      <c r="M564" s="3241">
        <f t="shared" si="89"/>
        <v>1</v>
      </c>
      <c r="N564" s="635"/>
      <c r="O564" s="3241">
        <f t="shared" si="90"/>
        <v>1</v>
      </c>
      <c r="P564" s="635"/>
      <c r="Q564" s="3241">
        <f t="shared" si="91"/>
        <v>1</v>
      </c>
      <c r="R564" s="3241">
        <f t="shared" ca="1" si="92"/>
        <v>5145</v>
      </c>
      <c r="S564" s="905">
        <f t="shared" ca="1" si="93"/>
        <v>16</v>
      </c>
    </row>
    <row r="565" spans="1:19">
      <c r="A565" s="3227" t="s">
        <v>4554</v>
      </c>
      <c r="B565" s="3228">
        <v>30.74</v>
      </c>
      <c r="C565" s="3241">
        <f t="shared" si="94"/>
        <v>1</v>
      </c>
      <c r="D565" s="3239" t="s">
        <v>4330</v>
      </c>
      <c r="E565" s="3241">
        <f t="shared" si="85"/>
        <v>1.02</v>
      </c>
      <c r="F565" s="635"/>
      <c r="G565" s="3241">
        <f t="shared" si="86"/>
        <v>1</v>
      </c>
      <c r="H565" s="635"/>
      <c r="I565" s="3241">
        <f t="shared" si="87"/>
        <v>1</v>
      </c>
      <c r="J565" s="635"/>
      <c r="K565" s="3241">
        <f t="shared" si="88"/>
        <v>1</v>
      </c>
      <c r="L565" s="635"/>
      <c r="M565" s="3241">
        <f t="shared" si="89"/>
        <v>1</v>
      </c>
      <c r="N565" s="635"/>
      <c r="O565" s="3241">
        <f t="shared" si="90"/>
        <v>1</v>
      </c>
      <c r="P565" s="635"/>
      <c r="Q565" s="3241">
        <f t="shared" si="91"/>
        <v>1</v>
      </c>
      <c r="R565" s="3241">
        <f t="shared" ca="1" si="92"/>
        <v>5145</v>
      </c>
      <c r="S565" s="905">
        <f t="shared" ca="1" si="93"/>
        <v>16</v>
      </c>
    </row>
    <row r="566" spans="1:19">
      <c r="A566" s="3227" t="s">
        <v>5719</v>
      </c>
      <c r="B566" s="3228">
        <v>30.74</v>
      </c>
      <c r="C566" s="3241">
        <f t="shared" si="94"/>
        <v>1</v>
      </c>
      <c r="D566" s="3237" t="s">
        <v>5487</v>
      </c>
      <c r="E566" s="3241">
        <f t="shared" si="85"/>
        <v>1.02</v>
      </c>
      <c r="F566" s="635"/>
      <c r="G566" s="3241">
        <f t="shared" si="86"/>
        <v>1</v>
      </c>
      <c r="H566" s="635"/>
      <c r="I566" s="3241">
        <f t="shared" si="87"/>
        <v>1</v>
      </c>
      <c r="J566" s="635"/>
      <c r="K566" s="3241">
        <f t="shared" si="88"/>
        <v>1</v>
      </c>
      <c r="L566" s="635"/>
      <c r="M566" s="3241">
        <f t="shared" si="89"/>
        <v>1</v>
      </c>
      <c r="N566" s="635"/>
      <c r="O566" s="3241">
        <f t="shared" si="90"/>
        <v>1</v>
      </c>
      <c r="P566" s="635"/>
      <c r="Q566" s="3241">
        <f t="shared" si="91"/>
        <v>1</v>
      </c>
      <c r="R566" s="3241">
        <f t="shared" ca="1" si="92"/>
        <v>5145</v>
      </c>
      <c r="S566" s="905">
        <f t="shared" ca="1" si="93"/>
        <v>16</v>
      </c>
    </row>
    <row r="567" spans="1:19">
      <c r="A567" s="3227" t="s">
        <v>4556</v>
      </c>
      <c r="B567" s="3228">
        <v>30.74</v>
      </c>
      <c r="C567" s="3241">
        <f t="shared" si="94"/>
        <v>1</v>
      </c>
      <c r="D567" s="3237" t="s">
        <v>4322</v>
      </c>
      <c r="E567" s="3241">
        <f t="shared" si="85"/>
        <v>1.02</v>
      </c>
      <c r="F567" s="635"/>
      <c r="G567" s="3241">
        <f t="shared" si="86"/>
        <v>1</v>
      </c>
      <c r="H567" s="635"/>
      <c r="I567" s="3241">
        <f t="shared" si="87"/>
        <v>1</v>
      </c>
      <c r="J567" s="635"/>
      <c r="K567" s="3241">
        <f t="shared" si="88"/>
        <v>1</v>
      </c>
      <c r="L567" s="635"/>
      <c r="M567" s="3241">
        <f t="shared" si="89"/>
        <v>1</v>
      </c>
      <c r="N567" s="635"/>
      <c r="O567" s="3241">
        <f t="shared" si="90"/>
        <v>1</v>
      </c>
      <c r="P567" s="635"/>
      <c r="Q567" s="3241">
        <f t="shared" si="91"/>
        <v>1</v>
      </c>
      <c r="R567" s="3241">
        <f t="shared" ca="1" si="92"/>
        <v>5145</v>
      </c>
      <c r="S567" s="905">
        <f t="shared" ca="1" si="93"/>
        <v>16</v>
      </c>
    </row>
    <row r="568" spans="1:19">
      <c r="A568" s="3227" t="s">
        <v>5721</v>
      </c>
      <c r="B568" s="3228">
        <v>30.74</v>
      </c>
      <c r="C568" s="3241">
        <f t="shared" si="94"/>
        <v>1</v>
      </c>
      <c r="D568" s="3237" t="s">
        <v>5487</v>
      </c>
      <c r="E568" s="3241">
        <f t="shared" si="85"/>
        <v>1.02</v>
      </c>
      <c r="F568" s="635"/>
      <c r="G568" s="3241">
        <f t="shared" si="86"/>
        <v>1</v>
      </c>
      <c r="H568" s="635"/>
      <c r="I568" s="3241">
        <f t="shared" si="87"/>
        <v>1</v>
      </c>
      <c r="J568" s="635"/>
      <c r="K568" s="3241">
        <f t="shared" si="88"/>
        <v>1</v>
      </c>
      <c r="L568" s="635"/>
      <c r="M568" s="3241">
        <f t="shared" si="89"/>
        <v>1</v>
      </c>
      <c r="N568" s="635"/>
      <c r="O568" s="3241">
        <f t="shared" si="90"/>
        <v>1</v>
      </c>
      <c r="P568" s="635"/>
      <c r="Q568" s="3241">
        <f t="shared" si="91"/>
        <v>1</v>
      </c>
      <c r="R568" s="3241">
        <f t="shared" ca="1" si="92"/>
        <v>5145</v>
      </c>
      <c r="S568" s="905">
        <f t="shared" ca="1" si="93"/>
        <v>16</v>
      </c>
    </row>
    <row r="569" spans="1:19">
      <c r="A569" s="3227" t="s">
        <v>4558</v>
      </c>
      <c r="B569" s="3228">
        <v>30.74</v>
      </c>
      <c r="C569" s="3241">
        <f t="shared" si="94"/>
        <v>1</v>
      </c>
      <c r="D569" s="3239" t="s">
        <v>4330</v>
      </c>
      <c r="E569" s="3241">
        <f t="shared" si="85"/>
        <v>1.02</v>
      </c>
      <c r="F569" s="635"/>
      <c r="G569" s="3241">
        <f t="shared" si="86"/>
        <v>1</v>
      </c>
      <c r="H569" s="635"/>
      <c r="I569" s="3241">
        <f t="shared" si="87"/>
        <v>1</v>
      </c>
      <c r="J569" s="635"/>
      <c r="K569" s="3241">
        <f t="shared" si="88"/>
        <v>1</v>
      </c>
      <c r="L569" s="635"/>
      <c r="M569" s="3241">
        <f t="shared" si="89"/>
        <v>1</v>
      </c>
      <c r="N569" s="635"/>
      <c r="O569" s="3241">
        <f t="shared" si="90"/>
        <v>1</v>
      </c>
      <c r="P569" s="635"/>
      <c r="Q569" s="3241">
        <f t="shared" si="91"/>
        <v>1</v>
      </c>
      <c r="R569" s="3241">
        <f t="shared" ca="1" si="92"/>
        <v>5145</v>
      </c>
      <c r="S569" s="905">
        <f t="shared" ca="1" si="93"/>
        <v>16</v>
      </c>
    </row>
    <row r="570" spans="1:19">
      <c r="A570" s="3227" t="s">
        <v>5723</v>
      </c>
      <c r="B570" s="3228">
        <v>30.74</v>
      </c>
      <c r="C570" s="3241">
        <f t="shared" si="94"/>
        <v>1</v>
      </c>
      <c r="D570" s="3239" t="s">
        <v>5494</v>
      </c>
      <c r="E570" s="3241">
        <f t="shared" si="85"/>
        <v>1.02</v>
      </c>
      <c r="F570" s="635"/>
      <c r="G570" s="3241">
        <f t="shared" si="86"/>
        <v>1</v>
      </c>
      <c r="H570" s="635"/>
      <c r="I570" s="3241">
        <f t="shared" si="87"/>
        <v>1</v>
      </c>
      <c r="J570" s="635"/>
      <c r="K570" s="3241">
        <f t="shared" si="88"/>
        <v>1</v>
      </c>
      <c r="L570" s="635"/>
      <c r="M570" s="3241">
        <f t="shared" si="89"/>
        <v>1</v>
      </c>
      <c r="N570" s="635"/>
      <c r="O570" s="3241">
        <f t="shared" si="90"/>
        <v>1</v>
      </c>
      <c r="P570" s="635"/>
      <c r="Q570" s="3241">
        <f t="shared" si="91"/>
        <v>1</v>
      </c>
      <c r="R570" s="3241">
        <f t="shared" ca="1" si="92"/>
        <v>5145</v>
      </c>
      <c r="S570" s="905">
        <f t="shared" ca="1" si="93"/>
        <v>16</v>
      </c>
    </row>
    <row r="571" spans="1:19">
      <c r="A571" s="3227" t="s">
        <v>4560</v>
      </c>
      <c r="B571" s="3228">
        <v>30.74</v>
      </c>
      <c r="C571" s="3241">
        <f t="shared" si="94"/>
        <v>1</v>
      </c>
      <c r="D571" s="3237" t="s">
        <v>4322</v>
      </c>
      <c r="E571" s="3241">
        <f t="shared" si="85"/>
        <v>1.02</v>
      </c>
      <c r="F571" s="635"/>
      <c r="G571" s="3241">
        <f t="shared" si="86"/>
        <v>1</v>
      </c>
      <c r="H571" s="635"/>
      <c r="I571" s="3241">
        <f t="shared" si="87"/>
        <v>1</v>
      </c>
      <c r="J571" s="635"/>
      <c r="K571" s="3241">
        <f t="shared" si="88"/>
        <v>1</v>
      </c>
      <c r="L571" s="635"/>
      <c r="M571" s="3241">
        <f t="shared" si="89"/>
        <v>1</v>
      </c>
      <c r="N571" s="635"/>
      <c r="O571" s="3241">
        <f t="shared" si="90"/>
        <v>1</v>
      </c>
      <c r="P571" s="635"/>
      <c r="Q571" s="3241">
        <f t="shared" si="91"/>
        <v>1</v>
      </c>
      <c r="R571" s="3241">
        <f t="shared" ca="1" si="92"/>
        <v>5145</v>
      </c>
      <c r="S571" s="905">
        <f t="shared" ca="1" si="93"/>
        <v>16</v>
      </c>
    </row>
    <row r="572" spans="1:19">
      <c r="A572" s="3227" t="s">
        <v>5725</v>
      </c>
      <c r="B572" s="3228">
        <v>29.47</v>
      </c>
      <c r="C572" s="3241">
        <f t="shared" si="94"/>
        <v>1</v>
      </c>
      <c r="D572" s="3239" t="s">
        <v>5494</v>
      </c>
      <c r="E572" s="3241">
        <f t="shared" si="85"/>
        <v>1.02</v>
      </c>
      <c r="F572" s="635"/>
      <c r="G572" s="3241">
        <f t="shared" si="86"/>
        <v>1</v>
      </c>
      <c r="H572" s="635"/>
      <c r="I572" s="3241">
        <f t="shared" si="87"/>
        <v>1</v>
      </c>
      <c r="J572" s="635"/>
      <c r="K572" s="3241">
        <f t="shared" si="88"/>
        <v>1</v>
      </c>
      <c r="L572" s="635"/>
      <c r="M572" s="3241">
        <f t="shared" si="89"/>
        <v>1</v>
      </c>
      <c r="N572" s="635"/>
      <c r="O572" s="3241">
        <f t="shared" si="90"/>
        <v>1</v>
      </c>
      <c r="P572" s="635"/>
      <c r="Q572" s="3241">
        <f t="shared" si="91"/>
        <v>1</v>
      </c>
      <c r="R572" s="3241">
        <f t="shared" ca="1" si="92"/>
        <v>5145</v>
      </c>
      <c r="S572" s="905">
        <f t="shared" ca="1" si="93"/>
        <v>15</v>
      </c>
    </row>
    <row r="573" spans="1:19">
      <c r="A573" s="3227" t="s">
        <v>4562</v>
      </c>
      <c r="B573" s="3228">
        <v>29.47</v>
      </c>
      <c r="C573" s="3241">
        <f t="shared" si="94"/>
        <v>1</v>
      </c>
      <c r="D573" s="3237" t="s">
        <v>4322</v>
      </c>
      <c r="E573" s="3241">
        <f t="shared" si="85"/>
        <v>1.02</v>
      </c>
      <c r="F573" s="635"/>
      <c r="G573" s="3241">
        <f t="shared" si="86"/>
        <v>1</v>
      </c>
      <c r="H573" s="635"/>
      <c r="I573" s="3241">
        <f t="shared" si="87"/>
        <v>1</v>
      </c>
      <c r="J573" s="635"/>
      <c r="K573" s="3241">
        <f t="shared" si="88"/>
        <v>1</v>
      </c>
      <c r="L573" s="635"/>
      <c r="M573" s="3241">
        <f t="shared" si="89"/>
        <v>1</v>
      </c>
      <c r="N573" s="635"/>
      <c r="O573" s="3241">
        <f t="shared" si="90"/>
        <v>1</v>
      </c>
      <c r="P573" s="635"/>
      <c r="Q573" s="3241">
        <f t="shared" si="91"/>
        <v>1</v>
      </c>
      <c r="R573" s="3241">
        <f t="shared" ca="1" si="92"/>
        <v>5145</v>
      </c>
      <c r="S573" s="905">
        <f t="shared" ca="1" si="93"/>
        <v>15</v>
      </c>
    </row>
    <row r="574" spans="1:19">
      <c r="A574" s="3227" t="s">
        <v>5727</v>
      </c>
      <c r="B574" s="3228">
        <v>29.47</v>
      </c>
      <c r="C574" s="3241">
        <f t="shared" si="94"/>
        <v>1</v>
      </c>
      <c r="D574" s="3237" t="s">
        <v>5487</v>
      </c>
      <c r="E574" s="3241">
        <f t="shared" si="85"/>
        <v>1.02</v>
      </c>
      <c r="F574" s="635"/>
      <c r="G574" s="3241">
        <f t="shared" si="86"/>
        <v>1</v>
      </c>
      <c r="H574" s="635"/>
      <c r="I574" s="3241">
        <f t="shared" si="87"/>
        <v>1</v>
      </c>
      <c r="J574" s="635"/>
      <c r="K574" s="3241">
        <f t="shared" si="88"/>
        <v>1</v>
      </c>
      <c r="L574" s="635"/>
      <c r="M574" s="3241">
        <f t="shared" si="89"/>
        <v>1</v>
      </c>
      <c r="N574" s="635"/>
      <c r="O574" s="3241">
        <f t="shared" si="90"/>
        <v>1</v>
      </c>
      <c r="P574" s="635"/>
      <c r="Q574" s="3241">
        <f t="shared" si="91"/>
        <v>1</v>
      </c>
      <c r="R574" s="3241">
        <f t="shared" ca="1" si="92"/>
        <v>5145</v>
      </c>
      <c r="S574" s="905">
        <f t="shared" ca="1" si="93"/>
        <v>15</v>
      </c>
    </row>
    <row r="575" spans="1:19">
      <c r="A575" s="3227" t="s">
        <v>4564</v>
      </c>
      <c r="B575" s="3228">
        <v>29.47</v>
      </c>
      <c r="C575" s="3241">
        <f t="shared" si="94"/>
        <v>1</v>
      </c>
      <c r="D575" s="3237" t="s">
        <v>4322</v>
      </c>
      <c r="E575" s="3241">
        <f t="shared" si="85"/>
        <v>1.02</v>
      </c>
      <c r="F575" s="635"/>
      <c r="G575" s="3241">
        <f t="shared" si="86"/>
        <v>1</v>
      </c>
      <c r="H575" s="635"/>
      <c r="I575" s="3241">
        <f t="shared" si="87"/>
        <v>1</v>
      </c>
      <c r="J575" s="635"/>
      <c r="K575" s="3241">
        <f t="shared" si="88"/>
        <v>1</v>
      </c>
      <c r="L575" s="635"/>
      <c r="M575" s="3241">
        <f t="shared" si="89"/>
        <v>1</v>
      </c>
      <c r="N575" s="635"/>
      <c r="O575" s="3241">
        <f t="shared" si="90"/>
        <v>1</v>
      </c>
      <c r="P575" s="635"/>
      <c r="Q575" s="3241">
        <f t="shared" si="91"/>
        <v>1</v>
      </c>
      <c r="R575" s="3241">
        <f t="shared" ca="1" si="92"/>
        <v>5145</v>
      </c>
      <c r="S575" s="905">
        <f t="shared" ca="1" si="93"/>
        <v>15</v>
      </c>
    </row>
    <row r="576" spans="1:19">
      <c r="A576" s="3227" t="s">
        <v>5729</v>
      </c>
      <c r="B576" s="3228">
        <v>29.47</v>
      </c>
      <c r="C576" s="3241">
        <f t="shared" si="94"/>
        <v>1</v>
      </c>
      <c r="D576" s="3237" t="s">
        <v>5487</v>
      </c>
      <c r="E576" s="3241">
        <f t="shared" si="85"/>
        <v>1.02</v>
      </c>
      <c r="F576" s="635"/>
      <c r="G576" s="3241">
        <f t="shared" si="86"/>
        <v>1</v>
      </c>
      <c r="H576" s="635"/>
      <c r="I576" s="3241">
        <f t="shared" si="87"/>
        <v>1</v>
      </c>
      <c r="J576" s="635"/>
      <c r="K576" s="3241">
        <f t="shared" si="88"/>
        <v>1</v>
      </c>
      <c r="L576" s="635"/>
      <c r="M576" s="3241">
        <f t="shared" si="89"/>
        <v>1</v>
      </c>
      <c r="N576" s="635"/>
      <c r="O576" s="3241">
        <f t="shared" si="90"/>
        <v>1</v>
      </c>
      <c r="P576" s="635"/>
      <c r="Q576" s="3241">
        <f t="shared" si="91"/>
        <v>1</v>
      </c>
      <c r="R576" s="3241">
        <f t="shared" ca="1" si="92"/>
        <v>5145</v>
      </c>
      <c r="S576" s="905">
        <f t="shared" ca="1" si="93"/>
        <v>15</v>
      </c>
    </row>
    <row r="577" spans="1:19">
      <c r="A577" s="3227" t="s">
        <v>4566</v>
      </c>
      <c r="B577" s="3228">
        <v>29.47</v>
      </c>
      <c r="C577" s="3241">
        <f t="shared" si="94"/>
        <v>1</v>
      </c>
      <c r="D577" s="3237" t="s">
        <v>4322</v>
      </c>
      <c r="E577" s="3241">
        <f t="shared" si="85"/>
        <v>1.02</v>
      </c>
      <c r="F577" s="635"/>
      <c r="G577" s="3241">
        <f t="shared" si="86"/>
        <v>1</v>
      </c>
      <c r="H577" s="635"/>
      <c r="I577" s="3241">
        <f t="shared" si="87"/>
        <v>1</v>
      </c>
      <c r="J577" s="635"/>
      <c r="K577" s="3241">
        <f t="shared" si="88"/>
        <v>1</v>
      </c>
      <c r="L577" s="635"/>
      <c r="M577" s="3241">
        <f t="shared" si="89"/>
        <v>1</v>
      </c>
      <c r="N577" s="635"/>
      <c r="O577" s="3241">
        <f t="shared" si="90"/>
        <v>1</v>
      </c>
      <c r="P577" s="635"/>
      <c r="Q577" s="3241">
        <f t="shared" si="91"/>
        <v>1</v>
      </c>
      <c r="R577" s="3241">
        <f t="shared" ca="1" si="92"/>
        <v>5145</v>
      </c>
      <c r="S577" s="905">
        <f t="shared" ca="1" si="93"/>
        <v>15</v>
      </c>
    </row>
    <row r="578" spans="1:19">
      <c r="A578" s="3227" t="s">
        <v>5731</v>
      </c>
      <c r="B578" s="3228">
        <v>29.47</v>
      </c>
      <c r="C578" s="3241">
        <f t="shared" si="94"/>
        <v>1</v>
      </c>
      <c r="D578" s="3237" t="s">
        <v>5487</v>
      </c>
      <c r="E578" s="3241">
        <f t="shared" si="85"/>
        <v>1.02</v>
      </c>
      <c r="F578" s="635"/>
      <c r="G578" s="3241">
        <f t="shared" si="86"/>
        <v>1</v>
      </c>
      <c r="H578" s="635"/>
      <c r="I578" s="3241">
        <f t="shared" si="87"/>
        <v>1</v>
      </c>
      <c r="J578" s="635"/>
      <c r="K578" s="3241">
        <f t="shared" si="88"/>
        <v>1</v>
      </c>
      <c r="L578" s="635"/>
      <c r="M578" s="3241">
        <f t="shared" si="89"/>
        <v>1</v>
      </c>
      <c r="N578" s="635"/>
      <c r="O578" s="3241">
        <f t="shared" si="90"/>
        <v>1</v>
      </c>
      <c r="P578" s="635"/>
      <c r="Q578" s="3241">
        <f t="shared" si="91"/>
        <v>1</v>
      </c>
      <c r="R578" s="3241">
        <f t="shared" ca="1" si="92"/>
        <v>5145</v>
      </c>
      <c r="S578" s="905">
        <f t="shared" ca="1" si="93"/>
        <v>15</v>
      </c>
    </row>
    <row r="579" spans="1:19">
      <c r="A579" s="3227" t="s">
        <v>4568</v>
      </c>
      <c r="B579" s="3228">
        <v>29.47</v>
      </c>
      <c r="C579" s="3241">
        <f t="shared" si="94"/>
        <v>1</v>
      </c>
      <c r="D579" s="3237" t="s">
        <v>4322</v>
      </c>
      <c r="E579" s="3241">
        <f t="shared" si="85"/>
        <v>1.02</v>
      </c>
      <c r="F579" s="635"/>
      <c r="G579" s="3241">
        <f t="shared" si="86"/>
        <v>1</v>
      </c>
      <c r="H579" s="635"/>
      <c r="I579" s="3241">
        <f t="shared" si="87"/>
        <v>1</v>
      </c>
      <c r="J579" s="635"/>
      <c r="K579" s="3241">
        <f t="shared" si="88"/>
        <v>1</v>
      </c>
      <c r="L579" s="635"/>
      <c r="M579" s="3241">
        <f t="shared" si="89"/>
        <v>1</v>
      </c>
      <c r="N579" s="635"/>
      <c r="O579" s="3241">
        <f t="shared" si="90"/>
        <v>1</v>
      </c>
      <c r="P579" s="635"/>
      <c r="Q579" s="3241">
        <f t="shared" si="91"/>
        <v>1</v>
      </c>
      <c r="R579" s="3241">
        <f t="shared" ca="1" si="92"/>
        <v>5145</v>
      </c>
      <c r="S579" s="905">
        <f t="shared" ca="1" si="93"/>
        <v>15</v>
      </c>
    </row>
    <row r="580" spans="1:19">
      <c r="A580" s="3227" t="s">
        <v>5733</v>
      </c>
      <c r="B580" s="3228">
        <v>30.74</v>
      </c>
      <c r="C580" s="3241">
        <f t="shared" si="94"/>
        <v>1</v>
      </c>
      <c r="D580" s="3237" t="s">
        <v>5487</v>
      </c>
      <c r="E580" s="3241">
        <f t="shared" si="85"/>
        <v>1.02</v>
      </c>
      <c r="F580" s="635"/>
      <c r="G580" s="3241">
        <f t="shared" si="86"/>
        <v>1</v>
      </c>
      <c r="H580" s="635"/>
      <c r="I580" s="3241">
        <f t="shared" si="87"/>
        <v>1</v>
      </c>
      <c r="J580" s="635"/>
      <c r="K580" s="3241">
        <f t="shared" si="88"/>
        <v>1</v>
      </c>
      <c r="L580" s="635"/>
      <c r="M580" s="3241">
        <f t="shared" si="89"/>
        <v>1</v>
      </c>
      <c r="N580" s="635"/>
      <c r="O580" s="3241">
        <f t="shared" si="90"/>
        <v>1</v>
      </c>
      <c r="P580" s="635"/>
      <c r="Q580" s="3241">
        <f t="shared" si="91"/>
        <v>1</v>
      </c>
      <c r="R580" s="3241">
        <f t="shared" ca="1" si="92"/>
        <v>5145</v>
      </c>
      <c r="S580" s="905">
        <f t="shared" ca="1" si="93"/>
        <v>16</v>
      </c>
    </row>
    <row r="581" spans="1:19">
      <c r="A581" s="3227" t="s">
        <v>4570</v>
      </c>
      <c r="B581" s="3228">
        <v>30.74</v>
      </c>
      <c r="C581" s="3241">
        <f t="shared" si="94"/>
        <v>1</v>
      </c>
      <c r="D581" s="3237" t="s">
        <v>4322</v>
      </c>
      <c r="E581" s="3241">
        <f t="shared" si="85"/>
        <v>1.02</v>
      </c>
      <c r="F581" s="635"/>
      <c r="G581" s="3241">
        <f t="shared" si="86"/>
        <v>1</v>
      </c>
      <c r="H581" s="635"/>
      <c r="I581" s="3241">
        <f t="shared" si="87"/>
        <v>1</v>
      </c>
      <c r="J581" s="635"/>
      <c r="K581" s="3241">
        <f t="shared" si="88"/>
        <v>1</v>
      </c>
      <c r="L581" s="635"/>
      <c r="M581" s="3241">
        <f t="shared" si="89"/>
        <v>1</v>
      </c>
      <c r="N581" s="635"/>
      <c r="O581" s="3241">
        <f t="shared" si="90"/>
        <v>1</v>
      </c>
      <c r="P581" s="635"/>
      <c r="Q581" s="3241">
        <f t="shared" si="91"/>
        <v>1</v>
      </c>
      <c r="R581" s="3241">
        <f t="shared" ca="1" si="92"/>
        <v>5145</v>
      </c>
      <c r="S581" s="905">
        <f t="shared" ca="1" si="93"/>
        <v>16</v>
      </c>
    </row>
    <row r="582" spans="1:19">
      <c r="A582" s="3227" t="s">
        <v>5735</v>
      </c>
      <c r="B582" s="3228">
        <v>30.08</v>
      </c>
      <c r="C582" s="3241">
        <f t="shared" si="94"/>
        <v>1</v>
      </c>
      <c r="D582" s="3237" t="s">
        <v>5487</v>
      </c>
      <c r="E582" s="3241">
        <f t="shared" si="85"/>
        <v>1.02</v>
      </c>
      <c r="F582" s="635"/>
      <c r="G582" s="3241">
        <f t="shared" si="86"/>
        <v>1</v>
      </c>
      <c r="H582" s="635"/>
      <c r="I582" s="3241">
        <f t="shared" si="87"/>
        <v>1</v>
      </c>
      <c r="J582" s="635"/>
      <c r="K582" s="3241">
        <f t="shared" si="88"/>
        <v>1</v>
      </c>
      <c r="L582" s="635"/>
      <c r="M582" s="3241">
        <f t="shared" si="89"/>
        <v>1</v>
      </c>
      <c r="N582" s="635"/>
      <c r="O582" s="3241">
        <f t="shared" si="90"/>
        <v>1</v>
      </c>
      <c r="P582" s="635"/>
      <c r="Q582" s="3241">
        <f t="shared" si="91"/>
        <v>1</v>
      </c>
      <c r="R582" s="3241">
        <f t="shared" ca="1" si="92"/>
        <v>5145</v>
      </c>
      <c r="S582" s="905">
        <f t="shared" ca="1" si="93"/>
        <v>15</v>
      </c>
    </row>
    <row r="583" spans="1:19">
      <c r="A583" s="3227" t="s">
        <v>4572</v>
      </c>
      <c r="B583" s="3228">
        <v>30.08</v>
      </c>
      <c r="C583" s="3241">
        <f t="shared" si="94"/>
        <v>1</v>
      </c>
      <c r="D583" s="3237" t="s">
        <v>4322</v>
      </c>
      <c r="E583" s="3241">
        <f t="shared" si="85"/>
        <v>1.02</v>
      </c>
      <c r="F583" s="635"/>
      <c r="G583" s="3241">
        <f t="shared" si="86"/>
        <v>1</v>
      </c>
      <c r="H583" s="635"/>
      <c r="I583" s="3241">
        <f t="shared" si="87"/>
        <v>1</v>
      </c>
      <c r="J583" s="635"/>
      <c r="K583" s="3241">
        <f t="shared" si="88"/>
        <v>1</v>
      </c>
      <c r="L583" s="635"/>
      <c r="M583" s="3241">
        <f t="shared" si="89"/>
        <v>1</v>
      </c>
      <c r="N583" s="635"/>
      <c r="O583" s="3241">
        <f t="shared" si="90"/>
        <v>1</v>
      </c>
      <c r="P583" s="635"/>
      <c r="Q583" s="3241">
        <f t="shared" si="91"/>
        <v>1</v>
      </c>
      <c r="R583" s="3241">
        <f t="shared" ca="1" si="92"/>
        <v>5145</v>
      </c>
      <c r="S583" s="905">
        <f t="shared" ca="1" si="93"/>
        <v>15</v>
      </c>
    </row>
    <row r="584" spans="1:19">
      <c r="A584" s="3227" t="s">
        <v>5737</v>
      </c>
      <c r="B584" s="3228">
        <v>30.08</v>
      </c>
      <c r="C584" s="3241">
        <f t="shared" si="94"/>
        <v>1</v>
      </c>
      <c r="D584" s="3237" t="s">
        <v>5487</v>
      </c>
      <c r="E584" s="3241">
        <f t="shared" si="85"/>
        <v>1.02</v>
      </c>
      <c r="F584" s="635"/>
      <c r="G584" s="3241">
        <f t="shared" si="86"/>
        <v>1</v>
      </c>
      <c r="H584" s="635"/>
      <c r="I584" s="3241">
        <f t="shared" si="87"/>
        <v>1</v>
      </c>
      <c r="J584" s="635"/>
      <c r="K584" s="3241">
        <f t="shared" si="88"/>
        <v>1</v>
      </c>
      <c r="L584" s="635"/>
      <c r="M584" s="3241">
        <f t="shared" si="89"/>
        <v>1</v>
      </c>
      <c r="N584" s="635"/>
      <c r="O584" s="3241">
        <f t="shared" si="90"/>
        <v>1</v>
      </c>
      <c r="P584" s="635"/>
      <c r="Q584" s="3241">
        <f t="shared" si="91"/>
        <v>1</v>
      </c>
      <c r="R584" s="3241">
        <f t="shared" ca="1" si="92"/>
        <v>5145</v>
      </c>
      <c r="S584" s="905">
        <f t="shared" ca="1" si="93"/>
        <v>15</v>
      </c>
    </row>
    <row r="585" spans="1:19">
      <c r="A585" s="3227" t="s">
        <v>4574</v>
      </c>
      <c r="B585" s="3228">
        <v>30.08</v>
      </c>
      <c r="C585" s="3241">
        <f t="shared" si="94"/>
        <v>1</v>
      </c>
      <c r="D585" s="3237" t="s">
        <v>4322</v>
      </c>
      <c r="E585" s="3241">
        <f t="shared" si="85"/>
        <v>1.02</v>
      </c>
      <c r="F585" s="635"/>
      <c r="G585" s="3241">
        <f t="shared" si="86"/>
        <v>1</v>
      </c>
      <c r="H585" s="635"/>
      <c r="I585" s="3241">
        <f t="shared" si="87"/>
        <v>1</v>
      </c>
      <c r="J585" s="635"/>
      <c r="K585" s="3241">
        <f t="shared" si="88"/>
        <v>1</v>
      </c>
      <c r="L585" s="635"/>
      <c r="M585" s="3241">
        <f t="shared" si="89"/>
        <v>1</v>
      </c>
      <c r="N585" s="635"/>
      <c r="O585" s="3241">
        <f t="shared" si="90"/>
        <v>1</v>
      </c>
      <c r="P585" s="635"/>
      <c r="Q585" s="3241">
        <f t="shared" si="91"/>
        <v>1</v>
      </c>
      <c r="R585" s="3241">
        <f t="shared" ca="1" si="92"/>
        <v>5145</v>
      </c>
      <c r="S585" s="905">
        <f t="shared" ca="1" si="93"/>
        <v>15</v>
      </c>
    </row>
    <row r="586" spans="1:19">
      <c r="A586" s="3227" t="s">
        <v>5739</v>
      </c>
      <c r="B586" s="3228">
        <v>30.08</v>
      </c>
      <c r="C586" s="3241">
        <f t="shared" si="94"/>
        <v>1</v>
      </c>
      <c r="D586" s="3237" t="s">
        <v>5487</v>
      </c>
      <c r="E586" s="3241">
        <f t="shared" si="85"/>
        <v>1.02</v>
      </c>
      <c r="F586" s="635"/>
      <c r="G586" s="3241">
        <f t="shared" si="86"/>
        <v>1</v>
      </c>
      <c r="H586" s="635"/>
      <c r="I586" s="3241">
        <f t="shared" si="87"/>
        <v>1</v>
      </c>
      <c r="J586" s="635"/>
      <c r="K586" s="3241">
        <f t="shared" si="88"/>
        <v>1</v>
      </c>
      <c r="L586" s="635"/>
      <c r="M586" s="3241">
        <f t="shared" si="89"/>
        <v>1</v>
      </c>
      <c r="N586" s="635"/>
      <c r="O586" s="3241">
        <f t="shared" si="90"/>
        <v>1</v>
      </c>
      <c r="P586" s="635"/>
      <c r="Q586" s="3241">
        <f t="shared" si="91"/>
        <v>1</v>
      </c>
      <c r="R586" s="3241">
        <f t="shared" ca="1" si="92"/>
        <v>5145</v>
      </c>
      <c r="S586" s="905">
        <f t="shared" ca="1" si="93"/>
        <v>15</v>
      </c>
    </row>
    <row r="587" spans="1:19">
      <c r="A587" s="3227" t="s">
        <v>4576</v>
      </c>
      <c r="B587" s="3228">
        <v>30.08</v>
      </c>
      <c r="C587" s="3241">
        <f t="shared" si="94"/>
        <v>1</v>
      </c>
      <c r="D587" s="3237" t="s">
        <v>4322</v>
      </c>
      <c r="E587" s="3241">
        <f t="shared" si="85"/>
        <v>1.02</v>
      </c>
      <c r="F587" s="635"/>
      <c r="G587" s="3241">
        <f t="shared" si="86"/>
        <v>1</v>
      </c>
      <c r="H587" s="635"/>
      <c r="I587" s="3241">
        <f t="shared" si="87"/>
        <v>1</v>
      </c>
      <c r="J587" s="635"/>
      <c r="K587" s="3241">
        <f t="shared" si="88"/>
        <v>1</v>
      </c>
      <c r="L587" s="635"/>
      <c r="M587" s="3241">
        <f t="shared" si="89"/>
        <v>1</v>
      </c>
      <c r="N587" s="635"/>
      <c r="O587" s="3241">
        <f t="shared" si="90"/>
        <v>1</v>
      </c>
      <c r="P587" s="635"/>
      <c r="Q587" s="3241">
        <f t="shared" si="91"/>
        <v>1</v>
      </c>
      <c r="R587" s="3241">
        <f t="shared" ca="1" si="92"/>
        <v>5145</v>
      </c>
      <c r="S587" s="905">
        <f t="shared" ca="1" si="93"/>
        <v>15</v>
      </c>
    </row>
    <row r="588" spans="1:19">
      <c r="A588" s="3227" t="s">
        <v>5741</v>
      </c>
      <c r="B588" s="3228">
        <v>30.08</v>
      </c>
      <c r="C588" s="3241">
        <f t="shared" si="94"/>
        <v>1</v>
      </c>
      <c r="D588" s="3237" t="s">
        <v>5487</v>
      </c>
      <c r="E588" s="3241">
        <f t="shared" si="85"/>
        <v>1.02</v>
      </c>
      <c r="F588" s="635"/>
      <c r="G588" s="3241">
        <f t="shared" si="86"/>
        <v>1</v>
      </c>
      <c r="H588" s="635"/>
      <c r="I588" s="3241">
        <f t="shared" si="87"/>
        <v>1</v>
      </c>
      <c r="J588" s="635"/>
      <c r="K588" s="3241">
        <f t="shared" si="88"/>
        <v>1</v>
      </c>
      <c r="L588" s="635"/>
      <c r="M588" s="3241">
        <f t="shared" si="89"/>
        <v>1</v>
      </c>
      <c r="N588" s="635"/>
      <c r="O588" s="3241">
        <f t="shared" si="90"/>
        <v>1</v>
      </c>
      <c r="P588" s="635"/>
      <c r="Q588" s="3241">
        <f t="shared" si="91"/>
        <v>1</v>
      </c>
      <c r="R588" s="3241">
        <f t="shared" ca="1" si="92"/>
        <v>5145</v>
      </c>
      <c r="S588" s="905">
        <f t="shared" ca="1" si="93"/>
        <v>15</v>
      </c>
    </row>
    <row r="589" spans="1:19">
      <c r="A589" s="3227" t="s">
        <v>4578</v>
      </c>
      <c r="B589" s="3228">
        <v>30.08</v>
      </c>
      <c r="C589" s="3241">
        <f t="shared" si="94"/>
        <v>1</v>
      </c>
      <c r="D589" s="3239" t="s">
        <v>4330</v>
      </c>
      <c r="E589" s="3241">
        <f t="shared" ref="E589:E652" si="95">(SUMIF($5:$5,D589,$6:$6)-SUMIF($5:$5,$D$24,$6:$6)+100)/100</f>
        <v>1.02</v>
      </c>
      <c r="F589" s="635"/>
      <c r="G589" s="3241">
        <f t="shared" ref="G589:G652" si="96">(SUMIF($7:$7,F589,$8:$8)-SUMIF($7:$7,$F$24,$8:$8)+100)/100</f>
        <v>1</v>
      </c>
      <c r="H589" s="635"/>
      <c r="I589" s="3241">
        <f t="shared" ref="I589:I652" si="97">(SUMIF($9:$9,H589,$10:$10)-SUMIF($9:$9,$H$24,$10:$10)+100)/100</f>
        <v>1</v>
      </c>
      <c r="J589" s="635"/>
      <c r="K589" s="3241">
        <f t="shared" ref="K589:K652" si="98">(SUMIF($11:$11,J589,$12:$12)-SUMIF($11:$11,$J$24,$12:$12)+100)/100</f>
        <v>1</v>
      </c>
      <c r="L589" s="635"/>
      <c r="M589" s="3241">
        <f t="shared" ref="M589:M652" si="99">(SUMIF($13:$13,L589,$14:$14)-SUMIF($13:$13,$L$24,$14:$14)+100)/100</f>
        <v>1</v>
      </c>
      <c r="N589" s="635"/>
      <c r="O589" s="3241">
        <f t="shared" ref="O589:O652" si="100">(SUMIF($15:$15,N589,$16:$16)-SUMIF($15:$15,$N$24,$16:$16)+100)/100</f>
        <v>1</v>
      </c>
      <c r="P589" s="635"/>
      <c r="Q589" s="3241">
        <f t="shared" ref="Q589:Q652" si="101">(SUMIF($17:$17,P589,$18:$18)-SUMIF($17:$17,$P$24,$18:$18)+100)/100</f>
        <v>1</v>
      </c>
      <c r="R589" s="3241">
        <f t="shared" ref="R589:R652" ca="1" si="102">IF(B589="",0,ROUND($R$24*C589*E589*G589*I589*K589*M589*O589*Q589,0))</f>
        <v>5145</v>
      </c>
      <c r="S589" s="905">
        <f t="shared" ref="S589:S652" ca="1" si="103">ROUND(R589*B589/10000,0)</f>
        <v>15</v>
      </c>
    </row>
    <row r="590" spans="1:19">
      <c r="A590" s="3227" t="s">
        <v>5743</v>
      </c>
      <c r="B590" s="3228">
        <v>28.76</v>
      </c>
      <c r="C590" s="3241">
        <f t="shared" si="94"/>
        <v>1</v>
      </c>
      <c r="D590" s="3237" t="s">
        <v>5487</v>
      </c>
      <c r="E590" s="3241">
        <f t="shared" si="95"/>
        <v>1.02</v>
      </c>
      <c r="F590" s="635"/>
      <c r="G590" s="3241">
        <f t="shared" si="96"/>
        <v>1</v>
      </c>
      <c r="H590" s="635"/>
      <c r="I590" s="3241">
        <f t="shared" si="97"/>
        <v>1</v>
      </c>
      <c r="J590" s="635"/>
      <c r="K590" s="3241">
        <f t="shared" si="98"/>
        <v>1</v>
      </c>
      <c r="L590" s="635"/>
      <c r="M590" s="3241">
        <f t="shared" si="99"/>
        <v>1</v>
      </c>
      <c r="N590" s="635"/>
      <c r="O590" s="3241">
        <f t="shared" si="100"/>
        <v>1</v>
      </c>
      <c r="P590" s="635"/>
      <c r="Q590" s="3241">
        <f t="shared" si="101"/>
        <v>1</v>
      </c>
      <c r="R590" s="3241">
        <f t="shared" ca="1" si="102"/>
        <v>5145</v>
      </c>
      <c r="S590" s="905">
        <f t="shared" ca="1" si="103"/>
        <v>15</v>
      </c>
    </row>
    <row r="591" spans="1:19">
      <c r="A591" s="3227" t="s">
        <v>4580</v>
      </c>
      <c r="B591" s="3228">
        <v>29.47</v>
      </c>
      <c r="C591" s="3241">
        <f t="shared" si="94"/>
        <v>1</v>
      </c>
      <c r="D591" s="3237" t="s">
        <v>4322</v>
      </c>
      <c r="E591" s="3241">
        <f t="shared" si="95"/>
        <v>1.02</v>
      </c>
      <c r="F591" s="635"/>
      <c r="G591" s="3241">
        <f t="shared" si="96"/>
        <v>1</v>
      </c>
      <c r="H591" s="635"/>
      <c r="I591" s="3241">
        <f t="shared" si="97"/>
        <v>1</v>
      </c>
      <c r="J591" s="635"/>
      <c r="K591" s="3241">
        <f t="shared" si="98"/>
        <v>1</v>
      </c>
      <c r="L591" s="635"/>
      <c r="M591" s="3241">
        <f t="shared" si="99"/>
        <v>1</v>
      </c>
      <c r="N591" s="635"/>
      <c r="O591" s="3241">
        <f t="shared" si="100"/>
        <v>1</v>
      </c>
      <c r="P591" s="635"/>
      <c r="Q591" s="3241">
        <f t="shared" si="101"/>
        <v>1</v>
      </c>
      <c r="R591" s="3241">
        <f t="shared" ca="1" si="102"/>
        <v>5145</v>
      </c>
      <c r="S591" s="905">
        <f t="shared" ca="1" si="103"/>
        <v>15</v>
      </c>
    </row>
    <row r="592" spans="1:19">
      <c r="A592" s="3227" t="s">
        <v>5745</v>
      </c>
      <c r="B592" s="3228">
        <v>29.47</v>
      </c>
      <c r="C592" s="3241">
        <f t="shared" si="94"/>
        <v>1</v>
      </c>
      <c r="D592" s="3237" t="s">
        <v>5487</v>
      </c>
      <c r="E592" s="3241">
        <f t="shared" si="95"/>
        <v>1.02</v>
      </c>
      <c r="F592" s="635"/>
      <c r="G592" s="3241">
        <f t="shared" si="96"/>
        <v>1</v>
      </c>
      <c r="H592" s="635"/>
      <c r="I592" s="3241">
        <f t="shared" si="97"/>
        <v>1</v>
      </c>
      <c r="J592" s="635"/>
      <c r="K592" s="3241">
        <f t="shared" si="98"/>
        <v>1</v>
      </c>
      <c r="L592" s="635"/>
      <c r="M592" s="3241">
        <f t="shared" si="99"/>
        <v>1</v>
      </c>
      <c r="N592" s="635"/>
      <c r="O592" s="3241">
        <f t="shared" si="100"/>
        <v>1</v>
      </c>
      <c r="P592" s="635"/>
      <c r="Q592" s="3241">
        <f t="shared" si="101"/>
        <v>1</v>
      </c>
      <c r="R592" s="3241">
        <f t="shared" ca="1" si="102"/>
        <v>5145</v>
      </c>
      <c r="S592" s="905">
        <f t="shared" ca="1" si="103"/>
        <v>15</v>
      </c>
    </row>
    <row r="593" spans="1:19">
      <c r="A593" s="3227" t="s">
        <v>4582</v>
      </c>
      <c r="B593" s="3228">
        <v>29.47</v>
      </c>
      <c r="C593" s="3241">
        <f t="shared" si="94"/>
        <v>1</v>
      </c>
      <c r="D593" s="3237" t="s">
        <v>4322</v>
      </c>
      <c r="E593" s="3241">
        <f t="shared" si="95"/>
        <v>1.02</v>
      </c>
      <c r="F593" s="635"/>
      <c r="G593" s="3241">
        <f t="shared" si="96"/>
        <v>1</v>
      </c>
      <c r="H593" s="635"/>
      <c r="I593" s="3241">
        <f t="shared" si="97"/>
        <v>1</v>
      </c>
      <c r="J593" s="635"/>
      <c r="K593" s="3241">
        <f t="shared" si="98"/>
        <v>1</v>
      </c>
      <c r="L593" s="635"/>
      <c r="M593" s="3241">
        <f t="shared" si="99"/>
        <v>1</v>
      </c>
      <c r="N593" s="635"/>
      <c r="O593" s="3241">
        <f t="shared" si="100"/>
        <v>1</v>
      </c>
      <c r="P593" s="635"/>
      <c r="Q593" s="3241">
        <f t="shared" si="101"/>
        <v>1</v>
      </c>
      <c r="R593" s="3241">
        <f t="shared" ca="1" si="102"/>
        <v>5145</v>
      </c>
      <c r="S593" s="905">
        <f t="shared" ca="1" si="103"/>
        <v>15</v>
      </c>
    </row>
    <row r="594" spans="1:19">
      <c r="A594" s="3227" t="s">
        <v>5748</v>
      </c>
      <c r="B594" s="3228">
        <v>34.46</v>
      </c>
      <c r="C594" s="3241">
        <f t="shared" si="94"/>
        <v>1</v>
      </c>
      <c r="D594" s="3237" t="s">
        <v>5171</v>
      </c>
      <c r="E594" s="3241">
        <f t="shared" si="95"/>
        <v>1</v>
      </c>
      <c r="F594" s="635"/>
      <c r="G594" s="3241">
        <f t="shared" si="96"/>
        <v>1</v>
      </c>
      <c r="H594" s="635"/>
      <c r="I594" s="3241">
        <f t="shared" si="97"/>
        <v>1</v>
      </c>
      <c r="J594" s="635"/>
      <c r="K594" s="3241">
        <f t="shared" si="98"/>
        <v>1</v>
      </c>
      <c r="L594" s="635"/>
      <c r="M594" s="3241">
        <f t="shared" si="99"/>
        <v>1</v>
      </c>
      <c r="N594" s="635"/>
      <c r="O594" s="3241">
        <f t="shared" si="100"/>
        <v>1</v>
      </c>
      <c r="P594" s="635"/>
      <c r="Q594" s="3241">
        <f t="shared" si="101"/>
        <v>1</v>
      </c>
      <c r="R594" s="3241">
        <f t="shared" ca="1" si="102"/>
        <v>5044</v>
      </c>
      <c r="S594" s="905">
        <f t="shared" ca="1" si="103"/>
        <v>17</v>
      </c>
    </row>
    <row r="595" spans="1:19">
      <c r="A595" s="3227" t="s">
        <v>4586</v>
      </c>
      <c r="B595" s="3228">
        <v>34.46</v>
      </c>
      <c r="C595" s="3241">
        <f t="shared" si="94"/>
        <v>1</v>
      </c>
      <c r="D595" s="3237" t="s">
        <v>4009</v>
      </c>
      <c r="E595" s="3241">
        <f t="shared" si="95"/>
        <v>1</v>
      </c>
      <c r="F595" s="635"/>
      <c r="G595" s="3241">
        <f t="shared" si="96"/>
        <v>1</v>
      </c>
      <c r="H595" s="635"/>
      <c r="I595" s="3241">
        <f t="shared" si="97"/>
        <v>1</v>
      </c>
      <c r="J595" s="635"/>
      <c r="K595" s="3241">
        <f t="shared" si="98"/>
        <v>1</v>
      </c>
      <c r="L595" s="635"/>
      <c r="M595" s="3241">
        <f t="shared" si="99"/>
        <v>1</v>
      </c>
      <c r="N595" s="635"/>
      <c r="O595" s="3241">
        <f t="shared" si="100"/>
        <v>1</v>
      </c>
      <c r="P595" s="635"/>
      <c r="Q595" s="3241">
        <f t="shared" si="101"/>
        <v>1</v>
      </c>
      <c r="R595" s="3241">
        <f t="shared" ca="1" si="102"/>
        <v>5044</v>
      </c>
      <c r="S595" s="905">
        <f t="shared" ca="1" si="103"/>
        <v>17</v>
      </c>
    </row>
    <row r="596" spans="1:19">
      <c r="A596" s="3227" t="s">
        <v>5752</v>
      </c>
      <c r="B596" s="3228">
        <v>34.46</v>
      </c>
      <c r="C596" s="3241">
        <f t="shared" si="94"/>
        <v>1</v>
      </c>
      <c r="D596" s="3237" t="s">
        <v>5171</v>
      </c>
      <c r="E596" s="3241">
        <f t="shared" si="95"/>
        <v>1</v>
      </c>
      <c r="F596" s="635"/>
      <c r="G596" s="3241">
        <f t="shared" si="96"/>
        <v>1</v>
      </c>
      <c r="H596" s="635"/>
      <c r="I596" s="3241">
        <f t="shared" si="97"/>
        <v>1</v>
      </c>
      <c r="J596" s="635"/>
      <c r="K596" s="3241">
        <f t="shared" si="98"/>
        <v>1</v>
      </c>
      <c r="L596" s="635"/>
      <c r="M596" s="3241">
        <f t="shared" si="99"/>
        <v>1</v>
      </c>
      <c r="N596" s="635"/>
      <c r="O596" s="3241">
        <f t="shared" si="100"/>
        <v>1</v>
      </c>
      <c r="P596" s="635"/>
      <c r="Q596" s="3241">
        <f t="shared" si="101"/>
        <v>1</v>
      </c>
      <c r="R596" s="3241">
        <f t="shared" ca="1" si="102"/>
        <v>5044</v>
      </c>
      <c r="S596" s="905">
        <f t="shared" ca="1" si="103"/>
        <v>17</v>
      </c>
    </row>
    <row r="597" spans="1:19">
      <c r="A597" s="3227" t="s">
        <v>4588</v>
      </c>
      <c r="B597" s="3228">
        <v>34.46</v>
      </c>
      <c r="C597" s="3241">
        <f t="shared" si="94"/>
        <v>1</v>
      </c>
      <c r="D597" s="3237" t="s">
        <v>4009</v>
      </c>
      <c r="E597" s="3241">
        <f t="shared" si="95"/>
        <v>1</v>
      </c>
      <c r="F597" s="635"/>
      <c r="G597" s="3241">
        <f t="shared" si="96"/>
        <v>1</v>
      </c>
      <c r="H597" s="635"/>
      <c r="I597" s="3241">
        <f t="shared" si="97"/>
        <v>1</v>
      </c>
      <c r="J597" s="635"/>
      <c r="K597" s="3241">
        <f t="shared" si="98"/>
        <v>1</v>
      </c>
      <c r="L597" s="635"/>
      <c r="M597" s="3241">
        <f t="shared" si="99"/>
        <v>1</v>
      </c>
      <c r="N597" s="635"/>
      <c r="O597" s="3241">
        <f t="shared" si="100"/>
        <v>1</v>
      </c>
      <c r="P597" s="635"/>
      <c r="Q597" s="3241">
        <f t="shared" si="101"/>
        <v>1</v>
      </c>
      <c r="R597" s="3241">
        <f t="shared" ca="1" si="102"/>
        <v>5044</v>
      </c>
      <c r="S597" s="905">
        <f t="shared" ca="1" si="103"/>
        <v>17</v>
      </c>
    </row>
    <row r="598" spans="1:19">
      <c r="A598" s="3227" t="s">
        <v>5754</v>
      </c>
      <c r="B598" s="3228">
        <v>34.46</v>
      </c>
      <c r="C598" s="3241">
        <f t="shared" si="94"/>
        <v>1</v>
      </c>
      <c r="D598" s="3237" t="s">
        <v>5171</v>
      </c>
      <c r="E598" s="3241">
        <f t="shared" si="95"/>
        <v>1</v>
      </c>
      <c r="F598" s="635"/>
      <c r="G598" s="3241">
        <f t="shared" si="96"/>
        <v>1</v>
      </c>
      <c r="H598" s="635"/>
      <c r="I598" s="3241">
        <f t="shared" si="97"/>
        <v>1</v>
      </c>
      <c r="J598" s="635"/>
      <c r="K598" s="3241">
        <f t="shared" si="98"/>
        <v>1</v>
      </c>
      <c r="L598" s="635"/>
      <c r="M598" s="3241">
        <f t="shared" si="99"/>
        <v>1</v>
      </c>
      <c r="N598" s="635"/>
      <c r="O598" s="3241">
        <f t="shared" si="100"/>
        <v>1</v>
      </c>
      <c r="P598" s="635"/>
      <c r="Q598" s="3241">
        <f t="shared" si="101"/>
        <v>1</v>
      </c>
      <c r="R598" s="3241">
        <f t="shared" ca="1" si="102"/>
        <v>5044</v>
      </c>
      <c r="S598" s="905">
        <f t="shared" ca="1" si="103"/>
        <v>17</v>
      </c>
    </row>
    <row r="599" spans="1:19">
      <c r="A599" s="3227" t="s">
        <v>4590</v>
      </c>
      <c r="B599" s="3228">
        <v>34.46</v>
      </c>
      <c r="C599" s="3241">
        <f t="shared" si="94"/>
        <v>1</v>
      </c>
      <c r="D599" s="3237" t="s">
        <v>4009</v>
      </c>
      <c r="E599" s="3241">
        <f t="shared" si="95"/>
        <v>1</v>
      </c>
      <c r="F599" s="635"/>
      <c r="G599" s="3241">
        <f t="shared" si="96"/>
        <v>1</v>
      </c>
      <c r="H599" s="635"/>
      <c r="I599" s="3241">
        <f t="shared" si="97"/>
        <v>1</v>
      </c>
      <c r="J599" s="635"/>
      <c r="K599" s="3241">
        <f t="shared" si="98"/>
        <v>1</v>
      </c>
      <c r="L599" s="635"/>
      <c r="M599" s="3241">
        <f t="shared" si="99"/>
        <v>1</v>
      </c>
      <c r="N599" s="635"/>
      <c r="O599" s="3241">
        <f t="shared" si="100"/>
        <v>1</v>
      </c>
      <c r="P599" s="635"/>
      <c r="Q599" s="3241">
        <f t="shared" si="101"/>
        <v>1</v>
      </c>
      <c r="R599" s="3241">
        <f t="shared" ca="1" si="102"/>
        <v>5044</v>
      </c>
      <c r="S599" s="905">
        <f t="shared" ca="1" si="103"/>
        <v>17</v>
      </c>
    </row>
    <row r="600" spans="1:19">
      <c r="A600" s="3227" t="s">
        <v>5757</v>
      </c>
      <c r="B600" s="3228">
        <v>34.46</v>
      </c>
      <c r="C600" s="3241">
        <f t="shared" si="94"/>
        <v>1</v>
      </c>
      <c r="D600" s="3239" t="s">
        <v>5756</v>
      </c>
      <c r="E600" s="3241">
        <f t="shared" si="95"/>
        <v>1</v>
      </c>
      <c r="F600" s="635"/>
      <c r="G600" s="3241">
        <f t="shared" si="96"/>
        <v>1</v>
      </c>
      <c r="H600" s="635"/>
      <c r="I600" s="3241">
        <f t="shared" si="97"/>
        <v>1</v>
      </c>
      <c r="J600" s="635"/>
      <c r="K600" s="3241">
        <f t="shared" si="98"/>
        <v>1</v>
      </c>
      <c r="L600" s="635"/>
      <c r="M600" s="3241">
        <f t="shared" si="99"/>
        <v>1</v>
      </c>
      <c r="N600" s="635"/>
      <c r="O600" s="3241">
        <f t="shared" si="100"/>
        <v>1</v>
      </c>
      <c r="P600" s="635"/>
      <c r="Q600" s="3241">
        <f t="shared" si="101"/>
        <v>1</v>
      </c>
      <c r="R600" s="3241">
        <f t="shared" ca="1" si="102"/>
        <v>5044</v>
      </c>
      <c r="S600" s="905">
        <f t="shared" ca="1" si="103"/>
        <v>17</v>
      </c>
    </row>
    <row r="601" spans="1:19">
      <c r="A601" s="3227" t="s">
        <v>4593</v>
      </c>
      <c r="B601" s="3228">
        <v>34.46</v>
      </c>
      <c r="C601" s="3241">
        <f t="shared" si="94"/>
        <v>1</v>
      </c>
      <c r="D601" s="3239" t="s">
        <v>4591</v>
      </c>
      <c r="E601" s="3241">
        <f t="shared" si="95"/>
        <v>1</v>
      </c>
      <c r="F601" s="635"/>
      <c r="G601" s="3241">
        <f t="shared" si="96"/>
        <v>1</v>
      </c>
      <c r="H601" s="635"/>
      <c r="I601" s="3241">
        <f t="shared" si="97"/>
        <v>1</v>
      </c>
      <c r="J601" s="635"/>
      <c r="K601" s="3241">
        <f t="shared" si="98"/>
        <v>1</v>
      </c>
      <c r="L601" s="635"/>
      <c r="M601" s="3241">
        <f t="shared" si="99"/>
        <v>1</v>
      </c>
      <c r="N601" s="635"/>
      <c r="O601" s="3241">
        <f t="shared" si="100"/>
        <v>1</v>
      </c>
      <c r="P601" s="635"/>
      <c r="Q601" s="3241">
        <f t="shared" si="101"/>
        <v>1</v>
      </c>
      <c r="R601" s="3241">
        <f t="shared" ca="1" si="102"/>
        <v>5044</v>
      </c>
      <c r="S601" s="905">
        <f t="shared" ca="1" si="103"/>
        <v>17</v>
      </c>
    </row>
    <row r="602" spans="1:19">
      <c r="A602" s="3227" t="s">
        <v>5759</v>
      </c>
      <c r="B602" s="3228">
        <v>34.46</v>
      </c>
      <c r="C602" s="3241">
        <f t="shared" ref="C602:C665" si="104">IF(B602="",1,(LOOKUP(B602,$3:$3,$4:$4)-LOOKUP($B$24,$3:$3,$4:$4)+100)/100)</f>
        <v>1</v>
      </c>
      <c r="D602" s="3237" t="s">
        <v>5171</v>
      </c>
      <c r="E602" s="3241">
        <f t="shared" si="95"/>
        <v>1</v>
      </c>
      <c r="F602" s="635"/>
      <c r="G602" s="3241">
        <f t="shared" si="96"/>
        <v>1</v>
      </c>
      <c r="H602" s="635"/>
      <c r="I602" s="3241">
        <f t="shared" si="97"/>
        <v>1</v>
      </c>
      <c r="J602" s="635"/>
      <c r="K602" s="3241">
        <f t="shared" si="98"/>
        <v>1</v>
      </c>
      <c r="L602" s="635"/>
      <c r="M602" s="3241">
        <f t="shared" si="99"/>
        <v>1</v>
      </c>
      <c r="N602" s="635"/>
      <c r="O602" s="3241">
        <f t="shared" si="100"/>
        <v>1</v>
      </c>
      <c r="P602" s="635"/>
      <c r="Q602" s="3241">
        <f t="shared" si="101"/>
        <v>1</v>
      </c>
      <c r="R602" s="3241">
        <f t="shared" ca="1" si="102"/>
        <v>5044</v>
      </c>
      <c r="S602" s="905">
        <f t="shared" ca="1" si="103"/>
        <v>17</v>
      </c>
    </row>
    <row r="603" spans="1:19">
      <c r="A603" s="3227" t="s">
        <v>4595</v>
      </c>
      <c r="B603" s="3228">
        <v>34.46</v>
      </c>
      <c r="C603" s="3241">
        <f t="shared" si="104"/>
        <v>1</v>
      </c>
      <c r="D603" s="3237" t="s">
        <v>4009</v>
      </c>
      <c r="E603" s="3241">
        <f t="shared" si="95"/>
        <v>1</v>
      </c>
      <c r="F603" s="635"/>
      <c r="G603" s="3241">
        <f t="shared" si="96"/>
        <v>1</v>
      </c>
      <c r="H603" s="635"/>
      <c r="I603" s="3241">
        <f t="shared" si="97"/>
        <v>1</v>
      </c>
      <c r="J603" s="635"/>
      <c r="K603" s="3241">
        <f t="shared" si="98"/>
        <v>1</v>
      </c>
      <c r="L603" s="635"/>
      <c r="M603" s="3241">
        <f t="shared" si="99"/>
        <v>1</v>
      </c>
      <c r="N603" s="635"/>
      <c r="O603" s="3241">
        <f t="shared" si="100"/>
        <v>1</v>
      </c>
      <c r="P603" s="635"/>
      <c r="Q603" s="3241">
        <f t="shared" si="101"/>
        <v>1</v>
      </c>
      <c r="R603" s="3241">
        <f t="shared" ca="1" si="102"/>
        <v>5044</v>
      </c>
      <c r="S603" s="905">
        <f t="shared" ca="1" si="103"/>
        <v>17</v>
      </c>
    </row>
    <row r="604" spans="1:19">
      <c r="A604" s="3227" t="s">
        <v>5761</v>
      </c>
      <c r="B604" s="3228">
        <v>34.46</v>
      </c>
      <c r="C604" s="3241">
        <f t="shared" si="104"/>
        <v>1</v>
      </c>
      <c r="D604" s="3237" t="s">
        <v>5171</v>
      </c>
      <c r="E604" s="3241">
        <f t="shared" si="95"/>
        <v>1</v>
      </c>
      <c r="F604" s="635"/>
      <c r="G604" s="3241">
        <f t="shared" si="96"/>
        <v>1</v>
      </c>
      <c r="H604" s="635"/>
      <c r="I604" s="3241">
        <f t="shared" si="97"/>
        <v>1</v>
      </c>
      <c r="J604" s="635"/>
      <c r="K604" s="3241">
        <f t="shared" si="98"/>
        <v>1</v>
      </c>
      <c r="L604" s="635"/>
      <c r="M604" s="3241">
        <f t="shared" si="99"/>
        <v>1</v>
      </c>
      <c r="N604" s="635"/>
      <c r="O604" s="3241">
        <f t="shared" si="100"/>
        <v>1</v>
      </c>
      <c r="P604" s="635"/>
      <c r="Q604" s="3241">
        <f t="shared" si="101"/>
        <v>1</v>
      </c>
      <c r="R604" s="3241">
        <f t="shared" ca="1" si="102"/>
        <v>5044</v>
      </c>
      <c r="S604" s="905">
        <f t="shared" ca="1" si="103"/>
        <v>17</v>
      </c>
    </row>
    <row r="605" spans="1:19">
      <c r="A605" s="3227" t="s">
        <v>4597</v>
      </c>
      <c r="B605" s="3228">
        <v>34.46</v>
      </c>
      <c r="C605" s="3241">
        <f t="shared" si="104"/>
        <v>1</v>
      </c>
      <c r="D605" s="3237" t="s">
        <v>4009</v>
      </c>
      <c r="E605" s="3241">
        <f t="shared" si="95"/>
        <v>1</v>
      </c>
      <c r="F605" s="635"/>
      <c r="G605" s="3241">
        <f t="shared" si="96"/>
        <v>1</v>
      </c>
      <c r="H605" s="635"/>
      <c r="I605" s="3241">
        <f t="shared" si="97"/>
        <v>1</v>
      </c>
      <c r="J605" s="635"/>
      <c r="K605" s="3241">
        <f t="shared" si="98"/>
        <v>1</v>
      </c>
      <c r="L605" s="635"/>
      <c r="M605" s="3241">
        <f t="shared" si="99"/>
        <v>1</v>
      </c>
      <c r="N605" s="635"/>
      <c r="O605" s="3241">
        <f t="shared" si="100"/>
        <v>1</v>
      </c>
      <c r="P605" s="635"/>
      <c r="Q605" s="3241">
        <f t="shared" si="101"/>
        <v>1</v>
      </c>
      <c r="R605" s="3241">
        <f t="shared" ca="1" si="102"/>
        <v>5044</v>
      </c>
      <c r="S605" s="905">
        <f t="shared" ca="1" si="103"/>
        <v>17</v>
      </c>
    </row>
    <row r="606" spans="1:19">
      <c r="A606" s="3227" t="s">
        <v>5763</v>
      </c>
      <c r="B606" s="3228">
        <v>38.049999999999997</v>
      </c>
      <c r="C606" s="3241">
        <f t="shared" si="104"/>
        <v>1</v>
      </c>
      <c r="D606" s="3237" t="s">
        <v>5171</v>
      </c>
      <c r="E606" s="3241">
        <f t="shared" si="95"/>
        <v>1</v>
      </c>
      <c r="F606" s="635"/>
      <c r="G606" s="3241">
        <f t="shared" si="96"/>
        <v>1</v>
      </c>
      <c r="H606" s="635"/>
      <c r="I606" s="3241">
        <f t="shared" si="97"/>
        <v>1</v>
      </c>
      <c r="J606" s="635"/>
      <c r="K606" s="3241">
        <f t="shared" si="98"/>
        <v>1</v>
      </c>
      <c r="L606" s="635"/>
      <c r="M606" s="3241">
        <f t="shared" si="99"/>
        <v>1</v>
      </c>
      <c r="N606" s="635"/>
      <c r="O606" s="3241">
        <f t="shared" si="100"/>
        <v>1</v>
      </c>
      <c r="P606" s="635"/>
      <c r="Q606" s="3241">
        <f t="shared" si="101"/>
        <v>1</v>
      </c>
      <c r="R606" s="3241">
        <f t="shared" ca="1" si="102"/>
        <v>5044</v>
      </c>
      <c r="S606" s="905">
        <f t="shared" ca="1" si="103"/>
        <v>19</v>
      </c>
    </row>
    <row r="607" spans="1:19">
      <c r="A607" s="3227" t="s">
        <v>4599</v>
      </c>
      <c r="B607" s="3228">
        <v>34.46</v>
      </c>
      <c r="C607" s="3241">
        <f t="shared" si="104"/>
        <v>1</v>
      </c>
      <c r="D607" s="3237" t="s">
        <v>4009</v>
      </c>
      <c r="E607" s="3241">
        <f t="shared" si="95"/>
        <v>1</v>
      </c>
      <c r="F607" s="635"/>
      <c r="G607" s="3241">
        <f t="shared" si="96"/>
        <v>1</v>
      </c>
      <c r="H607" s="635"/>
      <c r="I607" s="3241">
        <f t="shared" si="97"/>
        <v>1</v>
      </c>
      <c r="J607" s="635"/>
      <c r="K607" s="3241">
        <f t="shared" si="98"/>
        <v>1</v>
      </c>
      <c r="L607" s="635"/>
      <c r="M607" s="3241">
        <f t="shared" si="99"/>
        <v>1</v>
      </c>
      <c r="N607" s="635"/>
      <c r="O607" s="3241">
        <f t="shared" si="100"/>
        <v>1</v>
      </c>
      <c r="P607" s="635"/>
      <c r="Q607" s="3241">
        <f t="shared" si="101"/>
        <v>1</v>
      </c>
      <c r="R607" s="3241">
        <f t="shared" ca="1" si="102"/>
        <v>5044</v>
      </c>
      <c r="S607" s="905">
        <f t="shared" ca="1" si="103"/>
        <v>17</v>
      </c>
    </row>
    <row r="608" spans="1:19">
      <c r="A608" s="3227" t="s">
        <v>5765</v>
      </c>
      <c r="B608" s="3228">
        <v>34.46</v>
      </c>
      <c r="C608" s="3241">
        <f t="shared" si="104"/>
        <v>1</v>
      </c>
      <c r="D608" s="3237" t="s">
        <v>5171</v>
      </c>
      <c r="E608" s="3241">
        <f t="shared" si="95"/>
        <v>1</v>
      </c>
      <c r="F608" s="635"/>
      <c r="G608" s="3241">
        <f t="shared" si="96"/>
        <v>1</v>
      </c>
      <c r="H608" s="635"/>
      <c r="I608" s="3241">
        <f t="shared" si="97"/>
        <v>1</v>
      </c>
      <c r="J608" s="635"/>
      <c r="K608" s="3241">
        <f t="shared" si="98"/>
        <v>1</v>
      </c>
      <c r="L608" s="635"/>
      <c r="M608" s="3241">
        <f t="shared" si="99"/>
        <v>1</v>
      </c>
      <c r="N608" s="635"/>
      <c r="O608" s="3241">
        <f t="shared" si="100"/>
        <v>1</v>
      </c>
      <c r="P608" s="635"/>
      <c r="Q608" s="3241">
        <f t="shared" si="101"/>
        <v>1</v>
      </c>
      <c r="R608" s="3241">
        <f t="shared" ca="1" si="102"/>
        <v>5044</v>
      </c>
      <c r="S608" s="905">
        <f t="shared" ca="1" si="103"/>
        <v>17</v>
      </c>
    </row>
    <row r="609" spans="1:19">
      <c r="A609" s="3227" t="s">
        <v>4601</v>
      </c>
      <c r="B609" s="3228">
        <v>34.46</v>
      </c>
      <c r="C609" s="3241">
        <f t="shared" si="104"/>
        <v>1</v>
      </c>
      <c r="D609" s="3237" t="s">
        <v>4009</v>
      </c>
      <c r="E609" s="3241">
        <f t="shared" si="95"/>
        <v>1</v>
      </c>
      <c r="F609" s="635"/>
      <c r="G609" s="3241">
        <f t="shared" si="96"/>
        <v>1</v>
      </c>
      <c r="H609" s="635"/>
      <c r="I609" s="3241">
        <f t="shared" si="97"/>
        <v>1</v>
      </c>
      <c r="J609" s="635"/>
      <c r="K609" s="3241">
        <f t="shared" si="98"/>
        <v>1</v>
      </c>
      <c r="L609" s="635"/>
      <c r="M609" s="3241">
        <f t="shared" si="99"/>
        <v>1</v>
      </c>
      <c r="N609" s="635"/>
      <c r="O609" s="3241">
        <f t="shared" si="100"/>
        <v>1</v>
      </c>
      <c r="P609" s="635"/>
      <c r="Q609" s="3241">
        <f t="shared" si="101"/>
        <v>1</v>
      </c>
      <c r="R609" s="3241">
        <f t="shared" ca="1" si="102"/>
        <v>5044</v>
      </c>
      <c r="S609" s="905">
        <f t="shared" ca="1" si="103"/>
        <v>17</v>
      </c>
    </row>
    <row r="610" spans="1:19">
      <c r="A610" s="3227" t="s">
        <v>5767</v>
      </c>
      <c r="B610" s="3228">
        <v>34.46</v>
      </c>
      <c r="C610" s="3241">
        <f t="shared" si="104"/>
        <v>1</v>
      </c>
      <c r="D610" s="3237" t="s">
        <v>5171</v>
      </c>
      <c r="E610" s="3241">
        <f t="shared" si="95"/>
        <v>1</v>
      </c>
      <c r="F610" s="635"/>
      <c r="G610" s="3241">
        <f t="shared" si="96"/>
        <v>1</v>
      </c>
      <c r="H610" s="635"/>
      <c r="I610" s="3241">
        <f t="shared" si="97"/>
        <v>1</v>
      </c>
      <c r="J610" s="635"/>
      <c r="K610" s="3241">
        <f t="shared" si="98"/>
        <v>1</v>
      </c>
      <c r="L610" s="635"/>
      <c r="M610" s="3241">
        <f t="shared" si="99"/>
        <v>1</v>
      </c>
      <c r="N610" s="635"/>
      <c r="O610" s="3241">
        <f t="shared" si="100"/>
        <v>1</v>
      </c>
      <c r="P610" s="635"/>
      <c r="Q610" s="3241">
        <f t="shared" si="101"/>
        <v>1</v>
      </c>
      <c r="R610" s="3241">
        <f t="shared" ca="1" si="102"/>
        <v>5044</v>
      </c>
      <c r="S610" s="905">
        <f t="shared" ca="1" si="103"/>
        <v>17</v>
      </c>
    </row>
    <row r="611" spans="1:19">
      <c r="A611" s="3227" t="s">
        <v>4603</v>
      </c>
      <c r="B611" s="3228">
        <v>34.46</v>
      </c>
      <c r="C611" s="3241">
        <f t="shared" si="104"/>
        <v>1</v>
      </c>
      <c r="D611" s="3237" t="s">
        <v>4009</v>
      </c>
      <c r="E611" s="3241">
        <f t="shared" si="95"/>
        <v>1</v>
      </c>
      <c r="F611" s="635"/>
      <c r="G611" s="3241">
        <f t="shared" si="96"/>
        <v>1</v>
      </c>
      <c r="H611" s="635"/>
      <c r="I611" s="3241">
        <f t="shared" si="97"/>
        <v>1</v>
      </c>
      <c r="J611" s="635"/>
      <c r="K611" s="3241">
        <f t="shared" si="98"/>
        <v>1</v>
      </c>
      <c r="L611" s="635"/>
      <c r="M611" s="3241">
        <f t="shared" si="99"/>
        <v>1</v>
      </c>
      <c r="N611" s="635"/>
      <c r="O611" s="3241">
        <f t="shared" si="100"/>
        <v>1</v>
      </c>
      <c r="P611" s="635"/>
      <c r="Q611" s="3241">
        <f t="shared" si="101"/>
        <v>1</v>
      </c>
      <c r="R611" s="3241">
        <f t="shared" ca="1" si="102"/>
        <v>5044</v>
      </c>
      <c r="S611" s="905">
        <f t="shared" ca="1" si="103"/>
        <v>17</v>
      </c>
    </row>
    <row r="612" spans="1:19">
      <c r="A612" s="3227" t="s">
        <v>5769</v>
      </c>
      <c r="B612" s="3228">
        <v>34.46</v>
      </c>
      <c r="C612" s="3241">
        <f t="shared" si="104"/>
        <v>1</v>
      </c>
      <c r="D612" s="3237" t="s">
        <v>5171</v>
      </c>
      <c r="E612" s="3241">
        <f t="shared" si="95"/>
        <v>1</v>
      </c>
      <c r="F612" s="635"/>
      <c r="G612" s="3241">
        <f t="shared" si="96"/>
        <v>1</v>
      </c>
      <c r="H612" s="635"/>
      <c r="I612" s="3241">
        <f t="shared" si="97"/>
        <v>1</v>
      </c>
      <c r="J612" s="635"/>
      <c r="K612" s="3241">
        <f t="shared" si="98"/>
        <v>1</v>
      </c>
      <c r="L612" s="635"/>
      <c r="M612" s="3241">
        <f t="shared" si="99"/>
        <v>1</v>
      </c>
      <c r="N612" s="635"/>
      <c r="O612" s="3241">
        <f t="shared" si="100"/>
        <v>1</v>
      </c>
      <c r="P612" s="635"/>
      <c r="Q612" s="3241">
        <f t="shared" si="101"/>
        <v>1</v>
      </c>
      <c r="R612" s="3241">
        <f t="shared" ca="1" si="102"/>
        <v>5044</v>
      </c>
      <c r="S612" s="905">
        <f t="shared" ca="1" si="103"/>
        <v>17</v>
      </c>
    </row>
    <row r="613" spans="1:19">
      <c r="A613" s="3227" t="s">
        <v>4605</v>
      </c>
      <c r="B613" s="3228">
        <v>34.46</v>
      </c>
      <c r="C613" s="3241">
        <f t="shared" si="104"/>
        <v>1</v>
      </c>
      <c r="D613" s="3237" t="s">
        <v>4009</v>
      </c>
      <c r="E613" s="3241">
        <f t="shared" si="95"/>
        <v>1</v>
      </c>
      <c r="F613" s="635"/>
      <c r="G613" s="3241">
        <f t="shared" si="96"/>
        <v>1</v>
      </c>
      <c r="H613" s="635"/>
      <c r="I613" s="3241">
        <f t="shared" si="97"/>
        <v>1</v>
      </c>
      <c r="J613" s="635"/>
      <c r="K613" s="3241">
        <f t="shared" si="98"/>
        <v>1</v>
      </c>
      <c r="L613" s="635"/>
      <c r="M613" s="3241">
        <f t="shared" si="99"/>
        <v>1</v>
      </c>
      <c r="N613" s="635"/>
      <c r="O613" s="3241">
        <f t="shared" si="100"/>
        <v>1</v>
      </c>
      <c r="P613" s="635"/>
      <c r="Q613" s="3241">
        <f t="shared" si="101"/>
        <v>1</v>
      </c>
      <c r="R613" s="3241">
        <f t="shared" ca="1" si="102"/>
        <v>5044</v>
      </c>
      <c r="S613" s="905">
        <f t="shared" ca="1" si="103"/>
        <v>17</v>
      </c>
    </row>
    <row r="614" spans="1:19">
      <c r="A614" s="3227" t="s">
        <v>5771</v>
      </c>
      <c r="B614" s="3228">
        <v>34.46</v>
      </c>
      <c r="C614" s="3241">
        <f t="shared" si="104"/>
        <v>1</v>
      </c>
      <c r="D614" s="3237" t="s">
        <v>5171</v>
      </c>
      <c r="E614" s="3241">
        <f t="shared" si="95"/>
        <v>1</v>
      </c>
      <c r="F614" s="635"/>
      <c r="G614" s="3241">
        <f t="shared" si="96"/>
        <v>1</v>
      </c>
      <c r="H614" s="635"/>
      <c r="I614" s="3241">
        <f t="shared" si="97"/>
        <v>1</v>
      </c>
      <c r="J614" s="635"/>
      <c r="K614" s="3241">
        <f t="shared" si="98"/>
        <v>1</v>
      </c>
      <c r="L614" s="635"/>
      <c r="M614" s="3241">
        <f t="shared" si="99"/>
        <v>1</v>
      </c>
      <c r="N614" s="635"/>
      <c r="O614" s="3241">
        <f t="shared" si="100"/>
        <v>1</v>
      </c>
      <c r="P614" s="635"/>
      <c r="Q614" s="3241">
        <f t="shared" si="101"/>
        <v>1</v>
      </c>
      <c r="R614" s="3241">
        <f t="shared" ca="1" si="102"/>
        <v>5044</v>
      </c>
      <c r="S614" s="905">
        <f t="shared" ca="1" si="103"/>
        <v>17</v>
      </c>
    </row>
    <row r="615" spans="1:19">
      <c r="A615" s="3227" t="s">
        <v>4607</v>
      </c>
      <c r="B615" s="3228">
        <v>34.46</v>
      </c>
      <c r="C615" s="3241">
        <f t="shared" si="104"/>
        <v>1</v>
      </c>
      <c r="D615" s="3239" t="s">
        <v>4591</v>
      </c>
      <c r="E615" s="3241">
        <f t="shared" si="95"/>
        <v>1</v>
      </c>
      <c r="F615" s="635"/>
      <c r="G615" s="3241">
        <f t="shared" si="96"/>
        <v>1</v>
      </c>
      <c r="H615" s="635"/>
      <c r="I615" s="3241">
        <f t="shared" si="97"/>
        <v>1</v>
      </c>
      <c r="J615" s="635"/>
      <c r="K615" s="3241">
        <f t="shared" si="98"/>
        <v>1</v>
      </c>
      <c r="L615" s="635"/>
      <c r="M615" s="3241">
        <f t="shared" si="99"/>
        <v>1</v>
      </c>
      <c r="N615" s="635"/>
      <c r="O615" s="3241">
        <f t="shared" si="100"/>
        <v>1</v>
      </c>
      <c r="P615" s="635"/>
      <c r="Q615" s="3241">
        <f t="shared" si="101"/>
        <v>1</v>
      </c>
      <c r="R615" s="3241">
        <f t="shared" ca="1" si="102"/>
        <v>5044</v>
      </c>
      <c r="S615" s="905">
        <f t="shared" ca="1" si="103"/>
        <v>17</v>
      </c>
    </row>
    <row r="616" spans="1:19">
      <c r="A616" s="3227" t="s">
        <v>5773</v>
      </c>
      <c r="B616" s="3228">
        <v>34.46</v>
      </c>
      <c r="C616" s="3241">
        <f t="shared" si="104"/>
        <v>1</v>
      </c>
      <c r="D616" s="3237" t="s">
        <v>5171</v>
      </c>
      <c r="E616" s="3241">
        <f t="shared" si="95"/>
        <v>1</v>
      </c>
      <c r="F616" s="635"/>
      <c r="G616" s="3241">
        <f t="shared" si="96"/>
        <v>1</v>
      </c>
      <c r="H616" s="635"/>
      <c r="I616" s="3241">
        <f t="shared" si="97"/>
        <v>1</v>
      </c>
      <c r="J616" s="635"/>
      <c r="K616" s="3241">
        <f t="shared" si="98"/>
        <v>1</v>
      </c>
      <c r="L616" s="635"/>
      <c r="M616" s="3241">
        <f t="shared" si="99"/>
        <v>1</v>
      </c>
      <c r="N616" s="635"/>
      <c r="O616" s="3241">
        <f t="shared" si="100"/>
        <v>1</v>
      </c>
      <c r="P616" s="635"/>
      <c r="Q616" s="3241">
        <f t="shared" si="101"/>
        <v>1</v>
      </c>
      <c r="R616" s="3241">
        <f t="shared" ca="1" si="102"/>
        <v>5044</v>
      </c>
      <c r="S616" s="905">
        <f t="shared" ca="1" si="103"/>
        <v>17</v>
      </c>
    </row>
    <row r="617" spans="1:19">
      <c r="A617" s="3227" t="s">
        <v>4609</v>
      </c>
      <c r="B617" s="3228">
        <v>34.46</v>
      </c>
      <c r="C617" s="3241">
        <f t="shared" si="104"/>
        <v>1</v>
      </c>
      <c r="D617" s="3237" t="s">
        <v>4009</v>
      </c>
      <c r="E617" s="3241">
        <f t="shared" si="95"/>
        <v>1</v>
      </c>
      <c r="F617" s="635"/>
      <c r="G617" s="3241">
        <f t="shared" si="96"/>
        <v>1</v>
      </c>
      <c r="H617" s="635"/>
      <c r="I617" s="3241">
        <f t="shared" si="97"/>
        <v>1</v>
      </c>
      <c r="J617" s="635"/>
      <c r="K617" s="3241">
        <f t="shared" si="98"/>
        <v>1</v>
      </c>
      <c r="L617" s="635"/>
      <c r="M617" s="3241">
        <f t="shared" si="99"/>
        <v>1</v>
      </c>
      <c r="N617" s="635"/>
      <c r="O617" s="3241">
        <f t="shared" si="100"/>
        <v>1</v>
      </c>
      <c r="P617" s="635"/>
      <c r="Q617" s="3241">
        <f t="shared" si="101"/>
        <v>1</v>
      </c>
      <c r="R617" s="3241">
        <f t="shared" ca="1" si="102"/>
        <v>5044</v>
      </c>
      <c r="S617" s="905">
        <f t="shared" ca="1" si="103"/>
        <v>17</v>
      </c>
    </row>
    <row r="618" spans="1:19">
      <c r="A618" s="3227" t="s">
        <v>5775</v>
      </c>
      <c r="B618" s="3228">
        <v>34.46</v>
      </c>
      <c r="C618" s="3241">
        <f t="shared" si="104"/>
        <v>1</v>
      </c>
      <c r="D618" s="3237" t="s">
        <v>5171</v>
      </c>
      <c r="E618" s="3241">
        <f t="shared" si="95"/>
        <v>1</v>
      </c>
      <c r="F618" s="635"/>
      <c r="G618" s="3241">
        <f t="shared" si="96"/>
        <v>1</v>
      </c>
      <c r="H618" s="635"/>
      <c r="I618" s="3241">
        <f t="shared" si="97"/>
        <v>1</v>
      </c>
      <c r="J618" s="635"/>
      <c r="K618" s="3241">
        <f t="shared" si="98"/>
        <v>1</v>
      </c>
      <c r="L618" s="635"/>
      <c r="M618" s="3241">
        <f t="shared" si="99"/>
        <v>1</v>
      </c>
      <c r="N618" s="635"/>
      <c r="O618" s="3241">
        <f t="shared" si="100"/>
        <v>1</v>
      </c>
      <c r="P618" s="635"/>
      <c r="Q618" s="3241">
        <f t="shared" si="101"/>
        <v>1</v>
      </c>
      <c r="R618" s="3241">
        <f t="shared" ca="1" si="102"/>
        <v>5044</v>
      </c>
      <c r="S618" s="905">
        <f t="shared" ca="1" si="103"/>
        <v>17</v>
      </c>
    </row>
    <row r="619" spans="1:19">
      <c r="A619" s="3227" t="s">
        <v>4611</v>
      </c>
      <c r="B619" s="3228">
        <v>34.46</v>
      </c>
      <c r="C619" s="3241">
        <f t="shared" si="104"/>
        <v>1</v>
      </c>
      <c r="D619" s="3237" t="s">
        <v>4009</v>
      </c>
      <c r="E619" s="3241">
        <f t="shared" si="95"/>
        <v>1</v>
      </c>
      <c r="F619" s="635"/>
      <c r="G619" s="3241">
        <f t="shared" si="96"/>
        <v>1</v>
      </c>
      <c r="H619" s="635"/>
      <c r="I619" s="3241">
        <f t="shared" si="97"/>
        <v>1</v>
      </c>
      <c r="J619" s="635"/>
      <c r="K619" s="3241">
        <f t="shared" si="98"/>
        <v>1</v>
      </c>
      <c r="L619" s="635"/>
      <c r="M619" s="3241">
        <f t="shared" si="99"/>
        <v>1</v>
      </c>
      <c r="N619" s="635"/>
      <c r="O619" s="3241">
        <f t="shared" si="100"/>
        <v>1</v>
      </c>
      <c r="P619" s="635"/>
      <c r="Q619" s="3241">
        <f t="shared" si="101"/>
        <v>1</v>
      </c>
      <c r="R619" s="3241">
        <f t="shared" ca="1" si="102"/>
        <v>5044</v>
      </c>
      <c r="S619" s="905">
        <f t="shared" ca="1" si="103"/>
        <v>17</v>
      </c>
    </row>
    <row r="620" spans="1:19">
      <c r="A620" s="3227" t="s">
        <v>5777</v>
      </c>
      <c r="B620" s="3234">
        <v>33.75</v>
      </c>
      <c r="C620" s="3241">
        <f t="shared" si="104"/>
        <v>1</v>
      </c>
      <c r="D620" s="3237" t="s">
        <v>5171</v>
      </c>
      <c r="E620" s="3241">
        <f t="shared" si="95"/>
        <v>1</v>
      </c>
      <c r="F620" s="635"/>
      <c r="G620" s="3241">
        <f t="shared" si="96"/>
        <v>1</v>
      </c>
      <c r="H620" s="635"/>
      <c r="I620" s="3241">
        <f t="shared" si="97"/>
        <v>1</v>
      </c>
      <c r="J620" s="635"/>
      <c r="K620" s="3241">
        <f t="shared" si="98"/>
        <v>1</v>
      </c>
      <c r="L620" s="635"/>
      <c r="M620" s="3241">
        <f t="shared" si="99"/>
        <v>1</v>
      </c>
      <c r="N620" s="635"/>
      <c r="O620" s="3241">
        <f t="shared" si="100"/>
        <v>1</v>
      </c>
      <c r="P620" s="635"/>
      <c r="Q620" s="3241">
        <f t="shared" si="101"/>
        <v>1</v>
      </c>
      <c r="R620" s="3241">
        <f t="shared" ca="1" si="102"/>
        <v>5044</v>
      </c>
      <c r="S620" s="905">
        <f t="shared" ca="1" si="103"/>
        <v>17</v>
      </c>
    </row>
    <row r="621" spans="1:19">
      <c r="A621" s="3227" t="s">
        <v>4613</v>
      </c>
      <c r="B621" s="3228">
        <v>33.75</v>
      </c>
      <c r="C621" s="3241">
        <f t="shared" si="104"/>
        <v>1</v>
      </c>
      <c r="D621" s="3237" t="s">
        <v>4009</v>
      </c>
      <c r="E621" s="3241">
        <f t="shared" si="95"/>
        <v>1</v>
      </c>
      <c r="F621" s="635"/>
      <c r="G621" s="3241">
        <f t="shared" si="96"/>
        <v>1</v>
      </c>
      <c r="H621" s="635"/>
      <c r="I621" s="3241">
        <f t="shared" si="97"/>
        <v>1</v>
      </c>
      <c r="J621" s="635"/>
      <c r="K621" s="3241">
        <f t="shared" si="98"/>
        <v>1</v>
      </c>
      <c r="L621" s="635"/>
      <c r="M621" s="3241">
        <f t="shared" si="99"/>
        <v>1</v>
      </c>
      <c r="N621" s="635"/>
      <c r="O621" s="3241">
        <f t="shared" si="100"/>
        <v>1</v>
      </c>
      <c r="P621" s="635"/>
      <c r="Q621" s="3241">
        <f t="shared" si="101"/>
        <v>1</v>
      </c>
      <c r="R621" s="3241">
        <f t="shared" ca="1" si="102"/>
        <v>5044</v>
      </c>
      <c r="S621" s="905">
        <f t="shared" ca="1" si="103"/>
        <v>17</v>
      </c>
    </row>
    <row r="622" spans="1:19">
      <c r="A622" s="3227" t="s">
        <v>5779</v>
      </c>
      <c r="B622" s="3228">
        <v>33.75</v>
      </c>
      <c r="C622" s="3241">
        <f t="shared" si="104"/>
        <v>1</v>
      </c>
      <c r="D622" s="3237" t="s">
        <v>5171</v>
      </c>
      <c r="E622" s="3241">
        <f t="shared" si="95"/>
        <v>1</v>
      </c>
      <c r="F622" s="635"/>
      <c r="G622" s="3241">
        <f t="shared" si="96"/>
        <v>1</v>
      </c>
      <c r="H622" s="635"/>
      <c r="I622" s="3241">
        <f t="shared" si="97"/>
        <v>1</v>
      </c>
      <c r="J622" s="635"/>
      <c r="K622" s="3241">
        <f t="shared" si="98"/>
        <v>1</v>
      </c>
      <c r="L622" s="635"/>
      <c r="M622" s="3241">
        <f t="shared" si="99"/>
        <v>1</v>
      </c>
      <c r="N622" s="635"/>
      <c r="O622" s="3241">
        <f t="shared" si="100"/>
        <v>1</v>
      </c>
      <c r="P622" s="635"/>
      <c r="Q622" s="3241">
        <f t="shared" si="101"/>
        <v>1</v>
      </c>
      <c r="R622" s="3241">
        <f t="shared" ca="1" si="102"/>
        <v>5044</v>
      </c>
      <c r="S622" s="905">
        <f t="shared" ca="1" si="103"/>
        <v>17</v>
      </c>
    </row>
    <row r="623" spans="1:19">
      <c r="A623" s="3227" t="s">
        <v>4615</v>
      </c>
      <c r="B623" s="3228">
        <v>33.75</v>
      </c>
      <c r="C623" s="3241">
        <f t="shared" si="104"/>
        <v>1</v>
      </c>
      <c r="D623" s="3237" t="s">
        <v>4009</v>
      </c>
      <c r="E623" s="3241">
        <f t="shared" si="95"/>
        <v>1</v>
      </c>
      <c r="F623" s="635"/>
      <c r="G623" s="3241">
        <f t="shared" si="96"/>
        <v>1</v>
      </c>
      <c r="H623" s="635"/>
      <c r="I623" s="3241">
        <f t="shared" si="97"/>
        <v>1</v>
      </c>
      <c r="J623" s="635"/>
      <c r="K623" s="3241">
        <f t="shared" si="98"/>
        <v>1</v>
      </c>
      <c r="L623" s="635"/>
      <c r="M623" s="3241">
        <f t="shared" si="99"/>
        <v>1</v>
      </c>
      <c r="N623" s="635"/>
      <c r="O623" s="3241">
        <f t="shared" si="100"/>
        <v>1</v>
      </c>
      <c r="P623" s="635"/>
      <c r="Q623" s="3241">
        <f t="shared" si="101"/>
        <v>1</v>
      </c>
      <c r="R623" s="3241">
        <f t="shared" ca="1" si="102"/>
        <v>5044</v>
      </c>
      <c r="S623" s="905">
        <f t="shared" ca="1" si="103"/>
        <v>17</v>
      </c>
    </row>
    <row r="624" spans="1:19">
      <c r="A624" s="3227" t="s">
        <v>5781</v>
      </c>
      <c r="B624" s="3228">
        <v>33.75</v>
      </c>
      <c r="C624" s="3241">
        <f t="shared" si="104"/>
        <v>1</v>
      </c>
      <c r="D624" s="3237" t="s">
        <v>5171</v>
      </c>
      <c r="E624" s="3241">
        <f t="shared" si="95"/>
        <v>1</v>
      </c>
      <c r="F624" s="635"/>
      <c r="G624" s="3241">
        <f t="shared" si="96"/>
        <v>1</v>
      </c>
      <c r="H624" s="635"/>
      <c r="I624" s="3241">
        <f t="shared" si="97"/>
        <v>1</v>
      </c>
      <c r="J624" s="635"/>
      <c r="K624" s="3241">
        <f t="shared" si="98"/>
        <v>1</v>
      </c>
      <c r="L624" s="635"/>
      <c r="M624" s="3241">
        <f t="shared" si="99"/>
        <v>1</v>
      </c>
      <c r="N624" s="635"/>
      <c r="O624" s="3241">
        <f t="shared" si="100"/>
        <v>1</v>
      </c>
      <c r="P624" s="635"/>
      <c r="Q624" s="3241">
        <f t="shared" si="101"/>
        <v>1</v>
      </c>
      <c r="R624" s="3241">
        <f t="shared" ca="1" si="102"/>
        <v>5044</v>
      </c>
      <c r="S624" s="905">
        <f t="shared" ca="1" si="103"/>
        <v>17</v>
      </c>
    </row>
    <row r="625" spans="1:19">
      <c r="A625" s="3227" t="s">
        <v>4617</v>
      </c>
      <c r="B625" s="3228">
        <v>33.75</v>
      </c>
      <c r="C625" s="3241">
        <f t="shared" si="104"/>
        <v>1</v>
      </c>
      <c r="D625" s="3237" t="s">
        <v>4009</v>
      </c>
      <c r="E625" s="3241">
        <f t="shared" si="95"/>
        <v>1</v>
      </c>
      <c r="F625" s="635"/>
      <c r="G625" s="3241">
        <f t="shared" si="96"/>
        <v>1</v>
      </c>
      <c r="H625" s="635"/>
      <c r="I625" s="3241">
        <f t="shared" si="97"/>
        <v>1</v>
      </c>
      <c r="J625" s="635"/>
      <c r="K625" s="3241">
        <f t="shared" si="98"/>
        <v>1</v>
      </c>
      <c r="L625" s="635"/>
      <c r="M625" s="3241">
        <f t="shared" si="99"/>
        <v>1</v>
      </c>
      <c r="N625" s="635"/>
      <c r="O625" s="3241">
        <f t="shared" si="100"/>
        <v>1</v>
      </c>
      <c r="P625" s="635"/>
      <c r="Q625" s="3241">
        <f t="shared" si="101"/>
        <v>1</v>
      </c>
      <c r="R625" s="3241">
        <f t="shared" ca="1" si="102"/>
        <v>5044</v>
      </c>
      <c r="S625" s="905">
        <f t="shared" ca="1" si="103"/>
        <v>17</v>
      </c>
    </row>
    <row r="626" spans="1:19">
      <c r="A626" s="3227" t="s">
        <v>5783</v>
      </c>
      <c r="B626" s="3228">
        <v>34.46</v>
      </c>
      <c r="C626" s="3241">
        <f t="shared" si="104"/>
        <v>1</v>
      </c>
      <c r="D626" s="3237" t="s">
        <v>5171</v>
      </c>
      <c r="E626" s="3241">
        <f t="shared" si="95"/>
        <v>1</v>
      </c>
      <c r="F626" s="635"/>
      <c r="G626" s="3241">
        <f t="shared" si="96"/>
        <v>1</v>
      </c>
      <c r="H626" s="635"/>
      <c r="I626" s="3241">
        <f t="shared" si="97"/>
        <v>1</v>
      </c>
      <c r="J626" s="635"/>
      <c r="K626" s="3241">
        <f t="shared" si="98"/>
        <v>1</v>
      </c>
      <c r="L626" s="635"/>
      <c r="M626" s="3241">
        <f t="shared" si="99"/>
        <v>1</v>
      </c>
      <c r="N626" s="635"/>
      <c r="O626" s="3241">
        <f t="shared" si="100"/>
        <v>1</v>
      </c>
      <c r="P626" s="635"/>
      <c r="Q626" s="3241">
        <f t="shared" si="101"/>
        <v>1</v>
      </c>
      <c r="R626" s="3241">
        <f t="shared" ca="1" si="102"/>
        <v>5044</v>
      </c>
      <c r="S626" s="905">
        <f t="shared" ca="1" si="103"/>
        <v>17</v>
      </c>
    </row>
    <row r="627" spans="1:19">
      <c r="A627" s="3227" t="s">
        <v>4619</v>
      </c>
      <c r="B627" s="3228">
        <v>34.46</v>
      </c>
      <c r="C627" s="3241">
        <f t="shared" si="104"/>
        <v>1</v>
      </c>
      <c r="D627" s="3237" t="s">
        <v>4009</v>
      </c>
      <c r="E627" s="3241">
        <f t="shared" si="95"/>
        <v>1</v>
      </c>
      <c r="F627" s="635"/>
      <c r="G627" s="3241">
        <f t="shared" si="96"/>
        <v>1</v>
      </c>
      <c r="H627" s="635"/>
      <c r="I627" s="3241">
        <f t="shared" si="97"/>
        <v>1</v>
      </c>
      <c r="J627" s="635"/>
      <c r="K627" s="3241">
        <f t="shared" si="98"/>
        <v>1</v>
      </c>
      <c r="L627" s="635"/>
      <c r="M627" s="3241">
        <f t="shared" si="99"/>
        <v>1</v>
      </c>
      <c r="N627" s="635"/>
      <c r="O627" s="3241">
        <f t="shared" si="100"/>
        <v>1</v>
      </c>
      <c r="P627" s="635"/>
      <c r="Q627" s="3241">
        <f t="shared" si="101"/>
        <v>1</v>
      </c>
      <c r="R627" s="3241">
        <f t="shared" ca="1" si="102"/>
        <v>5044</v>
      </c>
      <c r="S627" s="905">
        <f t="shared" ca="1" si="103"/>
        <v>17</v>
      </c>
    </row>
    <row r="628" spans="1:19">
      <c r="A628" s="3227" t="s">
        <v>5785</v>
      </c>
      <c r="B628" s="3228">
        <v>34.46</v>
      </c>
      <c r="C628" s="3241">
        <f t="shared" si="104"/>
        <v>1</v>
      </c>
      <c r="D628" s="3237" t="s">
        <v>5171</v>
      </c>
      <c r="E628" s="3241">
        <f t="shared" si="95"/>
        <v>1</v>
      </c>
      <c r="F628" s="635"/>
      <c r="G628" s="3241">
        <f t="shared" si="96"/>
        <v>1</v>
      </c>
      <c r="H628" s="635"/>
      <c r="I628" s="3241">
        <f t="shared" si="97"/>
        <v>1</v>
      </c>
      <c r="J628" s="635"/>
      <c r="K628" s="3241">
        <f t="shared" si="98"/>
        <v>1</v>
      </c>
      <c r="L628" s="635"/>
      <c r="M628" s="3241">
        <f t="shared" si="99"/>
        <v>1</v>
      </c>
      <c r="N628" s="635"/>
      <c r="O628" s="3241">
        <f t="shared" si="100"/>
        <v>1</v>
      </c>
      <c r="P628" s="635"/>
      <c r="Q628" s="3241">
        <f t="shared" si="101"/>
        <v>1</v>
      </c>
      <c r="R628" s="3241">
        <f t="shared" ca="1" si="102"/>
        <v>5044</v>
      </c>
      <c r="S628" s="905">
        <f t="shared" ca="1" si="103"/>
        <v>17</v>
      </c>
    </row>
    <row r="629" spans="1:19">
      <c r="A629" s="3227" t="s">
        <v>4621</v>
      </c>
      <c r="B629" s="3228">
        <v>36.630000000000003</v>
      </c>
      <c r="C629" s="3241">
        <f t="shared" si="104"/>
        <v>1</v>
      </c>
      <c r="D629" s="3237" t="s">
        <v>4009</v>
      </c>
      <c r="E629" s="3241">
        <f t="shared" si="95"/>
        <v>1</v>
      </c>
      <c r="F629" s="635"/>
      <c r="G629" s="3241">
        <f t="shared" si="96"/>
        <v>1</v>
      </c>
      <c r="H629" s="635"/>
      <c r="I629" s="3241">
        <f t="shared" si="97"/>
        <v>1</v>
      </c>
      <c r="J629" s="635"/>
      <c r="K629" s="3241">
        <f t="shared" si="98"/>
        <v>1</v>
      </c>
      <c r="L629" s="635"/>
      <c r="M629" s="3241">
        <f t="shared" si="99"/>
        <v>1</v>
      </c>
      <c r="N629" s="635"/>
      <c r="O629" s="3241">
        <f t="shared" si="100"/>
        <v>1</v>
      </c>
      <c r="P629" s="635"/>
      <c r="Q629" s="3241">
        <f t="shared" si="101"/>
        <v>1</v>
      </c>
      <c r="R629" s="3241">
        <f t="shared" ca="1" si="102"/>
        <v>5044</v>
      </c>
      <c r="S629" s="905">
        <f t="shared" ca="1" si="103"/>
        <v>18</v>
      </c>
    </row>
    <row r="630" spans="1:19">
      <c r="A630" s="3227" t="s">
        <v>5788</v>
      </c>
      <c r="B630" s="3228">
        <v>36.630000000000003</v>
      </c>
      <c r="C630" s="3241">
        <f t="shared" si="104"/>
        <v>1</v>
      </c>
      <c r="D630" s="3237" t="s">
        <v>5171</v>
      </c>
      <c r="E630" s="3241">
        <f t="shared" si="95"/>
        <v>1</v>
      </c>
      <c r="F630" s="635"/>
      <c r="G630" s="3241">
        <f t="shared" si="96"/>
        <v>1</v>
      </c>
      <c r="H630" s="635"/>
      <c r="I630" s="3241">
        <f t="shared" si="97"/>
        <v>1</v>
      </c>
      <c r="J630" s="635"/>
      <c r="K630" s="3241">
        <f t="shared" si="98"/>
        <v>1</v>
      </c>
      <c r="L630" s="635"/>
      <c r="M630" s="3241">
        <f t="shared" si="99"/>
        <v>1</v>
      </c>
      <c r="N630" s="635"/>
      <c r="O630" s="3241">
        <f t="shared" si="100"/>
        <v>1</v>
      </c>
      <c r="P630" s="635"/>
      <c r="Q630" s="3241">
        <f t="shared" si="101"/>
        <v>1</v>
      </c>
      <c r="R630" s="3241">
        <f t="shared" ca="1" si="102"/>
        <v>5044</v>
      </c>
      <c r="S630" s="905">
        <f t="shared" ca="1" si="103"/>
        <v>18</v>
      </c>
    </row>
    <row r="631" spans="1:19">
      <c r="A631" s="3227" t="s">
        <v>4623</v>
      </c>
      <c r="B631" s="3228">
        <v>36.630000000000003</v>
      </c>
      <c r="C631" s="3241">
        <f t="shared" si="104"/>
        <v>1</v>
      </c>
      <c r="D631" s="3237" t="s">
        <v>4009</v>
      </c>
      <c r="E631" s="3241">
        <f t="shared" si="95"/>
        <v>1</v>
      </c>
      <c r="F631" s="635"/>
      <c r="G631" s="3241">
        <f t="shared" si="96"/>
        <v>1</v>
      </c>
      <c r="H631" s="635"/>
      <c r="I631" s="3241">
        <f t="shared" si="97"/>
        <v>1</v>
      </c>
      <c r="J631" s="635"/>
      <c r="K631" s="3241">
        <f t="shared" si="98"/>
        <v>1</v>
      </c>
      <c r="L631" s="635"/>
      <c r="M631" s="3241">
        <f t="shared" si="99"/>
        <v>1</v>
      </c>
      <c r="N631" s="635"/>
      <c r="O631" s="3241">
        <f t="shared" si="100"/>
        <v>1</v>
      </c>
      <c r="P631" s="635"/>
      <c r="Q631" s="3241">
        <f t="shared" si="101"/>
        <v>1</v>
      </c>
      <c r="R631" s="3241">
        <f t="shared" ca="1" si="102"/>
        <v>5044</v>
      </c>
      <c r="S631" s="905">
        <f t="shared" ca="1" si="103"/>
        <v>18</v>
      </c>
    </row>
    <row r="632" spans="1:19">
      <c r="A632" s="3227" t="s">
        <v>5790</v>
      </c>
      <c r="B632" s="3228">
        <v>36.630000000000003</v>
      </c>
      <c r="C632" s="3241">
        <f t="shared" si="104"/>
        <v>1</v>
      </c>
      <c r="D632" s="3237" t="s">
        <v>5171</v>
      </c>
      <c r="E632" s="3241">
        <f t="shared" si="95"/>
        <v>1</v>
      </c>
      <c r="F632" s="635"/>
      <c r="G632" s="3241">
        <f t="shared" si="96"/>
        <v>1</v>
      </c>
      <c r="H632" s="635"/>
      <c r="I632" s="3241">
        <f t="shared" si="97"/>
        <v>1</v>
      </c>
      <c r="J632" s="635"/>
      <c r="K632" s="3241">
        <f t="shared" si="98"/>
        <v>1</v>
      </c>
      <c r="L632" s="635"/>
      <c r="M632" s="3241">
        <f t="shared" si="99"/>
        <v>1</v>
      </c>
      <c r="N632" s="635"/>
      <c r="O632" s="3241">
        <f t="shared" si="100"/>
        <v>1</v>
      </c>
      <c r="P632" s="635"/>
      <c r="Q632" s="3241">
        <f t="shared" si="101"/>
        <v>1</v>
      </c>
      <c r="R632" s="3241">
        <f t="shared" ca="1" si="102"/>
        <v>5044</v>
      </c>
      <c r="S632" s="905">
        <f t="shared" ca="1" si="103"/>
        <v>18</v>
      </c>
    </row>
    <row r="633" spans="1:19">
      <c r="A633" s="3227" t="s">
        <v>4625</v>
      </c>
      <c r="B633" s="3228">
        <v>36.630000000000003</v>
      </c>
      <c r="C633" s="3241">
        <f t="shared" si="104"/>
        <v>1</v>
      </c>
      <c r="D633" s="3237" t="s">
        <v>4009</v>
      </c>
      <c r="E633" s="3241">
        <f t="shared" si="95"/>
        <v>1</v>
      </c>
      <c r="F633" s="635"/>
      <c r="G633" s="3241">
        <f t="shared" si="96"/>
        <v>1</v>
      </c>
      <c r="H633" s="635"/>
      <c r="I633" s="3241">
        <f t="shared" si="97"/>
        <v>1</v>
      </c>
      <c r="J633" s="635"/>
      <c r="K633" s="3241">
        <f t="shared" si="98"/>
        <v>1</v>
      </c>
      <c r="L633" s="635"/>
      <c r="M633" s="3241">
        <f t="shared" si="99"/>
        <v>1</v>
      </c>
      <c r="N633" s="635"/>
      <c r="O633" s="3241">
        <f t="shared" si="100"/>
        <v>1</v>
      </c>
      <c r="P633" s="635"/>
      <c r="Q633" s="3241">
        <f t="shared" si="101"/>
        <v>1</v>
      </c>
      <c r="R633" s="3241">
        <f t="shared" ca="1" si="102"/>
        <v>5044</v>
      </c>
      <c r="S633" s="905">
        <f t="shared" ca="1" si="103"/>
        <v>18</v>
      </c>
    </row>
    <row r="634" spans="1:19">
      <c r="A634" s="3227" t="s">
        <v>5792</v>
      </c>
      <c r="B634" s="3228">
        <v>36.630000000000003</v>
      </c>
      <c r="C634" s="3241">
        <f t="shared" si="104"/>
        <v>1</v>
      </c>
      <c r="D634" s="3237" t="s">
        <v>5171</v>
      </c>
      <c r="E634" s="3241">
        <f t="shared" si="95"/>
        <v>1</v>
      </c>
      <c r="F634" s="635"/>
      <c r="G634" s="3241">
        <f t="shared" si="96"/>
        <v>1</v>
      </c>
      <c r="H634" s="635"/>
      <c r="I634" s="3241">
        <f t="shared" si="97"/>
        <v>1</v>
      </c>
      <c r="J634" s="635"/>
      <c r="K634" s="3241">
        <f t="shared" si="98"/>
        <v>1</v>
      </c>
      <c r="L634" s="635"/>
      <c r="M634" s="3241">
        <f t="shared" si="99"/>
        <v>1</v>
      </c>
      <c r="N634" s="635"/>
      <c r="O634" s="3241">
        <f t="shared" si="100"/>
        <v>1</v>
      </c>
      <c r="P634" s="635"/>
      <c r="Q634" s="3241">
        <f t="shared" si="101"/>
        <v>1</v>
      </c>
      <c r="R634" s="3241">
        <f t="shared" ca="1" si="102"/>
        <v>5044</v>
      </c>
      <c r="S634" s="905">
        <f t="shared" ca="1" si="103"/>
        <v>18</v>
      </c>
    </row>
    <row r="635" spans="1:19">
      <c r="A635" s="3227" t="s">
        <v>4627</v>
      </c>
      <c r="B635" s="3228">
        <v>36.630000000000003</v>
      </c>
      <c r="C635" s="3241">
        <f t="shared" si="104"/>
        <v>1</v>
      </c>
      <c r="D635" s="3237" t="s">
        <v>4009</v>
      </c>
      <c r="E635" s="3241">
        <f t="shared" si="95"/>
        <v>1</v>
      </c>
      <c r="F635" s="635"/>
      <c r="G635" s="3241">
        <f t="shared" si="96"/>
        <v>1</v>
      </c>
      <c r="H635" s="635"/>
      <c r="I635" s="3241">
        <f t="shared" si="97"/>
        <v>1</v>
      </c>
      <c r="J635" s="635"/>
      <c r="K635" s="3241">
        <f t="shared" si="98"/>
        <v>1</v>
      </c>
      <c r="L635" s="635"/>
      <c r="M635" s="3241">
        <f t="shared" si="99"/>
        <v>1</v>
      </c>
      <c r="N635" s="635"/>
      <c r="O635" s="3241">
        <f t="shared" si="100"/>
        <v>1</v>
      </c>
      <c r="P635" s="635"/>
      <c r="Q635" s="3241">
        <f t="shared" si="101"/>
        <v>1</v>
      </c>
      <c r="R635" s="3241">
        <f t="shared" ca="1" si="102"/>
        <v>5044</v>
      </c>
      <c r="S635" s="905">
        <f t="shared" ca="1" si="103"/>
        <v>18</v>
      </c>
    </row>
    <row r="636" spans="1:19">
      <c r="A636" s="3227" t="s">
        <v>5794</v>
      </c>
      <c r="B636" s="3228">
        <v>36.630000000000003</v>
      </c>
      <c r="C636" s="3241">
        <f t="shared" si="104"/>
        <v>1</v>
      </c>
      <c r="D636" s="3237" t="s">
        <v>5171</v>
      </c>
      <c r="E636" s="3241">
        <f t="shared" si="95"/>
        <v>1</v>
      </c>
      <c r="F636" s="635"/>
      <c r="G636" s="3241">
        <f t="shared" si="96"/>
        <v>1</v>
      </c>
      <c r="H636" s="635"/>
      <c r="I636" s="3241">
        <f t="shared" si="97"/>
        <v>1</v>
      </c>
      <c r="J636" s="635"/>
      <c r="K636" s="3241">
        <f t="shared" si="98"/>
        <v>1</v>
      </c>
      <c r="L636" s="635"/>
      <c r="M636" s="3241">
        <f t="shared" si="99"/>
        <v>1</v>
      </c>
      <c r="N636" s="635"/>
      <c r="O636" s="3241">
        <f t="shared" si="100"/>
        <v>1</v>
      </c>
      <c r="P636" s="635"/>
      <c r="Q636" s="3241">
        <f t="shared" si="101"/>
        <v>1</v>
      </c>
      <c r="R636" s="3241">
        <f t="shared" ca="1" si="102"/>
        <v>5044</v>
      </c>
      <c r="S636" s="905">
        <f t="shared" ca="1" si="103"/>
        <v>18</v>
      </c>
    </row>
    <row r="637" spans="1:19">
      <c r="A637" s="3227" t="s">
        <v>4629</v>
      </c>
      <c r="B637" s="3228">
        <v>36.630000000000003</v>
      </c>
      <c r="C637" s="3241">
        <f t="shared" si="104"/>
        <v>1</v>
      </c>
      <c r="D637" s="3237" t="s">
        <v>4009</v>
      </c>
      <c r="E637" s="3241">
        <f t="shared" si="95"/>
        <v>1</v>
      </c>
      <c r="F637" s="635"/>
      <c r="G637" s="3241">
        <f t="shared" si="96"/>
        <v>1</v>
      </c>
      <c r="H637" s="635"/>
      <c r="I637" s="3241">
        <f t="shared" si="97"/>
        <v>1</v>
      </c>
      <c r="J637" s="635"/>
      <c r="K637" s="3241">
        <f t="shared" si="98"/>
        <v>1</v>
      </c>
      <c r="L637" s="635"/>
      <c r="M637" s="3241">
        <f t="shared" si="99"/>
        <v>1</v>
      </c>
      <c r="N637" s="635"/>
      <c r="O637" s="3241">
        <f t="shared" si="100"/>
        <v>1</v>
      </c>
      <c r="P637" s="635"/>
      <c r="Q637" s="3241">
        <f t="shared" si="101"/>
        <v>1</v>
      </c>
      <c r="R637" s="3241">
        <f t="shared" ca="1" si="102"/>
        <v>5044</v>
      </c>
      <c r="S637" s="905">
        <f t="shared" ca="1" si="103"/>
        <v>18</v>
      </c>
    </row>
    <row r="638" spans="1:19">
      <c r="A638" s="3227" t="s">
        <v>5796</v>
      </c>
      <c r="B638" s="3228">
        <v>36.630000000000003</v>
      </c>
      <c r="C638" s="3241">
        <f t="shared" si="104"/>
        <v>1</v>
      </c>
      <c r="D638" s="3237" t="s">
        <v>5171</v>
      </c>
      <c r="E638" s="3241">
        <f t="shared" si="95"/>
        <v>1</v>
      </c>
      <c r="F638" s="635"/>
      <c r="G638" s="3241">
        <f t="shared" si="96"/>
        <v>1</v>
      </c>
      <c r="H638" s="635"/>
      <c r="I638" s="3241">
        <f t="shared" si="97"/>
        <v>1</v>
      </c>
      <c r="J638" s="635"/>
      <c r="K638" s="3241">
        <f t="shared" si="98"/>
        <v>1</v>
      </c>
      <c r="L638" s="635"/>
      <c r="M638" s="3241">
        <f t="shared" si="99"/>
        <v>1</v>
      </c>
      <c r="N638" s="635"/>
      <c r="O638" s="3241">
        <f t="shared" si="100"/>
        <v>1</v>
      </c>
      <c r="P638" s="635"/>
      <c r="Q638" s="3241">
        <f t="shared" si="101"/>
        <v>1</v>
      </c>
      <c r="R638" s="3241">
        <f t="shared" ca="1" si="102"/>
        <v>5044</v>
      </c>
      <c r="S638" s="905">
        <f t="shared" ca="1" si="103"/>
        <v>18</v>
      </c>
    </row>
    <row r="639" spans="1:19">
      <c r="A639" s="3227" t="s">
        <v>4631</v>
      </c>
      <c r="B639" s="3228">
        <v>36.630000000000003</v>
      </c>
      <c r="C639" s="3241">
        <f t="shared" si="104"/>
        <v>1</v>
      </c>
      <c r="D639" s="3237" t="s">
        <v>4009</v>
      </c>
      <c r="E639" s="3241">
        <f t="shared" si="95"/>
        <v>1</v>
      </c>
      <c r="F639" s="635"/>
      <c r="G639" s="3241">
        <f t="shared" si="96"/>
        <v>1</v>
      </c>
      <c r="H639" s="635"/>
      <c r="I639" s="3241">
        <f t="shared" si="97"/>
        <v>1</v>
      </c>
      <c r="J639" s="635"/>
      <c r="K639" s="3241">
        <f t="shared" si="98"/>
        <v>1</v>
      </c>
      <c r="L639" s="635"/>
      <c r="M639" s="3241">
        <f t="shared" si="99"/>
        <v>1</v>
      </c>
      <c r="N639" s="635"/>
      <c r="O639" s="3241">
        <f t="shared" si="100"/>
        <v>1</v>
      </c>
      <c r="P639" s="635"/>
      <c r="Q639" s="3241">
        <f t="shared" si="101"/>
        <v>1</v>
      </c>
      <c r="R639" s="3241">
        <f t="shared" ca="1" si="102"/>
        <v>5044</v>
      </c>
      <c r="S639" s="905">
        <f t="shared" ca="1" si="103"/>
        <v>18</v>
      </c>
    </row>
    <row r="640" spans="1:19">
      <c r="A640" s="3227" t="s">
        <v>5798</v>
      </c>
      <c r="B640" s="3228">
        <v>36.630000000000003</v>
      </c>
      <c r="C640" s="3241">
        <f t="shared" si="104"/>
        <v>1</v>
      </c>
      <c r="D640" s="3237" t="s">
        <v>5171</v>
      </c>
      <c r="E640" s="3241">
        <f t="shared" si="95"/>
        <v>1</v>
      </c>
      <c r="F640" s="635"/>
      <c r="G640" s="3241">
        <f t="shared" si="96"/>
        <v>1</v>
      </c>
      <c r="H640" s="635"/>
      <c r="I640" s="3241">
        <f t="shared" si="97"/>
        <v>1</v>
      </c>
      <c r="J640" s="635"/>
      <c r="K640" s="3241">
        <f t="shared" si="98"/>
        <v>1</v>
      </c>
      <c r="L640" s="635"/>
      <c r="M640" s="3241">
        <f t="shared" si="99"/>
        <v>1</v>
      </c>
      <c r="N640" s="635"/>
      <c r="O640" s="3241">
        <f t="shared" si="100"/>
        <v>1</v>
      </c>
      <c r="P640" s="635"/>
      <c r="Q640" s="3241">
        <f t="shared" si="101"/>
        <v>1</v>
      </c>
      <c r="R640" s="3241">
        <f t="shared" ca="1" si="102"/>
        <v>5044</v>
      </c>
      <c r="S640" s="905">
        <f t="shared" ca="1" si="103"/>
        <v>18</v>
      </c>
    </row>
    <row r="641" spans="1:19">
      <c r="A641" s="3227" t="s">
        <v>4633</v>
      </c>
      <c r="B641" s="3228">
        <v>36.630000000000003</v>
      </c>
      <c r="C641" s="3241">
        <f t="shared" si="104"/>
        <v>1</v>
      </c>
      <c r="D641" s="3237" t="s">
        <v>4009</v>
      </c>
      <c r="E641" s="3241">
        <f t="shared" si="95"/>
        <v>1</v>
      </c>
      <c r="F641" s="635"/>
      <c r="G641" s="3241">
        <f t="shared" si="96"/>
        <v>1</v>
      </c>
      <c r="H641" s="635"/>
      <c r="I641" s="3241">
        <f t="shared" si="97"/>
        <v>1</v>
      </c>
      <c r="J641" s="635"/>
      <c r="K641" s="3241">
        <f t="shared" si="98"/>
        <v>1</v>
      </c>
      <c r="L641" s="635"/>
      <c r="M641" s="3241">
        <f t="shared" si="99"/>
        <v>1</v>
      </c>
      <c r="N641" s="635"/>
      <c r="O641" s="3241">
        <f t="shared" si="100"/>
        <v>1</v>
      </c>
      <c r="P641" s="635"/>
      <c r="Q641" s="3241">
        <f t="shared" si="101"/>
        <v>1</v>
      </c>
      <c r="R641" s="3241">
        <f t="shared" ca="1" si="102"/>
        <v>5044</v>
      </c>
      <c r="S641" s="905">
        <f t="shared" ca="1" si="103"/>
        <v>18</v>
      </c>
    </row>
    <row r="642" spans="1:19">
      <c r="A642" s="3227" t="s">
        <v>5800</v>
      </c>
      <c r="B642" s="3228">
        <v>36.630000000000003</v>
      </c>
      <c r="C642" s="3241">
        <f t="shared" si="104"/>
        <v>1</v>
      </c>
      <c r="D642" s="3237" t="s">
        <v>5171</v>
      </c>
      <c r="E642" s="3241">
        <f t="shared" si="95"/>
        <v>1</v>
      </c>
      <c r="F642" s="635"/>
      <c r="G642" s="3241">
        <f t="shared" si="96"/>
        <v>1</v>
      </c>
      <c r="H642" s="635"/>
      <c r="I642" s="3241">
        <f t="shared" si="97"/>
        <v>1</v>
      </c>
      <c r="J642" s="635"/>
      <c r="K642" s="3241">
        <f t="shared" si="98"/>
        <v>1</v>
      </c>
      <c r="L642" s="635"/>
      <c r="M642" s="3241">
        <f t="shared" si="99"/>
        <v>1</v>
      </c>
      <c r="N642" s="635"/>
      <c r="O642" s="3241">
        <f t="shared" si="100"/>
        <v>1</v>
      </c>
      <c r="P642" s="635"/>
      <c r="Q642" s="3241">
        <f t="shared" si="101"/>
        <v>1</v>
      </c>
      <c r="R642" s="3241">
        <f t="shared" ca="1" si="102"/>
        <v>5044</v>
      </c>
      <c r="S642" s="905">
        <f t="shared" ca="1" si="103"/>
        <v>18</v>
      </c>
    </row>
    <row r="643" spans="1:19">
      <c r="A643" s="3227" t="s">
        <v>4635</v>
      </c>
      <c r="B643" s="3228">
        <v>36.630000000000003</v>
      </c>
      <c r="C643" s="3241">
        <f t="shared" si="104"/>
        <v>1</v>
      </c>
      <c r="D643" s="3237" t="s">
        <v>4009</v>
      </c>
      <c r="E643" s="3241">
        <f t="shared" si="95"/>
        <v>1</v>
      </c>
      <c r="F643" s="635"/>
      <c r="G643" s="3241">
        <f t="shared" si="96"/>
        <v>1</v>
      </c>
      <c r="H643" s="635"/>
      <c r="I643" s="3241">
        <f t="shared" si="97"/>
        <v>1</v>
      </c>
      <c r="J643" s="635"/>
      <c r="K643" s="3241">
        <f t="shared" si="98"/>
        <v>1</v>
      </c>
      <c r="L643" s="635"/>
      <c r="M643" s="3241">
        <f t="shared" si="99"/>
        <v>1</v>
      </c>
      <c r="N643" s="635"/>
      <c r="O643" s="3241">
        <f t="shared" si="100"/>
        <v>1</v>
      </c>
      <c r="P643" s="635"/>
      <c r="Q643" s="3241">
        <f t="shared" si="101"/>
        <v>1</v>
      </c>
      <c r="R643" s="3241">
        <f t="shared" ca="1" si="102"/>
        <v>5044</v>
      </c>
      <c r="S643" s="905">
        <f t="shared" ca="1" si="103"/>
        <v>18</v>
      </c>
    </row>
    <row r="644" spans="1:19">
      <c r="A644" s="3227" t="s">
        <v>5802</v>
      </c>
      <c r="B644" s="3228">
        <v>35.909999999999997</v>
      </c>
      <c r="C644" s="3241">
        <f t="shared" si="104"/>
        <v>1</v>
      </c>
      <c r="D644" s="3237" t="s">
        <v>5171</v>
      </c>
      <c r="E644" s="3241">
        <f t="shared" si="95"/>
        <v>1</v>
      </c>
      <c r="F644" s="635"/>
      <c r="G644" s="3241">
        <f t="shared" si="96"/>
        <v>1</v>
      </c>
      <c r="H644" s="635"/>
      <c r="I644" s="3241">
        <f t="shared" si="97"/>
        <v>1</v>
      </c>
      <c r="J644" s="635"/>
      <c r="K644" s="3241">
        <f t="shared" si="98"/>
        <v>1</v>
      </c>
      <c r="L644" s="635"/>
      <c r="M644" s="3241">
        <f t="shared" si="99"/>
        <v>1</v>
      </c>
      <c r="N644" s="635"/>
      <c r="O644" s="3241">
        <f t="shared" si="100"/>
        <v>1</v>
      </c>
      <c r="P644" s="635"/>
      <c r="Q644" s="3241">
        <f t="shared" si="101"/>
        <v>1</v>
      </c>
      <c r="R644" s="3241">
        <f t="shared" ca="1" si="102"/>
        <v>5044</v>
      </c>
      <c r="S644" s="905">
        <f t="shared" ca="1" si="103"/>
        <v>18</v>
      </c>
    </row>
    <row r="645" spans="1:19">
      <c r="A645" s="3227" t="s">
        <v>4637</v>
      </c>
      <c r="B645" s="3228">
        <v>35.909999999999997</v>
      </c>
      <c r="C645" s="3241">
        <f t="shared" si="104"/>
        <v>1</v>
      </c>
      <c r="D645" s="3237" t="s">
        <v>4009</v>
      </c>
      <c r="E645" s="3241">
        <f t="shared" si="95"/>
        <v>1</v>
      </c>
      <c r="F645" s="635"/>
      <c r="G645" s="3241">
        <f t="shared" si="96"/>
        <v>1</v>
      </c>
      <c r="H645" s="635"/>
      <c r="I645" s="3241">
        <f t="shared" si="97"/>
        <v>1</v>
      </c>
      <c r="J645" s="635"/>
      <c r="K645" s="3241">
        <f t="shared" si="98"/>
        <v>1</v>
      </c>
      <c r="L645" s="635"/>
      <c r="M645" s="3241">
        <f t="shared" si="99"/>
        <v>1</v>
      </c>
      <c r="N645" s="635"/>
      <c r="O645" s="3241">
        <f t="shared" si="100"/>
        <v>1</v>
      </c>
      <c r="P645" s="635"/>
      <c r="Q645" s="3241">
        <f t="shared" si="101"/>
        <v>1</v>
      </c>
      <c r="R645" s="3241">
        <f t="shared" ca="1" si="102"/>
        <v>5044</v>
      </c>
      <c r="S645" s="905">
        <f t="shared" ca="1" si="103"/>
        <v>18</v>
      </c>
    </row>
    <row r="646" spans="1:19">
      <c r="A646" s="3227" t="s">
        <v>5804</v>
      </c>
      <c r="B646" s="3228">
        <v>35.909999999999997</v>
      </c>
      <c r="C646" s="3241">
        <f t="shared" si="104"/>
        <v>1</v>
      </c>
      <c r="D646" s="3237" t="s">
        <v>5171</v>
      </c>
      <c r="E646" s="3241">
        <f t="shared" si="95"/>
        <v>1</v>
      </c>
      <c r="F646" s="635"/>
      <c r="G646" s="3241">
        <f t="shared" si="96"/>
        <v>1</v>
      </c>
      <c r="H646" s="635"/>
      <c r="I646" s="3241">
        <f t="shared" si="97"/>
        <v>1</v>
      </c>
      <c r="J646" s="635"/>
      <c r="K646" s="3241">
        <f t="shared" si="98"/>
        <v>1</v>
      </c>
      <c r="L646" s="635"/>
      <c r="M646" s="3241">
        <f t="shared" si="99"/>
        <v>1</v>
      </c>
      <c r="N646" s="635"/>
      <c r="O646" s="3241">
        <f t="shared" si="100"/>
        <v>1</v>
      </c>
      <c r="P646" s="635"/>
      <c r="Q646" s="3241">
        <f t="shared" si="101"/>
        <v>1</v>
      </c>
      <c r="R646" s="3241">
        <f t="shared" ca="1" si="102"/>
        <v>5044</v>
      </c>
      <c r="S646" s="905">
        <f t="shared" ca="1" si="103"/>
        <v>18</v>
      </c>
    </row>
    <row r="647" spans="1:19">
      <c r="A647" s="3227" t="s">
        <v>4639</v>
      </c>
      <c r="B647" s="3228">
        <v>36.630000000000003</v>
      </c>
      <c r="C647" s="3241">
        <f t="shared" si="104"/>
        <v>1</v>
      </c>
      <c r="D647" s="3237" t="s">
        <v>4009</v>
      </c>
      <c r="E647" s="3241">
        <f t="shared" si="95"/>
        <v>1</v>
      </c>
      <c r="F647" s="635"/>
      <c r="G647" s="3241">
        <f t="shared" si="96"/>
        <v>1</v>
      </c>
      <c r="H647" s="635"/>
      <c r="I647" s="3241">
        <f t="shared" si="97"/>
        <v>1</v>
      </c>
      <c r="J647" s="635"/>
      <c r="K647" s="3241">
        <f t="shared" si="98"/>
        <v>1</v>
      </c>
      <c r="L647" s="635"/>
      <c r="M647" s="3241">
        <f t="shared" si="99"/>
        <v>1</v>
      </c>
      <c r="N647" s="635"/>
      <c r="O647" s="3241">
        <f t="shared" si="100"/>
        <v>1</v>
      </c>
      <c r="P647" s="635"/>
      <c r="Q647" s="3241">
        <f t="shared" si="101"/>
        <v>1</v>
      </c>
      <c r="R647" s="3241">
        <f t="shared" ca="1" si="102"/>
        <v>5044</v>
      </c>
      <c r="S647" s="905">
        <f t="shared" ca="1" si="103"/>
        <v>18</v>
      </c>
    </row>
    <row r="648" spans="1:19">
      <c r="A648" s="3227" t="s">
        <v>5806</v>
      </c>
      <c r="B648" s="3228">
        <v>36.630000000000003</v>
      </c>
      <c r="C648" s="3241">
        <f t="shared" si="104"/>
        <v>1</v>
      </c>
      <c r="D648" s="3237" t="s">
        <v>5171</v>
      </c>
      <c r="E648" s="3241">
        <f t="shared" si="95"/>
        <v>1</v>
      </c>
      <c r="F648" s="635"/>
      <c r="G648" s="3241">
        <f t="shared" si="96"/>
        <v>1</v>
      </c>
      <c r="H648" s="635"/>
      <c r="I648" s="3241">
        <f t="shared" si="97"/>
        <v>1</v>
      </c>
      <c r="J648" s="635"/>
      <c r="K648" s="3241">
        <f t="shared" si="98"/>
        <v>1</v>
      </c>
      <c r="L648" s="635"/>
      <c r="M648" s="3241">
        <f t="shared" si="99"/>
        <v>1</v>
      </c>
      <c r="N648" s="635"/>
      <c r="O648" s="3241">
        <f t="shared" si="100"/>
        <v>1</v>
      </c>
      <c r="P648" s="635"/>
      <c r="Q648" s="3241">
        <f t="shared" si="101"/>
        <v>1</v>
      </c>
      <c r="R648" s="3241">
        <f t="shared" ca="1" si="102"/>
        <v>5044</v>
      </c>
      <c r="S648" s="905">
        <f t="shared" ca="1" si="103"/>
        <v>18</v>
      </c>
    </row>
    <row r="649" spans="1:19">
      <c r="A649" s="3227" t="s">
        <v>4641</v>
      </c>
      <c r="B649" s="3228">
        <v>36.630000000000003</v>
      </c>
      <c r="C649" s="3241">
        <f t="shared" si="104"/>
        <v>1</v>
      </c>
      <c r="D649" s="3239" t="s">
        <v>4591</v>
      </c>
      <c r="E649" s="3241">
        <f t="shared" si="95"/>
        <v>1</v>
      </c>
      <c r="F649" s="635"/>
      <c r="G649" s="3241">
        <f t="shared" si="96"/>
        <v>1</v>
      </c>
      <c r="H649" s="635"/>
      <c r="I649" s="3241">
        <f t="shared" si="97"/>
        <v>1</v>
      </c>
      <c r="J649" s="635"/>
      <c r="K649" s="3241">
        <f t="shared" si="98"/>
        <v>1</v>
      </c>
      <c r="L649" s="635"/>
      <c r="M649" s="3241">
        <f t="shared" si="99"/>
        <v>1</v>
      </c>
      <c r="N649" s="635"/>
      <c r="O649" s="3241">
        <f t="shared" si="100"/>
        <v>1</v>
      </c>
      <c r="P649" s="635"/>
      <c r="Q649" s="3241">
        <f t="shared" si="101"/>
        <v>1</v>
      </c>
      <c r="R649" s="3241">
        <f t="shared" ca="1" si="102"/>
        <v>5044</v>
      </c>
      <c r="S649" s="905">
        <f t="shared" ca="1" si="103"/>
        <v>18</v>
      </c>
    </row>
    <row r="650" spans="1:19">
      <c r="A650" s="3227" t="s">
        <v>5808</v>
      </c>
      <c r="B650" s="3228">
        <v>36.630000000000003</v>
      </c>
      <c r="C650" s="3241">
        <f t="shared" si="104"/>
        <v>1</v>
      </c>
      <c r="D650" s="3237" t="s">
        <v>5171</v>
      </c>
      <c r="E650" s="3241">
        <f t="shared" si="95"/>
        <v>1</v>
      </c>
      <c r="F650" s="635"/>
      <c r="G650" s="3241">
        <f t="shared" si="96"/>
        <v>1</v>
      </c>
      <c r="H650" s="635"/>
      <c r="I650" s="3241">
        <f t="shared" si="97"/>
        <v>1</v>
      </c>
      <c r="J650" s="635"/>
      <c r="K650" s="3241">
        <f t="shared" si="98"/>
        <v>1</v>
      </c>
      <c r="L650" s="635"/>
      <c r="M650" s="3241">
        <f t="shared" si="99"/>
        <v>1</v>
      </c>
      <c r="N650" s="635"/>
      <c r="O650" s="3241">
        <f t="shared" si="100"/>
        <v>1</v>
      </c>
      <c r="P650" s="635"/>
      <c r="Q650" s="3241">
        <f t="shared" si="101"/>
        <v>1</v>
      </c>
      <c r="R650" s="3241">
        <f t="shared" ca="1" si="102"/>
        <v>5044</v>
      </c>
      <c r="S650" s="905">
        <f t="shared" ca="1" si="103"/>
        <v>18</v>
      </c>
    </row>
    <row r="651" spans="1:19">
      <c r="A651" s="3227" t="s">
        <v>4643</v>
      </c>
      <c r="B651" s="3228">
        <v>36.630000000000003</v>
      </c>
      <c r="C651" s="3241">
        <f t="shared" si="104"/>
        <v>1</v>
      </c>
      <c r="D651" s="3237" t="s">
        <v>4009</v>
      </c>
      <c r="E651" s="3241">
        <f t="shared" si="95"/>
        <v>1</v>
      </c>
      <c r="F651" s="635"/>
      <c r="G651" s="3241">
        <f t="shared" si="96"/>
        <v>1</v>
      </c>
      <c r="H651" s="635"/>
      <c r="I651" s="3241">
        <f t="shared" si="97"/>
        <v>1</v>
      </c>
      <c r="J651" s="635"/>
      <c r="K651" s="3241">
        <f t="shared" si="98"/>
        <v>1</v>
      </c>
      <c r="L651" s="635"/>
      <c r="M651" s="3241">
        <f t="shared" si="99"/>
        <v>1</v>
      </c>
      <c r="N651" s="635"/>
      <c r="O651" s="3241">
        <f t="shared" si="100"/>
        <v>1</v>
      </c>
      <c r="P651" s="635"/>
      <c r="Q651" s="3241">
        <f t="shared" si="101"/>
        <v>1</v>
      </c>
      <c r="R651" s="3241">
        <f t="shared" ca="1" si="102"/>
        <v>5044</v>
      </c>
      <c r="S651" s="905">
        <f t="shared" ca="1" si="103"/>
        <v>18</v>
      </c>
    </row>
    <row r="652" spans="1:19">
      <c r="A652" s="3227" t="s">
        <v>5810</v>
      </c>
      <c r="B652" s="3228">
        <v>36.630000000000003</v>
      </c>
      <c r="C652" s="3241">
        <f t="shared" si="104"/>
        <v>1</v>
      </c>
      <c r="D652" s="3237" t="s">
        <v>5171</v>
      </c>
      <c r="E652" s="3241">
        <f t="shared" si="95"/>
        <v>1</v>
      </c>
      <c r="F652" s="635"/>
      <c r="G652" s="3241">
        <f t="shared" si="96"/>
        <v>1</v>
      </c>
      <c r="H652" s="635"/>
      <c r="I652" s="3241">
        <f t="shared" si="97"/>
        <v>1</v>
      </c>
      <c r="J652" s="635"/>
      <c r="K652" s="3241">
        <f t="shared" si="98"/>
        <v>1</v>
      </c>
      <c r="L652" s="635"/>
      <c r="M652" s="3241">
        <f t="shared" si="99"/>
        <v>1</v>
      </c>
      <c r="N652" s="635"/>
      <c r="O652" s="3241">
        <f t="shared" si="100"/>
        <v>1</v>
      </c>
      <c r="P652" s="635"/>
      <c r="Q652" s="3241">
        <f t="shared" si="101"/>
        <v>1</v>
      </c>
      <c r="R652" s="3241">
        <f t="shared" ca="1" si="102"/>
        <v>5044</v>
      </c>
      <c r="S652" s="905">
        <f t="shared" ca="1" si="103"/>
        <v>18</v>
      </c>
    </row>
    <row r="653" spans="1:19">
      <c r="A653" s="3227" t="s">
        <v>4645</v>
      </c>
      <c r="B653" s="3228">
        <v>36.630000000000003</v>
      </c>
      <c r="C653" s="3241">
        <f t="shared" si="104"/>
        <v>1</v>
      </c>
      <c r="D653" s="3237" t="s">
        <v>4009</v>
      </c>
      <c r="E653" s="3241">
        <f t="shared" ref="E653:E716" si="105">(SUMIF($5:$5,D653,$6:$6)-SUMIF($5:$5,$D$24,$6:$6)+100)/100</f>
        <v>1</v>
      </c>
      <c r="F653" s="635"/>
      <c r="G653" s="3241">
        <f t="shared" ref="G653:G716" si="106">(SUMIF($7:$7,F653,$8:$8)-SUMIF($7:$7,$F$24,$8:$8)+100)/100</f>
        <v>1</v>
      </c>
      <c r="H653" s="635"/>
      <c r="I653" s="3241">
        <f t="shared" ref="I653:I716" si="107">(SUMIF($9:$9,H653,$10:$10)-SUMIF($9:$9,$H$24,$10:$10)+100)/100</f>
        <v>1</v>
      </c>
      <c r="J653" s="635"/>
      <c r="K653" s="3241">
        <f t="shared" ref="K653:K716" si="108">(SUMIF($11:$11,J653,$12:$12)-SUMIF($11:$11,$J$24,$12:$12)+100)/100</f>
        <v>1</v>
      </c>
      <c r="L653" s="635"/>
      <c r="M653" s="3241">
        <f t="shared" ref="M653:M716" si="109">(SUMIF($13:$13,L653,$14:$14)-SUMIF($13:$13,$L$24,$14:$14)+100)/100</f>
        <v>1</v>
      </c>
      <c r="N653" s="635"/>
      <c r="O653" s="3241">
        <f t="shared" ref="O653:O716" si="110">(SUMIF($15:$15,N653,$16:$16)-SUMIF($15:$15,$N$24,$16:$16)+100)/100</f>
        <v>1</v>
      </c>
      <c r="P653" s="635"/>
      <c r="Q653" s="3241">
        <f t="shared" ref="Q653:Q716" si="111">(SUMIF($17:$17,P653,$18:$18)-SUMIF($17:$17,$P$24,$18:$18)+100)/100</f>
        <v>1</v>
      </c>
      <c r="R653" s="3241">
        <f t="shared" ref="R653:R716" ca="1" si="112">IF(B653="",0,ROUND($R$24*C653*E653*G653*I653*K653*M653*O653*Q653,0))</f>
        <v>5044</v>
      </c>
      <c r="S653" s="905">
        <f t="shared" ref="S653:S716" ca="1" si="113">ROUND(R653*B653/10000,0)</f>
        <v>18</v>
      </c>
    </row>
    <row r="654" spans="1:19">
      <c r="A654" s="3227" t="s">
        <v>5812</v>
      </c>
      <c r="B654" s="3228">
        <v>36.630000000000003</v>
      </c>
      <c r="C654" s="3241">
        <f t="shared" si="104"/>
        <v>1</v>
      </c>
      <c r="D654" s="3237" t="s">
        <v>5171</v>
      </c>
      <c r="E654" s="3241">
        <f t="shared" si="105"/>
        <v>1</v>
      </c>
      <c r="F654" s="635"/>
      <c r="G654" s="3241">
        <f t="shared" si="106"/>
        <v>1</v>
      </c>
      <c r="H654" s="635"/>
      <c r="I654" s="3241">
        <f t="shared" si="107"/>
        <v>1</v>
      </c>
      <c r="J654" s="635"/>
      <c r="K654" s="3241">
        <f t="shared" si="108"/>
        <v>1</v>
      </c>
      <c r="L654" s="635"/>
      <c r="M654" s="3241">
        <f t="shared" si="109"/>
        <v>1</v>
      </c>
      <c r="N654" s="635"/>
      <c r="O654" s="3241">
        <f t="shared" si="110"/>
        <v>1</v>
      </c>
      <c r="P654" s="635"/>
      <c r="Q654" s="3241">
        <f t="shared" si="111"/>
        <v>1</v>
      </c>
      <c r="R654" s="3241">
        <f t="shared" ca="1" si="112"/>
        <v>5044</v>
      </c>
      <c r="S654" s="905">
        <f t="shared" ca="1" si="113"/>
        <v>18</v>
      </c>
    </row>
    <row r="655" spans="1:19">
      <c r="A655" s="3227" t="s">
        <v>4647</v>
      </c>
      <c r="B655" s="3228">
        <v>36.630000000000003</v>
      </c>
      <c r="C655" s="3241">
        <f t="shared" si="104"/>
        <v>1</v>
      </c>
      <c r="D655" s="3237" t="s">
        <v>4009</v>
      </c>
      <c r="E655" s="3241">
        <f t="shared" si="105"/>
        <v>1</v>
      </c>
      <c r="F655" s="635"/>
      <c r="G655" s="3241">
        <f t="shared" si="106"/>
        <v>1</v>
      </c>
      <c r="H655" s="635"/>
      <c r="I655" s="3241">
        <f t="shared" si="107"/>
        <v>1</v>
      </c>
      <c r="J655" s="635"/>
      <c r="K655" s="3241">
        <f t="shared" si="108"/>
        <v>1</v>
      </c>
      <c r="L655" s="635"/>
      <c r="M655" s="3241">
        <f t="shared" si="109"/>
        <v>1</v>
      </c>
      <c r="N655" s="635"/>
      <c r="O655" s="3241">
        <f t="shared" si="110"/>
        <v>1</v>
      </c>
      <c r="P655" s="635"/>
      <c r="Q655" s="3241">
        <f t="shared" si="111"/>
        <v>1</v>
      </c>
      <c r="R655" s="3241">
        <f t="shared" ca="1" si="112"/>
        <v>5044</v>
      </c>
      <c r="S655" s="905">
        <f t="shared" ca="1" si="113"/>
        <v>18</v>
      </c>
    </row>
    <row r="656" spans="1:19">
      <c r="A656" s="3227" t="s">
        <v>5814</v>
      </c>
      <c r="B656" s="3228">
        <v>36.630000000000003</v>
      </c>
      <c r="C656" s="3241">
        <f t="shared" si="104"/>
        <v>1</v>
      </c>
      <c r="D656" s="3237" t="s">
        <v>5171</v>
      </c>
      <c r="E656" s="3241">
        <f t="shared" si="105"/>
        <v>1</v>
      </c>
      <c r="F656" s="635"/>
      <c r="G656" s="3241">
        <f t="shared" si="106"/>
        <v>1</v>
      </c>
      <c r="H656" s="635"/>
      <c r="I656" s="3241">
        <f t="shared" si="107"/>
        <v>1</v>
      </c>
      <c r="J656" s="635"/>
      <c r="K656" s="3241">
        <f t="shared" si="108"/>
        <v>1</v>
      </c>
      <c r="L656" s="635"/>
      <c r="M656" s="3241">
        <f t="shared" si="109"/>
        <v>1</v>
      </c>
      <c r="N656" s="635"/>
      <c r="O656" s="3241">
        <f t="shared" si="110"/>
        <v>1</v>
      </c>
      <c r="P656" s="635"/>
      <c r="Q656" s="3241">
        <f t="shared" si="111"/>
        <v>1</v>
      </c>
      <c r="R656" s="3241">
        <f t="shared" ca="1" si="112"/>
        <v>5044</v>
      </c>
      <c r="S656" s="905">
        <f t="shared" ca="1" si="113"/>
        <v>18</v>
      </c>
    </row>
    <row r="657" spans="1:19">
      <c r="A657" s="3227" t="s">
        <v>4649</v>
      </c>
      <c r="B657" s="3228">
        <v>36.630000000000003</v>
      </c>
      <c r="C657" s="3241">
        <f t="shared" si="104"/>
        <v>1</v>
      </c>
      <c r="D657" s="3237" t="s">
        <v>4009</v>
      </c>
      <c r="E657" s="3241">
        <f t="shared" si="105"/>
        <v>1</v>
      </c>
      <c r="F657" s="635"/>
      <c r="G657" s="3241">
        <f t="shared" si="106"/>
        <v>1</v>
      </c>
      <c r="H657" s="635"/>
      <c r="I657" s="3241">
        <f t="shared" si="107"/>
        <v>1</v>
      </c>
      <c r="J657" s="635"/>
      <c r="K657" s="3241">
        <f t="shared" si="108"/>
        <v>1</v>
      </c>
      <c r="L657" s="635"/>
      <c r="M657" s="3241">
        <f t="shared" si="109"/>
        <v>1</v>
      </c>
      <c r="N657" s="635"/>
      <c r="O657" s="3241">
        <f t="shared" si="110"/>
        <v>1</v>
      </c>
      <c r="P657" s="635"/>
      <c r="Q657" s="3241">
        <f t="shared" si="111"/>
        <v>1</v>
      </c>
      <c r="R657" s="3241">
        <f t="shared" ca="1" si="112"/>
        <v>5044</v>
      </c>
      <c r="S657" s="905">
        <f t="shared" ca="1" si="113"/>
        <v>18</v>
      </c>
    </row>
    <row r="658" spans="1:19">
      <c r="A658" s="3227" t="s">
        <v>5816</v>
      </c>
      <c r="B658" s="3228">
        <v>36.630000000000003</v>
      </c>
      <c r="C658" s="3241">
        <f t="shared" si="104"/>
        <v>1</v>
      </c>
      <c r="D658" s="3237" t="s">
        <v>5171</v>
      </c>
      <c r="E658" s="3241">
        <f t="shared" si="105"/>
        <v>1</v>
      </c>
      <c r="F658" s="635"/>
      <c r="G658" s="3241">
        <f t="shared" si="106"/>
        <v>1</v>
      </c>
      <c r="H658" s="635"/>
      <c r="I658" s="3241">
        <f t="shared" si="107"/>
        <v>1</v>
      </c>
      <c r="J658" s="635"/>
      <c r="K658" s="3241">
        <f t="shared" si="108"/>
        <v>1</v>
      </c>
      <c r="L658" s="635"/>
      <c r="M658" s="3241">
        <f t="shared" si="109"/>
        <v>1</v>
      </c>
      <c r="N658" s="635"/>
      <c r="O658" s="3241">
        <f t="shared" si="110"/>
        <v>1</v>
      </c>
      <c r="P658" s="635"/>
      <c r="Q658" s="3241">
        <f t="shared" si="111"/>
        <v>1</v>
      </c>
      <c r="R658" s="3241">
        <f t="shared" ca="1" si="112"/>
        <v>5044</v>
      </c>
      <c r="S658" s="905">
        <f t="shared" ca="1" si="113"/>
        <v>18</v>
      </c>
    </row>
    <row r="659" spans="1:19">
      <c r="A659" s="3227" t="s">
        <v>4651</v>
      </c>
      <c r="B659" s="3228">
        <v>36.630000000000003</v>
      </c>
      <c r="C659" s="3241">
        <f t="shared" si="104"/>
        <v>1</v>
      </c>
      <c r="D659" s="3237" t="s">
        <v>4009</v>
      </c>
      <c r="E659" s="3241">
        <f t="shared" si="105"/>
        <v>1</v>
      </c>
      <c r="F659" s="635"/>
      <c r="G659" s="3241">
        <f t="shared" si="106"/>
        <v>1</v>
      </c>
      <c r="H659" s="635"/>
      <c r="I659" s="3241">
        <f t="shared" si="107"/>
        <v>1</v>
      </c>
      <c r="J659" s="635"/>
      <c r="K659" s="3241">
        <f t="shared" si="108"/>
        <v>1</v>
      </c>
      <c r="L659" s="635"/>
      <c r="M659" s="3241">
        <f t="shared" si="109"/>
        <v>1</v>
      </c>
      <c r="N659" s="635"/>
      <c r="O659" s="3241">
        <f t="shared" si="110"/>
        <v>1</v>
      </c>
      <c r="P659" s="635"/>
      <c r="Q659" s="3241">
        <f t="shared" si="111"/>
        <v>1</v>
      </c>
      <c r="R659" s="3241">
        <f t="shared" ca="1" si="112"/>
        <v>5044</v>
      </c>
      <c r="S659" s="905">
        <f t="shared" ca="1" si="113"/>
        <v>18</v>
      </c>
    </row>
    <row r="660" spans="1:19">
      <c r="A660" s="3227" t="s">
        <v>5818</v>
      </c>
      <c r="B660" s="3228">
        <v>36.630000000000003</v>
      </c>
      <c r="C660" s="3241">
        <f t="shared" si="104"/>
        <v>1</v>
      </c>
      <c r="D660" s="3237" t="s">
        <v>5171</v>
      </c>
      <c r="E660" s="3241">
        <f t="shared" si="105"/>
        <v>1</v>
      </c>
      <c r="F660" s="635"/>
      <c r="G660" s="3241">
        <f t="shared" si="106"/>
        <v>1</v>
      </c>
      <c r="H660" s="635"/>
      <c r="I660" s="3241">
        <f t="shared" si="107"/>
        <v>1</v>
      </c>
      <c r="J660" s="635"/>
      <c r="K660" s="3241">
        <f t="shared" si="108"/>
        <v>1</v>
      </c>
      <c r="L660" s="635"/>
      <c r="M660" s="3241">
        <f t="shared" si="109"/>
        <v>1</v>
      </c>
      <c r="N660" s="635"/>
      <c r="O660" s="3241">
        <f t="shared" si="110"/>
        <v>1</v>
      </c>
      <c r="P660" s="635"/>
      <c r="Q660" s="3241">
        <f t="shared" si="111"/>
        <v>1</v>
      </c>
      <c r="R660" s="3241">
        <f t="shared" ca="1" si="112"/>
        <v>5044</v>
      </c>
      <c r="S660" s="905">
        <f t="shared" ca="1" si="113"/>
        <v>18</v>
      </c>
    </row>
    <row r="661" spans="1:19">
      <c r="A661" s="3227" t="s">
        <v>4653</v>
      </c>
      <c r="B661" s="3228">
        <v>36.630000000000003</v>
      </c>
      <c r="C661" s="3241">
        <f t="shared" si="104"/>
        <v>1</v>
      </c>
      <c r="D661" s="3237" t="s">
        <v>4009</v>
      </c>
      <c r="E661" s="3241">
        <f t="shared" si="105"/>
        <v>1</v>
      </c>
      <c r="F661" s="635"/>
      <c r="G661" s="3241">
        <f t="shared" si="106"/>
        <v>1</v>
      </c>
      <c r="H661" s="635"/>
      <c r="I661" s="3241">
        <f t="shared" si="107"/>
        <v>1</v>
      </c>
      <c r="J661" s="635"/>
      <c r="K661" s="3241">
        <f t="shared" si="108"/>
        <v>1</v>
      </c>
      <c r="L661" s="635"/>
      <c r="M661" s="3241">
        <f t="shared" si="109"/>
        <v>1</v>
      </c>
      <c r="N661" s="635"/>
      <c r="O661" s="3241">
        <f t="shared" si="110"/>
        <v>1</v>
      </c>
      <c r="P661" s="635"/>
      <c r="Q661" s="3241">
        <f t="shared" si="111"/>
        <v>1</v>
      </c>
      <c r="R661" s="3241">
        <f t="shared" ca="1" si="112"/>
        <v>5044</v>
      </c>
      <c r="S661" s="905">
        <f t="shared" ca="1" si="113"/>
        <v>18</v>
      </c>
    </row>
    <row r="662" spans="1:19">
      <c r="A662" s="3227" t="s">
        <v>5820</v>
      </c>
      <c r="B662" s="3228">
        <v>36.630000000000003</v>
      </c>
      <c r="C662" s="3241">
        <f t="shared" si="104"/>
        <v>1</v>
      </c>
      <c r="D662" s="3237" t="s">
        <v>5171</v>
      </c>
      <c r="E662" s="3241">
        <f t="shared" si="105"/>
        <v>1</v>
      </c>
      <c r="F662" s="635"/>
      <c r="G662" s="3241">
        <f t="shared" si="106"/>
        <v>1</v>
      </c>
      <c r="H662" s="635"/>
      <c r="I662" s="3241">
        <f t="shared" si="107"/>
        <v>1</v>
      </c>
      <c r="J662" s="635"/>
      <c r="K662" s="3241">
        <f t="shared" si="108"/>
        <v>1</v>
      </c>
      <c r="L662" s="635"/>
      <c r="M662" s="3241">
        <f t="shared" si="109"/>
        <v>1</v>
      </c>
      <c r="N662" s="635"/>
      <c r="O662" s="3241">
        <f t="shared" si="110"/>
        <v>1</v>
      </c>
      <c r="P662" s="635"/>
      <c r="Q662" s="3241">
        <f t="shared" si="111"/>
        <v>1</v>
      </c>
      <c r="R662" s="3241">
        <f t="shared" ca="1" si="112"/>
        <v>5044</v>
      </c>
      <c r="S662" s="905">
        <f t="shared" ca="1" si="113"/>
        <v>18</v>
      </c>
    </row>
    <row r="663" spans="1:19">
      <c r="A663" s="3227" t="s">
        <v>4655</v>
      </c>
      <c r="B663" s="3228">
        <v>36.630000000000003</v>
      </c>
      <c r="C663" s="3241">
        <f t="shared" si="104"/>
        <v>1</v>
      </c>
      <c r="D663" s="3237" t="s">
        <v>4009</v>
      </c>
      <c r="E663" s="3241">
        <f t="shared" si="105"/>
        <v>1</v>
      </c>
      <c r="F663" s="635"/>
      <c r="G663" s="3241">
        <f t="shared" si="106"/>
        <v>1</v>
      </c>
      <c r="H663" s="635"/>
      <c r="I663" s="3241">
        <f t="shared" si="107"/>
        <v>1</v>
      </c>
      <c r="J663" s="635"/>
      <c r="K663" s="3241">
        <f t="shared" si="108"/>
        <v>1</v>
      </c>
      <c r="L663" s="635"/>
      <c r="M663" s="3241">
        <f t="shared" si="109"/>
        <v>1</v>
      </c>
      <c r="N663" s="635"/>
      <c r="O663" s="3241">
        <f t="shared" si="110"/>
        <v>1</v>
      </c>
      <c r="P663" s="635"/>
      <c r="Q663" s="3241">
        <f t="shared" si="111"/>
        <v>1</v>
      </c>
      <c r="R663" s="3241">
        <f t="shared" ca="1" si="112"/>
        <v>5044</v>
      </c>
      <c r="S663" s="905">
        <f t="shared" ca="1" si="113"/>
        <v>18</v>
      </c>
    </row>
    <row r="664" spans="1:19">
      <c r="A664" s="3227" t="s">
        <v>5822</v>
      </c>
      <c r="B664" s="3228">
        <v>36.630000000000003</v>
      </c>
      <c r="C664" s="3241">
        <f t="shared" si="104"/>
        <v>1</v>
      </c>
      <c r="D664" s="3237" t="s">
        <v>5171</v>
      </c>
      <c r="E664" s="3241">
        <f t="shared" si="105"/>
        <v>1</v>
      </c>
      <c r="F664" s="635"/>
      <c r="G664" s="3241">
        <f t="shared" si="106"/>
        <v>1</v>
      </c>
      <c r="H664" s="635"/>
      <c r="I664" s="3241">
        <f t="shared" si="107"/>
        <v>1</v>
      </c>
      <c r="J664" s="635"/>
      <c r="K664" s="3241">
        <f t="shared" si="108"/>
        <v>1</v>
      </c>
      <c r="L664" s="635"/>
      <c r="M664" s="3241">
        <f t="shared" si="109"/>
        <v>1</v>
      </c>
      <c r="N664" s="635"/>
      <c r="O664" s="3241">
        <f t="shared" si="110"/>
        <v>1</v>
      </c>
      <c r="P664" s="635"/>
      <c r="Q664" s="3241">
        <f t="shared" si="111"/>
        <v>1</v>
      </c>
      <c r="R664" s="3241">
        <f t="shared" ca="1" si="112"/>
        <v>5044</v>
      </c>
      <c r="S664" s="905">
        <f t="shared" ca="1" si="113"/>
        <v>18</v>
      </c>
    </row>
    <row r="665" spans="1:19">
      <c r="A665" s="3227" t="s">
        <v>4657</v>
      </c>
      <c r="B665" s="3228">
        <v>36.630000000000003</v>
      </c>
      <c r="C665" s="3241">
        <f t="shared" si="104"/>
        <v>1</v>
      </c>
      <c r="D665" s="3237" t="s">
        <v>4009</v>
      </c>
      <c r="E665" s="3241">
        <f t="shared" si="105"/>
        <v>1</v>
      </c>
      <c r="F665" s="635"/>
      <c r="G665" s="3241">
        <f t="shared" si="106"/>
        <v>1</v>
      </c>
      <c r="H665" s="635"/>
      <c r="I665" s="3241">
        <f t="shared" si="107"/>
        <v>1</v>
      </c>
      <c r="J665" s="635"/>
      <c r="K665" s="3241">
        <f t="shared" si="108"/>
        <v>1</v>
      </c>
      <c r="L665" s="635"/>
      <c r="M665" s="3241">
        <f t="shared" si="109"/>
        <v>1</v>
      </c>
      <c r="N665" s="635"/>
      <c r="O665" s="3241">
        <f t="shared" si="110"/>
        <v>1</v>
      </c>
      <c r="P665" s="635"/>
      <c r="Q665" s="3241">
        <f t="shared" si="111"/>
        <v>1</v>
      </c>
      <c r="R665" s="3241">
        <f t="shared" ca="1" si="112"/>
        <v>5044</v>
      </c>
      <c r="S665" s="905">
        <f t="shared" ca="1" si="113"/>
        <v>18</v>
      </c>
    </row>
    <row r="666" spans="1:19">
      <c r="A666" s="3227" t="s">
        <v>5824</v>
      </c>
      <c r="B666" s="3228">
        <v>36.630000000000003</v>
      </c>
      <c r="C666" s="3241">
        <f t="shared" ref="C666:C729" si="114">IF(B666="",1,(LOOKUP(B666,$3:$3,$4:$4)-LOOKUP($B$24,$3:$3,$4:$4)+100)/100)</f>
        <v>1</v>
      </c>
      <c r="D666" s="3237" t="s">
        <v>5171</v>
      </c>
      <c r="E666" s="3241">
        <f t="shared" si="105"/>
        <v>1</v>
      </c>
      <c r="F666" s="635"/>
      <c r="G666" s="3241">
        <f t="shared" si="106"/>
        <v>1</v>
      </c>
      <c r="H666" s="635"/>
      <c r="I666" s="3241">
        <f t="shared" si="107"/>
        <v>1</v>
      </c>
      <c r="J666" s="635"/>
      <c r="K666" s="3241">
        <f t="shared" si="108"/>
        <v>1</v>
      </c>
      <c r="L666" s="635"/>
      <c r="M666" s="3241">
        <f t="shared" si="109"/>
        <v>1</v>
      </c>
      <c r="N666" s="635"/>
      <c r="O666" s="3241">
        <f t="shared" si="110"/>
        <v>1</v>
      </c>
      <c r="P666" s="635"/>
      <c r="Q666" s="3241">
        <f t="shared" si="111"/>
        <v>1</v>
      </c>
      <c r="R666" s="3241">
        <f t="shared" ca="1" si="112"/>
        <v>5044</v>
      </c>
      <c r="S666" s="905">
        <f t="shared" ca="1" si="113"/>
        <v>18</v>
      </c>
    </row>
    <row r="667" spans="1:19">
      <c r="A667" s="3227" t="s">
        <v>4659</v>
      </c>
      <c r="B667" s="3228">
        <v>36.630000000000003</v>
      </c>
      <c r="C667" s="3241">
        <f t="shared" si="114"/>
        <v>1</v>
      </c>
      <c r="D667" s="3237" t="s">
        <v>4009</v>
      </c>
      <c r="E667" s="3241">
        <f t="shared" si="105"/>
        <v>1</v>
      </c>
      <c r="F667" s="635"/>
      <c r="G667" s="3241">
        <f t="shared" si="106"/>
        <v>1</v>
      </c>
      <c r="H667" s="635"/>
      <c r="I667" s="3241">
        <f t="shared" si="107"/>
        <v>1</v>
      </c>
      <c r="J667" s="635"/>
      <c r="K667" s="3241">
        <f t="shared" si="108"/>
        <v>1</v>
      </c>
      <c r="L667" s="635"/>
      <c r="M667" s="3241">
        <f t="shared" si="109"/>
        <v>1</v>
      </c>
      <c r="N667" s="635"/>
      <c r="O667" s="3241">
        <f t="shared" si="110"/>
        <v>1</v>
      </c>
      <c r="P667" s="635"/>
      <c r="Q667" s="3241">
        <f t="shared" si="111"/>
        <v>1</v>
      </c>
      <c r="R667" s="3241">
        <f t="shared" ca="1" si="112"/>
        <v>5044</v>
      </c>
      <c r="S667" s="905">
        <f t="shared" ca="1" si="113"/>
        <v>18</v>
      </c>
    </row>
    <row r="668" spans="1:19">
      <c r="A668" s="3227" t="s">
        <v>5826</v>
      </c>
      <c r="B668" s="3228">
        <v>36.630000000000003</v>
      </c>
      <c r="C668" s="3241">
        <f t="shared" si="114"/>
        <v>1</v>
      </c>
      <c r="D668" s="3237" t="s">
        <v>5171</v>
      </c>
      <c r="E668" s="3241">
        <f t="shared" si="105"/>
        <v>1</v>
      </c>
      <c r="F668" s="635"/>
      <c r="G668" s="3241">
        <f t="shared" si="106"/>
        <v>1</v>
      </c>
      <c r="H668" s="635"/>
      <c r="I668" s="3241">
        <f t="shared" si="107"/>
        <v>1</v>
      </c>
      <c r="J668" s="635"/>
      <c r="K668" s="3241">
        <f t="shared" si="108"/>
        <v>1</v>
      </c>
      <c r="L668" s="635"/>
      <c r="M668" s="3241">
        <f t="shared" si="109"/>
        <v>1</v>
      </c>
      <c r="N668" s="635"/>
      <c r="O668" s="3241">
        <f t="shared" si="110"/>
        <v>1</v>
      </c>
      <c r="P668" s="635"/>
      <c r="Q668" s="3241">
        <f t="shared" si="111"/>
        <v>1</v>
      </c>
      <c r="R668" s="3241">
        <f t="shared" ca="1" si="112"/>
        <v>5044</v>
      </c>
      <c r="S668" s="905">
        <f t="shared" ca="1" si="113"/>
        <v>18</v>
      </c>
    </row>
    <row r="669" spans="1:19">
      <c r="A669" s="3227" t="s">
        <v>4661</v>
      </c>
      <c r="B669" s="3228">
        <v>36.630000000000003</v>
      </c>
      <c r="C669" s="3241">
        <f t="shared" si="114"/>
        <v>1</v>
      </c>
      <c r="D669" s="3237" t="s">
        <v>4009</v>
      </c>
      <c r="E669" s="3241">
        <f t="shared" si="105"/>
        <v>1</v>
      </c>
      <c r="F669" s="635"/>
      <c r="G669" s="3241">
        <f t="shared" si="106"/>
        <v>1</v>
      </c>
      <c r="H669" s="635"/>
      <c r="I669" s="3241">
        <f t="shared" si="107"/>
        <v>1</v>
      </c>
      <c r="J669" s="635"/>
      <c r="K669" s="3241">
        <f t="shared" si="108"/>
        <v>1</v>
      </c>
      <c r="L669" s="635"/>
      <c r="M669" s="3241">
        <f t="shared" si="109"/>
        <v>1</v>
      </c>
      <c r="N669" s="635"/>
      <c r="O669" s="3241">
        <f t="shared" si="110"/>
        <v>1</v>
      </c>
      <c r="P669" s="635"/>
      <c r="Q669" s="3241">
        <f t="shared" si="111"/>
        <v>1</v>
      </c>
      <c r="R669" s="3241">
        <f t="shared" ca="1" si="112"/>
        <v>5044</v>
      </c>
      <c r="S669" s="905">
        <f t="shared" ca="1" si="113"/>
        <v>18</v>
      </c>
    </row>
    <row r="670" spans="1:19">
      <c r="A670" s="3227" t="s">
        <v>5828</v>
      </c>
      <c r="B670" s="3228">
        <v>36.630000000000003</v>
      </c>
      <c r="C670" s="3241">
        <f t="shared" si="114"/>
        <v>1</v>
      </c>
      <c r="D670" s="3237" t="s">
        <v>5171</v>
      </c>
      <c r="E670" s="3241">
        <f t="shared" si="105"/>
        <v>1</v>
      </c>
      <c r="F670" s="635"/>
      <c r="G670" s="3241">
        <f t="shared" si="106"/>
        <v>1</v>
      </c>
      <c r="H670" s="635"/>
      <c r="I670" s="3241">
        <f t="shared" si="107"/>
        <v>1</v>
      </c>
      <c r="J670" s="635"/>
      <c r="K670" s="3241">
        <f t="shared" si="108"/>
        <v>1</v>
      </c>
      <c r="L670" s="635"/>
      <c r="M670" s="3241">
        <f t="shared" si="109"/>
        <v>1</v>
      </c>
      <c r="N670" s="635"/>
      <c r="O670" s="3241">
        <f t="shared" si="110"/>
        <v>1</v>
      </c>
      <c r="P670" s="635"/>
      <c r="Q670" s="3241">
        <f t="shared" si="111"/>
        <v>1</v>
      </c>
      <c r="R670" s="3241">
        <f t="shared" ca="1" si="112"/>
        <v>5044</v>
      </c>
      <c r="S670" s="905">
        <f t="shared" ca="1" si="113"/>
        <v>18</v>
      </c>
    </row>
    <row r="671" spans="1:19">
      <c r="A671" s="3227" t="s">
        <v>4663</v>
      </c>
      <c r="B671" s="3228">
        <v>36.630000000000003</v>
      </c>
      <c r="C671" s="3241">
        <f t="shared" si="114"/>
        <v>1</v>
      </c>
      <c r="D671" s="3237" t="s">
        <v>4009</v>
      </c>
      <c r="E671" s="3241">
        <f t="shared" si="105"/>
        <v>1</v>
      </c>
      <c r="F671" s="635"/>
      <c r="G671" s="3241">
        <f t="shared" si="106"/>
        <v>1</v>
      </c>
      <c r="H671" s="635"/>
      <c r="I671" s="3241">
        <f t="shared" si="107"/>
        <v>1</v>
      </c>
      <c r="J671" s="635"/>
      <c r="K671" s="3241">
        <f t="shared" si="108"/>
        <v>1</v>
      </c>
      <c r="L671" s="635"/>
      <c r="M671" s="3241">
        <f t="shared" si="109"/>
        <v>1</v>
      </c>
      <c r="N671" s="635"/>
      <c r="O671" s="3241">
        <f t="shared" si="110"/>
        <v>1</v>
      </c>
      <c r="P671" s="635"/>
      <c r="Q671" s="3241">
        <f t="shared" si="111"/>
        <v>1</v>
      </c>
      <c r="R671" s="3241">
        <f t="shared" ca="1" si="112"/>
        <v>5044</v>
      </c>
      <c r="S671" s="905">
        <f t="shared" ca="1" si="113"/>
        <v>18</v>
      </c>
    </row>
    <row r="672" spans="1:19">
      <c r="A672" s="3227" t="s">
        <v>5830</v>
      </c>
      <c r="B672" s="3228">
        <v>36.630000000000003</v>
      </c>
      <c r="C672" s="3241">
        <f t="shared" si="114"/>
        <v>1</v>
      </c>
      <c r="D672" s="3237" t="s">
        <v>5171</v>
      </c>
      <c r="E672" s="3241">
        <f t="shared" si="105"/>
        <v>1</v>
      </c>
      <c r="F672" s="635"/>
      <c r="G672" s="3241">
        <f t="shared" si="106"/>
        <v>1</v>
      </c>
      <c r="H672" s="635"/>
      <c r="I672" s="3241">
        <f t="shared" si="107"/>
        <v>1</v>
      </c>
      <c r="J672" s="635"/>
      <c r="K672" s="3241">
        <f t="shared" si="108"/>
        <v>1</v>
      </c>
      <c r="L672" s="635"/>
      <c r="M672" s="3241">
        <f t="shared" si="109"/>
        <v>1</v>
      </c>
      <c r="N672" s="635"/>
      <c r="O672" s="3241">
        <f t="shared" si="110"/>
        <v>1</v>
      </c>
      <c r="P672" s="635"/>
      <c r="Q672" s="3241">
        <f t="shared" si="111"/>
        <v>1</v>
      </c>
      <c r="R672" s="3241">
        <f t="shared" ca="1" si="112"/>
        <v>5044</v>
      </c>
      <c r="S672" s="905">
        <f t="shared" ca="1" si="113"/>
        <v>18</v>
      </c>
    </row>
    <row r="673" spans="1:19">
      <c r="A673" s="3227" t="s">
        <v>4665</v>
      </c>
      <c r="B673" s="3228">
        <v>35.909999999999997</v>
      </c>
      <c r="C673" s="3241">
        <f t="shared" si="114"/>
        <v>1</v>
      </c>
      <c r="D673" s="3237" t="s">
        <v>4009</v>
      </c>
      <c r="E673" s="3241">
        <f t="shared" si="105"/>
        <v>1</v>
      </c>
      <c r="F673" s="635"/>
      <c r="G673" s="3241">
        <f t="shared" si="106"/>
        <v>1</v>
      </c>
      <c r="H673" s="635"/>
      <c r="I673" s="3241">
        <f t="shared" si="107"/>
        <v>1</v>
      </c>
      <c r="J673" s="635"/>
      <c r="K673" s="3241">
        <f t="shared" si="108"/>
        <v>1</v>
      </c>
      <c r="L673" s="635"/>
      <c r="M673" s="3241">
        <f t="shared" si="109"/>
        <v>1</v>
      </c>
      <c r="N673" s="635"/>
      <c r="O673" s="3241">
        <f t="shared" si="110"/>
        <v>1</v>
      </c>
      <c r="P673" s="635"/>
      <c r="Q673" s="3241">
        <f t="shared" si="111"/>
        <v>1</v>
      </c>
      <c r="R673" s="3241">
        <f t="shared" ca="1" si="112"/>
        <v>5044</v>
      </c>
      <c r="S673" s="905">
        <f t="shared" ca="1" si="113"/>
        <v>18</v>
      </c>
    </row>
    <row r="674" spans="1:19">
      <c r="A674" s="3227" t="s">
        <v>5832</v>
      </c>
      <c r="B674" s="3228">
        <v>35.909999999999997</v>
      </c>
      <c r="C674" s="3241">
        <f t="shared" si="114"/>
        <v>1</v>
      </c>
      <c r="D674" s="3237" t="s">
        <v>5171</v>
      </c>
      <c r="E674" s="3241">
        <f t="shared" si="105"/>
        <v>1</v>
      </c>
      <c r="F674" s="635"/>
      <c r="G674" s="3241">
        <f t="shared" si="106"/>
        <v>1</v>
      </c>
      <c r="H674" s="635"/>
      <c r="I674" s="3241">
        <f t="shared" si="107"/>
        <v>1</v>
      </c>
      <c r="J674" s="635"/>
      <c r="K674" s="3241">
        <f t="shared" si="108"/>
        <v>1</v>
      </c>
      <c r="L674" s="635"/>
      <c r="M674" s="3241">
        <f t="shared" si="109"/>
        <v>1</v>
      </c>
      <c r="N674" s="635"/>
      <c r="O674" s="3241">
        <f t="shared" si="110"/>
        <v>1</v>
      </c>
      <c r="P674" s="635"/>
      <c r="Q674" s="3241">
        <f t="shared" si="111"/>
        <v>1</v>
      </c>
      <c r="R674" s="3241">
        <f t="shared" ca="1" si="112"/>
        <v>5044</v>
      </c>
      <c r="S674" s="905">
        <f t="shared" ca="1" si="113"/>
        <v>18</v>
      </c>
    </row>
    <row r="675" spans="1:19">
      <c r="A675" s="3227" t="s">
        <v>4667</v>
      </c>
      <c r="B675" s="3228">
        <v>33.04</v>
      </c>
      <c r="C675" s="3241">
        <f t="shared" si="114"/>
        <v>1</v>
      </c>
      <c r="D675" s="3237" t="s">
        <v>4009</v>
      </c>
      <c r="E675" s="3241">
        <f t="shared" si="105"/>
        <v>1</v>
      </c>
      <c r="F675" s="635"/>
      <c r="G675" s="3241">
        <f t="shared" si="106"/>
        <v>1</v>
      </c>
      <c r="H675" s="635"/>
      <c r="I675" s="3241">
        <f t="shared" si="107"/>
        <v>1</v>
      </c>
      <c r="J675" s="635"/>
      <c r="K675" s="3241">
        <f t="shared" si="108"/>
        <v>1</v>
      </c>
      <c r="L675" s="635"/>
      <c r="M675" s="3241">
        <f t="shared" si="109"/>
        <v>1</v>
      </c>
      <c r="N675" s="635"/>
      <c r="O675" s="3241">
        <f t="shared" si="110"/>
        <v>1</v>
      </c>
      <c r="P675" s="635"/>
      <c r="Q675" s="3241">
        <f t="shared" si="111"/>
        <v>1</v>
      </c>
      <c r="R675" s="3241">
        <f t="shared" ca="1" si="112"/>
        <v>5044</v>
      </c>
      <c r="S675" s="905">
        <f t="shared" ca="1" si="113"/>
        <v>17</v>
      </c>
    </row>
    <row r="676" spans="1:19">
      <c r="A676" s="3227" t="s">
        <v>5834</v>
      </c>
      <c r="B676" s="3228">
        <v>33.04</v>
      </c>
      <c r="C676" s="3241">
        <f t="shared" si="114"/>
        <v>1</v>
      </c>
      <c r="D676" s="3237" t="s">
        <v>5171</v>
      </c>
      <c r="E676" s="3241">
        <f t="shared" si="105"/>
        <v>1</v>
      </c>
      <c r="F676" s="635"/>
      <c r="G676" s="3241">
        <f t="shared" si="106"/>
        <v>1</v>
      </c>
      <c r="H676" s="635"/>
      <c r="I676" s="3241">
        <f t="shared" si="107"/>
        <v>1</v>
      </c>
      <c r="J676" s="635"/>
      <c r="K676" s="3241">
        <f t="shared" si="108"/>
        <v>1</v>
      </c>
      <c r="L676" s="635"/>
      <c r="M676" s="3241">
        <f t="shared" si="109"/>
        <v>1</v>
      </c>
      <c r="N676" s="635"/>
      <c r="O676" s="3241">
        <f t="shared" si="110"/>
        <v>1</v>
      </c>
      <c r="P676" s="635"/>
      <c r="Q676" s="3241">
        <f t="shared" si="111"/>
        <v>1</v>
      </c>
      <c r="R676" s="3241">
        <f t="shared" ca="1" si="112"/>
        <v>5044</v>
      </c>
      <c r="S676" s="905">
        <f t="shared" ca="1" si="113"/>
        <v>17</v>
      </c>
    </row>
    <row r="677" spans="1:19">
      <c r="A677" s="3227" t="s">
        <v>4669</v>
      </c>
      <c r="B677" s="3228">
        <v>35.909999999999997</v>
      </c>
      <c r="C677" s="3241">
        <f t="shared" si="114"/>
        <v>1</v>
      </c>
      <c r="D677" s="3237" t="s">
        <v>4009</v>
      </c>
      <c r="E677" s="3241">
        <f t="shared" si="105"/>
        <v>1</v>
      </c>
      <c r="F677" s="635"/>
      <c r="G677" s="3241">
        <f t="shared" si="106"/>
        <v>1</v>
      </c>
      <c r="H677" s="635"/>
      <c r="I677" s="3241">
        <f t="shared" si="107"/>
        <v>1</v>
      </c>
      <c r="J677" s="635"/>
      <c r="K677" s="3241">
        <f t="shared" si="108"/>
        <v>1</v>
      </c>
      <c r="L677" s="635"/>
      <c r="M677" s="3241">
        <f t="shared" si="109"/>
        <v>1</v>
      </c>
      <c r="N677" s="635"/>
      <c r="O677" s="3241">
        <f t="shared" si="110"/>
        <v>1</v>
      </c>
      <c r="P677" s="635"/>
      <c r="Q677" s="3241">
        <f t="shared" si="111"/>
        <v>1</v>
      </c>
      <c r="R677" s="3241">
        <f t="shared" ca="1" si="112"/>
        <v>5044</v>
      </c>
      <c r="S677" s="905">
        <f t="shared" ca="1" si="113"/>
        <v>18</v>
      </c>
    </row>
    <row r="678" spans="1:19">
      <c r="A678" s="3227" t="s">
        <v>5836</v>
      </c>
      <c r="B678" s="3228">
        <v>35.909999999999997</v>
      </c>
      <c r="C678" s="3241">
        <f t="shared" si="114"/>
        <v>1</v>
      </c>
      <c r="D678" s="3237" t="s">
        <v>5171</v>
      </c>
      <c r="E678" s="3241">
        <f t="shared" si="105"/>
        <v>1</v>
      </c>
      <c r="F678" s="635"/>
      <c r="G678" s="3241">
        <f t="shared" si="106"/>
        <v>1</v>
      </c>
      <c r="H678" s="635"/>
      <c r="I678" s="3241">
        <f t="shared" si="107"/>
        <v>1</v>
      </c>
      <c r="J678" s="635"/>
      <c r="K678" s="3241">
        <f t="shared" si="108"/>
        <v>1</v>
      </c>
      <c r="L678" s="635"/>
      <c r="M678" s="3241">
        <f t="shared" si="109"/>
        <v>1</v>
      </c>
      <c r="N678" s="635"/>
      <c r="O678" s="3241">
        <f t="shared" si="110"/>
        <v>1</v>
      </c>
      <c r="P678" s="635"/>
      <c r="Q678" s="3241">
        <f t="shared" si="111"/>
        <v>1</v>
      </c>
      <c r="R678" s="3241">
        <f t="shared" ca="1" si="112"/>
        <v>5044</v>
      </c>
      <c r="S678" s="905">
        <f t="shared" ca="1" si="113"/>
        <v>18</v>
      </c>
    </row>
    <row r="679" spans="1:19">
      <c r="A679" s="3227" t="s">
        <v>4671</v>
      </c>
      <c r="B679" s="3228">
        <v>34.46</v>
      </c>
      <c r="C679" s="3241">
        <f t="shared" si="114"/>
        <v>1</v>
      </c>
      <c r="D679" s="3237" t="s">
        <v>4009</v>
      </c>
      <c r="E679" s="3241">
        <f t="shared" si="105"/>
        <v>1</v>
      </c>
      <c r="F679" s="635"/>
      <c r="G679" s="3241">
        <f t="shared" si="106"/>
        <v>1</v>
      </c>
      <c r="H679" s="635"/>
      <c r="I679" s="3241">
        <f t="shared" si="107"/>
        <v>1</v>
      </c>
      <c r="J679" s="635"/>
      <c r="K679" s="3241">
        <f t="shared" si="108"/>
        <v>1</v>
      </c>
      <c r="L679" s="635"/>
      <c r="M679" s="3241">
        <f t="shared" si="109"/>
        <v>1</v>
      </c>
      <c r="N679" s="635"/>
      <c r="O679" s="3241">
        <f t="shared" si="110"/>
        <v>1</v>
      </c>
      <c r="P679" s="635"/>
      <c r="Q679" s="3241">
        <f t="shared" si="111"/>
        <v>1</v>
      </c>
      <c r="R679" s="3241">
        <f t="shared" ca="1" si="112"/>
        <v>5044</v>
      </c>
      <c r="S679" s="905">
        <f t="shared" ca="1" si="113"/>
        <v>17</v>
      </c>
    </row>
    <row r="680" spans="1:19">
      <c r="A680" s="3227" t="s">
        <v>5838</v>
      </c>
      <c r="B680" s="3228">
        <v>34.46</v>
      </c>
      <c r="C680" s="3241">
        <f t="shared" si="114"/>
        <v>1</v>
      </c>
      <c r="D680" s="3237" t="s">
        <v>5171</v>
      </c>
      <c r="E680" s="3241">
        <f t="shared" si="105"/>
        <v>1</v>
      </c>
      <c r="F680" s="635"/>
      <c r="G680" s="3241">
        <f t="shared" si="106"/>
        <v>1</v>
      </c>
      <c r="H680" s="635"/>
      <c r="I680" s="3241">
        <f t="shared" si="107"/>
        <v>1</v>
      </c>
      <c r="J680" s="635"/>
      <c r="K680" s="3241">
        <f t="shared" si="108"/>
        <v>1</v>
      </c>
      <c r="L680" s="635"/>
      <c r="M680" s="3241">
        <f t="shared" si="109"/>
        <v>1</v>
      </c>
      <c r="N680" s="635"/>
      <c r="O680" s="3241">
        <f t="shared" si="110"/>
        <v>1</v>
      </c>
      <c r="P680" s="635"/>
      <c r="Q680" s="3241">
        <f t="shared" si="111"/>
        <v>1</v>
      </c>
      <c r="R680" s="3241">
        <f t="shared" ca="1" si="112"/>
        <v>5044</v>
      </c>
      <c r="S680" s="905">
        <f t="shared" ca="1" si="113"/>
        <v>17</v>
      </c>
    </row>
    <row r="681" spans="1:19">
      <c r="A681" s="3227" t="s">
        <v>4673</v>
      </c>
      <c r="B681" s="3228">
        <v>35.17</v>
      </c>
      <c r="C681" s="3241">
        <f t="shared" si="114"/>
        <v>1</v>
      </c>
      <c r="D681" s="3237" t="s">
        <v>4009</v>
      </c>
      <c r="E681" s="3241">
        <f t="shared" si="105"/>
        <v>1</v>
      </c>
      <c r="F681" s="635"/>
      <c r="G681" s="3241">
        <f t="shared" si="106"/>
        <v>1</v>
      </c>
      <c r="H681" s="635"/>
      <c r="I681" s="3241">
        <f t="shared" si="107"/>
        <v>1</v>
      </c>
      <c r="J681" s="635"/>
      <c r="K681" s="3241">
        <f t="shared" si="108"/>
        <v>1</v>
      </c>
      <c r="L681" s="635"/>
      <c r="M681" s="3241">
        <f t="shared" si="109"/>
        <v>1</v>
      </c>
      <c r="N681" s="635"/>
      <c r="O681" s="3241">
        <f t="shared" si="110"/>
        <v>1</v>
      </c>
      <c r="P681" s="635"/>
      <c r="Q681" s="3241">
        <f t="shared" si="111"/>
        <v>1</v>
      </c>
      <c r="R681" s="3241">
        <f t="shared" ca="1" si="112"/>
        <v>5044</v>
      </c>
      <c r="S681" s="905">
        <f t="shared" ca="1" si="113"/>
        <v>18</v>
      </c>
    </row>
    <row r="682" spans="1:19">
      <c r="A682" s="3227" t="s">
        <v>5840</v>
      </c>
      <c r="B682" s="3228">
        <v>35.17</v>
      </c>
      <c r="C682" s="3241">
        <f t="shared" si="114"/>
        <v>1</v>
      </c>
      <c r="D682" s="3237" t="s">
        <v>5171</v>
      </c>
      <c r="E682" s="3241">
        <f t="shared" si="105"/>
        <v>1</v>
      </c>
      <c r="F682" s="635"/>
      <c r="G682" s="3241">
        <f t="shared" si="106"/>
        <v>1</v>
      </c>
      <c r="H682" s="635"/>
      <c r="I682" s="3241">
        <f t="shared" si="107"/>
        <v>1</v>
      </c>
      <c r="J682" s="635"/>
      <c r="K682" s="3241">
        <f t="shared" si="108"/>
        <v>1</v>
      </c>
      <c r="L682" s="635"/>
      <c r="M682" s="3241">
        <f t="shared" si="109"/>
        <v>1</v>
      </c>
      <c r="N682" s="635"/>
      <c r="O682" s="3241">
        <f t="shared" si="110"/>
        <v>1</v>
      </c>
      <c r="P682" s="635"/>
      <c r="Q682" s="3241">
        <f t="shared" si="111"/>
        <v>1</v>
      </c>
      <c r="R682" s="3241">
        <f t="shared" ca="1" si="112"/>
        <v>5044</v>
      </c>
      <c r="S682" s="905">
        <f t="shared" ca="1" si="113"/>
        <v>18</v>
      </c>
    </row>
    <row r="683" spans="1:19">
      <c r="A683" s="3227" t="s">
        <v>4675</v>
      </c>
      <c r="B683" s="3228">
        <v>35.17</v>
      </c>
      <c r="C683" s="3241">
        <f t="shared" si="114"/>
        <v>1</v>
      </c>
      <c r="D683" s="3237" t="s">
        <v>4009</v>
      </c>
      <c r="E683" s="3241">
        <f t="shared" si="105"/>
        <v>1</v>
      </c>
      <c r="F683" s="635"/>
      <c r="G683" s="3241">
        <f t="shared" si="106"/>
        <v>1</v>
      </c>
      <c r="H683" s="635"/>
      <c r="I683" s="3241">
        <f t="shared" si="107"/>
        <v>1</v>
      </c>
      <c r="J683" s="635"/>
      <c r="K683" s="3241">
        <f t="shared" si="108"/>
        <v>1</v>
      </c>
      <c r="L683" s="635"/>
      <c r="M683" s="3241">
        <f t="shared" si="109"/>
        <v>1</v>
      </c>
      <c r="N683" s="635"/>
      <c r="O683" s="3241">
        <f t="shared" si="110"/>
        <v>1</v>
      </c>
      <c r="P683" s="635"/>
      <c r="Q683" s="3241">
        <f t="shared" si="111"/>
        <v>1</v>
      </c>
      <c r="R683" s="3241">
        <f t="shared" ca="1" si="112"/>
        <v>5044</v>
      </c>
      <c r="S683" s="905">
        <f t="shared" ca="1" si="113"/>
        <v>18</v>
      </c>
    </row>
    <row r="684" spans="1:19">
      <c r="A684" s="3227" t="s">
        <v>5842</v>
      </c>
      <c r="B684" s="3228">
        <v>35.17</v>
      </c>
      <c r="C684" s="3241">
        <f t="shared" si="114"/>
        <v>1</v>
      </c>
      <c r="D684" s="3237" t="s">
        <v>5171</v>
      </c>
      <c r="E684" s="3241">
        <f t="shared" si="105"/>
        <v>1</v>
      </c>
      <c r="F684" s="635"/>
      <c r="G684" s="3241">
        <f t="shared" si="106"/>
        <v>1</v>
      </c>
      <c r="H684" s="635"/>
      <c r="I684" s="3241">
        <f t="shared" si="107"/>
        <v>1</v>
      </c>
      <c r="J684" s="635"/>
      <c r="K684" s="3241">
        <f t="shared" si="108"/>
        <v>1</v>
      </c>
      <c r="L684" s="635"/>
      <c r="M684" s="3241">
        <f t="shared" si="109"/>
        <v>1</v>
      </c>
      <c r="N684" s="635"/>
      <c r="O684" s="3241">
        <f t="shared" si="110"/>
        <v>1</v>
      </c>
      <c r="P684" s="635"/>
      <c r="Q684" s="3241">
        <f t="shared" si="111"/>
        <v>1</v>
      </c>
      <c r="R684" s="3241">
        <f t="shared" ca="1" si="112"/>
        <v>5044</v>
      </c>
      <c r="S684" s="905">
        <f t="shared" ca="1" si="113"/>
        <v>18</v>
      </c>
    </row>
    <row r="685" spans="1:19">
      <c r="A685" s="3227" t="s">
        <v>4677</v>
      </c>
      <c r="B685" s="3228">
        <v>35.17</v>
      </c>
      <c r="C685" s="3241">
        <f t="shared" si="114"/>
        <v>1</v>
      </c>
      <c r="D685" s="3237" t="s">
        <v>4009</v>
      </c>
      <c r="E685" s="3241">
        <f t="shared" si="105"/>
        <v>1</v>
      </c>
      <c r="F685" s="635"/>
      <c r="G685" s="3241">
        <f t="shared" si="106"/>
        <v>1</v>
      </c>
      <c r="H685" s="635"/>
      <c r="I685" s="3241">
        <f t="shared" si="107"/>
        <v>1</v>
      </c>
      <c r="J685" s="635"/>
      <c r="K685" s="3241">
        <f t="shared" si="108"/>
        <v>1</v>
      </c>
      <c r="L685" s="635"/>
      <c r="M685" s="3241">
        <f t="shared" si="109"/>
        <v>1</v>
      </c>
      <c r="N685" s="635"/>
      <c r="O685" s="3241">
        <f t="shared" si="110"/>
        <v>1</v>
      </c>
      <c r="P685" s="635"/>
      <c r="Q685" s="3241">
        <f t="shared" si="111"/>
        <v>1</v>
      </c>
      <c r="R685" s="3241">
        <f t="shared" ca="1" si="112"/>
        <v>5044</v>
      </c>
      <c r="S685" s="905">
        <f t="shared" ca="1" si="113"/>
        <v>18</v>
      </c>
    </row>
    <row r="686" spans="1:19">
      <c r="A686" s="3227" t="s">
        <v>5844</v>
      </c>
      <c r="B686" s="3228">
        <v>35.17</v>
      </c>
      <c r="C686" s="3241">
        <f t="shared" si="114"/>
        <v>1</v>
      </c>
      <c r="D686" s="3237" t="s">
        <v>5171</v>
      </c>
      <c r="E686" s="3241">
        <f t="shared" si="105"/>
        <v>1</v>
      </c>
      <c r="F686" s="635"/>
      <c r="G686" s="3241">
        <f t="shared" si="106"/>
        <v>1</v>
      </c>
      <c r="H686" s="635"/>
      <c r="I686" s="3241">
        <f t="shared" si="107"/>
        <v>1</v>
      </c>
      <c r="J686" s="635"/>
      <c r="K686" s="3241">
        <f t="shared" si="108"/>
        <v>1</v>
      </c>
      <c r="L686" s="635"/>
      <c r="M686" s="3241">
        <f t="shared" si="109"/>
        <v>1</v>
      </c>
      <c r="N686" s="635"/>
      <c r="O686" s="3241">
        <f t="shared" si="110"/>
        <v>1</v>
      </c>
      <c r="P686" s="635"/>
      <c r="Q686" s="3241">
        <f t="shared" si="111"/>
        <v>1</v>
      </c>
      <c r="R686" s="3241">
        <f t="shared" ca="1" si="112"/>
        <v>5044</v>
      </c>
      <c r="S686" s="905">
        <f t="shared" ca="1" si="113"/>
        <v>18</v>
      </c>
    </row>
    <row r="687" spans="1:19">
      <c r="A687" s="3227" t="s">
        <v>4679</v>
      </c>
      <c r="B687" s="3228">
        <v>35.17</v>
      </c>
      <c r="C687" s="3241">
        <f t="shared" si="114"/>
        <v>1</v>
      </c>
      <c r="D687" s="3239" t="s">
        <v>4591</v>
      </c>
      <c r="E687" s="3241">
        <f t="shared" si="105"/>
        <v>1</v>
      </c>
      <c r="F687" s="635"/>
      <c r="G687" s="3241">
        <f t="shared" si="106"/>
        <v>1</v>
      </c>
      <c r="H687" s="635"/>
      <c r="I687" s="3241">
        <f t="shared" si="107"/>
        <v>1</v>
      </c>
      <c r="J687" s="635"/>
      <c r="K687" s="3241">
        <f t="shared" si="108"/>
        <v>1</v>
      </c>
      <c r="L687" s="635"/>
      <c r="M687" s="3241">
        <f t="shared" si="109"/>
        <v>1</v>
      </c>
      <c r="N687" s="635"/>
      <c r="O687" s="3241">
        <f t="shared" si="110"/>
        <v>1</v>
      </c>
      <c r="P687" s="635"/>
      <c r="Q687" s="3241">
        <f t="shared" si="111"/>
        <v>1</v>
      </c>
      <c r="R687" s="3241">
        <f t="shared" ca="1" si="112"/>
        <v>5044</v>
      </c>
      <c r="S687" s="905">
        <f t="shared" ca="1" si="113"/>
        <v>18</v>
      </c>
    </row>
    <row r="688" spans="1:19">
      <c r="A688" s="3227" t="s">
        <v>5846</v>
      </c>
      <c r="B688" s="3228">
        <v>35.17</v>
      </c>
      <c r="C688" s="3241">
        <f t="shared" si="114"/>
        <v>1</v>
      </c>
      <c r="D688" s="3239" t="s">
        <v>5756</v>
      </c>
      <c r="E688" s="3241">
        <f t="shared" si="105"/>
        <v>1</v>
      </c>
      <c r="F688" s="635"/>
      <c r="G688" s="3241">
        <f t="shared" si="106"/>
        <v>1</v>
      </c>
      <c r="H688" s="635"/>
      <c r="I688" s="3241">
        <f t="shared" si="107"/>
        <v>1</v>
      </c>
      <c r="J688" s="635"/>
      <c r="K688" s="3241">
        <f t="shared" si="108"/>
        <v>1</v>
      </c>
      <c r="L688" s="635"/>
      <c r="M688" s="3241">
        <f t="shared" si="109"/>
        <v>1</v>
      </c>
      <c r="N688" s="635"/>
      <c r="O688" s="3241">
        <f t="shared" si="110"/>
        <v>1</v>
      </c>
      <c r="P688" s="635"/>
      <c r="Q688" s="3241">
        <f t="shared" si="111"/>
        <v>1</v>
      </c>
      <c r="R688" s="3241">
        <f t="shared" ca="1" si="112"/>
        <v>5044</v>
      </c>
      <c r="S688" s="905">
        <f t="shared" ca="1" si="113"/>
        <v>18</v>
      </c>
    </row>
    <row r="689" spans="1:19">
      <c r="A689" s="3227" t="s">
        <v>4681</v>
      </c>
      <c r="B689" s="3228">
        <v>35.17</v>
      </c>
      <c r="C689" s="3241">
        <f t="shared" si="114"/>
        <v>1</v>
      </c>
      <c r="D689" s="3239" t="s">
        <v>4591</v>
      </c>
      <c r="E689" s="3241">
        <f t="shared" si="105"/>
        <v>1</v>
      </c>
      <c r="F689" s="635"/>
      <c r="G689" s="3241">
        <f t="shared" si="106"/>
        <v>1</v>
      </c>
      <c r="H689" s="635"/>
      <c r="I689" s="3241">
        <f t="shared" si="107"/>
        <v>1</v>
      </c>
      <c r="J689" s="635"/>
      <c r="K689" s="3241">
        <f t="shared" si="108"/>
        <v>1</v>
      </c>
      <c r="L689" s="635"/>
      <c r="M689" s="3241">
        <f t="shared" si="109"/>
        <v>1</v>
      </c>
      <c r="N689" s="635"/>
      <c r="O689" s="3241">
        <f t="shared" si="110"/>
        <v>1</v>
      </c>
      <c r="P689" s="635"/>
      <c r="Q689" s="3241">
        <f t="shared" si="111"/>
        <v>1</v>
      </c>
      <c r="R689" s="3241">
        <f t="shared" ca="1" si="112"/>
        <v>5044</v>
      </c>
      <c r="S689" s="905">
        <f t="shared" ca="1" si="113"/>
        <v>18</v>
      </c>
    </row>
    <row r="690" spans="1:19">
      <c r="A690" s="3227" t="s">
        <v>5848</v>
      </c>
      <c r="B690" s="3228">
        <v>35.17</v>
      </c>
      <c r="C690" s="3241">
        <f t="shared" si="114"/>
        <v>1</v>
      </c>
      <c r="D690" s="3237" t="s">
        <v>5171</v>
      </c>
      <c r="E690" s="3241">
        <f t="shared" si="105"/>
        <v>1</v>
      </c>
      <c r="F690" s="635"/>
      <c r="G690" s="3241">
        <f t="shared" si="106"/>
        <v>1</v>
      </c>
      <c r="H690" s="635"/>
      <c r="I690" s="3241">
        <f t="shared" si="107"/>
        <v>1</v>
      </c>
      <c r="J690" s="635"/>
      <c r="K690" s="3241">
        <f t="shared" si="108"/>
        <v>1</v>
      </c>
      <c r="L690" s="635"/>
      <c r="M690" s="3241">
        <f t="shared" si="109"/>
        <v>1</v>
      </c>
      <c r="N690" s="635"/>
      <c r="O690" s="3241">
        <f t="shared" si="110"/>
        <v>1</v>
      </c>
      <c r="P690" s="635"/>
      <c r="Q690" s="3241">
        <f t="shared" si="111"/>
        <v>1</v>
      </c>
      <c r="R690" s="3241">
        <f t="shared" ca="1" si="112"/>
        <v>5044</v>
      </c>
      <c r="S690" s="905">
        <f t="shared" ca="1" si="113"/>
        <v>18</v>
      </c>
    </row>
    <row r="691" spans="1:19">
      <c r="A691" s="3227" t="s">
        <v>4683</v>
      </c>
      <c r="B691" s="3228">
        <v>35.17</v>
      </c>
      <c r="C691" s="3241">
        <f t="shared" si="114"/>
        <v>1</v>
      </c>
      <c r="D691" s="3237" t="s">
        <v>4009</v>
      </c>
      <c r="E691" s="3241">
        <f t="shared" si="105"/>
        <v>1</v>
      </c>
      <c r="F691" s="635"/>
      <c r="G691" s="3241">
        <f t="shared" si="106"/>
        <v>1</v>
      </c>
      <c r="H691" s="635"/>
      <c r="I691" s="3241">
        <f t="shared" si="107"/>
        <v>1</v>
      </c>
      <c r="J691" s="635"/>
      <c r="K691" s="3241">
        <f t="shared" si="108"/>
        <v>1</v>
      </c>
      <c r="L691" s="635"/>
      <c r="M691" s="3241">
        <f t="shared" si="109"/>
        <v>1</v>
      </c>
      <c r="N691" s="635"/>
      <c r="O691" s="3241">
        <f t="shared" si="110"/>
        <v>1</v>
      </c>
      <c r="P691" s="635"/>
      <c r="Q691" s="3241">
        <f t="shared" si="111"/>
        <v>1</v>
      </c>
      <c r="R691" s="3241">
        <f t="shared" ca="1" si="112"/>
        <v>5044</v>
      </c>
      <c r="S691" s="905">
        <f t="shared" ca="1" si="113"/>
        <v>18</v>
      </c>
    </row>
    <row r="692" spans="1:19">
      <c r="A692" s="3227" t="s">
        <v>5850</v>
      </c>
      <c r="B692" s="3228">
        <v>35.17</v>
      </c>
      <c r="C692" s="3241">
        <f t="shared" si="114"/>
        <v>1</v>
      </c>
      <c r="D692" s="3237" t="s">
        <v>5171</v>
      </c>
      <c r="E692" s="3241">
        <f t="shared" si="105"/>
        <v>1</v>
      </c>
      <c r="F692" s="635"/>
      <c r="G692" s="3241">
        <f t="shared" si="106"/>
        <v>1</v>
      </c>
      <c r="H692" s="635"/>
      <c r="I692" s="3241">
        <f t="shared" si="107"/>
        <v>1</v>
      </c>
      <c r="J692" s="635"/>
      <c r="K692" s="3241">
        <f t="shared" si="108"/>
        <v>1</v>
      </c>
      <c r="L692" s="635"/>
      <c r="M692" s="3241">
        <f t="shared" si="109"/>
        <v>1</v>
      </c>
      <c r="N692" s="635"/>
      <c r="O692" s="3241">
        <f t="shared" si="110"/>
        <v>1</v>
      </c>
      <c r="P692" s="635"/>
      <c r="Q692" s="3241">
        <f t="shared" si="111"/>
        <v>1</v>
      </c>
      <c r="R692" s="3241">
        <f t="shared" ca="1" si="112"/>
        <v>5044</v>
      </c>
      <c r="S692" s="905">
        <f t="shared" ca="1" si="113"/>
        <v>18</v>
      </c>
    </row>
    <row r="693" spans="1:19">
      <c r="A693" s="3227" t="s">
        <v>4685</v>
      </c>
      <c r="B693" s="3228">
        <v>35.17</v>
      </c>
      <c r="C693" s="3241">
        <f t="shared" si="114"/>
        <v>1</v>
      </c>
      <c r="D693" s="3237" t="s">
        <v>4009</v>
      </c>
      <c r="E693" s="3241">
        <f t="shared" si="105"/>
        <v>1</v>
      </c>
      <c r="F693" s="635"/>
      <c r="G693" s="3241">
        <f t="shared" si="106"/>
        <v>1</v>
      </c>
      <c r="H693" s="635"/>
      <c r="I693" s="3241">
        <f t="shared" si="107"/>
        <v>1</v>
      </c>
      <c r="J693" s="635"/>
      <c r="K693" s="3241">
        <f t="shared" si="108"/>
        <v>1</v>
      </c>
      <c r="L693" s="635"/>
      <c r="M693" s="3241">
        <f t="shared" si="109"/>
        <v>1</v>
      </c>
      <c r="N693" s="635"/>
      <c r="O693" s="3241">
        <f t="shared" si="110"/>
        <v>1</v>
      </c>
      <c r="P693" s="635"/>
      <c r="Q693" s="3241">
        <f t="shared" si="111"/>
        <v>1</v>
      </c>
      <c r="R693" s="3241">
        <f t="shared" ca="1" si="112"/>
        <v>5044</v>
      </c>
      <c r="S693" s="905">
        <f t="shared" ca="1" si="113"/>
        <v>18</v>
      </c>
    </row>
    <row r="694" spans="1:19">
      <c r="A694" s="3227" t="s">
        <v>5852</v>
      </c>
      <c r="B694" s="3228">
        <v>35.17</v>
      </c>
      <c r="C694" s="3241">
        <f t="shared" si="114"/>
        <v>1</v>
      </c>
      <c r="D694" s="3237" t="s">
        <v>5171</v>
      </c>
      <c r="E694" s="3241">
        <f t="shared" si="105"/>
        <v>1</v>
      </c>
      <c r="F694" s="635"/>
      <c r="G694" s="3241">
        <f t="shared" si="106"/>
        <v>1</v>
      </c>
      <c r="H694" s="635"/>
      <c r="I694" s="3241">
        <f t="shared" si="107"/>
        <v>1</v>
      </c>
      <c r="J694" s="635"/>
      <c r="K694" s="3241">
        <f t="shared" si="108"/>
        <v>1</v>
      </c>
      <c r="L694" s="635"/>
      <c r="M694" s="3241">
        <f t="shared" si="109"/>
        <v>1</v>
      </c>
      <c r="N694" s="635"/>
      <c r="O694" s="3241">
        <f t="shared" si="110"/>
        <v>1</v>
      </c>
      <c r="P694" s="635"/>
      <c r="Q694" s="3241">
        <f t="shared" si="111"/>
        <v>1</v>
      </c>
      <c r="R694" s="3241">
        <f t="shared" ca="1" si="112"/>
        <v>5044</v>
      </c>
      <c r="S694" s="905">
        <f t="shared" ca="1" si="113"/>
        <v>18</v>
      </c>
    </row>
    <row r="695" spans="1:19">
      <c r="A695" s="3227" t="s">
        <v>4687</v>
      </c>
      <c r="B695" s="3228">
        <v>35.17</v>
      </c>
      <c r="C695" s="3241">
        <f t="shared" si="114"/>
        <v>1</v>
      </c>
      <c r="D695" s="3237" t="s">
        <v>4009</v>
      </c>
      <c r="E695" s="3241">
        <f t="shared" si="105"/>
        <v>1</v>
      </c>
      <c r="F695" s="635"/>
      <c r="G695" s="3241">
        <f t="shared" si="106"/>
        <v>1</v>
      </c>
      <c r="H695" s="635"/>
      <c r="I695" s="3241">
        <f t="shared" si="107"/>
        <v>1</v>
      </c>
      <c r="J695" s="635"/>
      <c r="K695" s="3241">
        <f t="shared" si="108"/>
        <v>1</v>
      </c>
      <c r="L695" s="635"/>
      <c r="M695" s="3241">
        <f t="shared" si="109"/>
        <v>1</v>
      </c>
      <c r="N695" s="635"/>
      <c r="O695" s="3241">
        <f t="shared" si="110"/>
        <v>1</v>
      </c>
      <c r="P695" s="635"/>
      <c r="Q695" s="3241">
        <f t="shared" si="111"/>
        <v>1</v>
      </c>
      <c r="R695" s="3241">
        <f t="shared" ca="1" si="112"/>
        <v>5044</v>
      </c>
      <c r="S695" s="905">
        <f t="shared" ca="1" si="113"/>
        <v>18</v>
      </c>
    </row>
    <row r="696" spans="1:19">
      <c r="A696" s="3227" t="s">
        <v>5854</v>
      </c>
      <c r="B696" s="3228">
        <v>37.340000000000003</v>
      </c>
      <c r="C696" s="3241">
        <f t="shared" si="114"/>
        <v>1</v>
      </c>
      <c r="D696" s="3237" t="s">
        <v>5171</v>
      </c>
      <c r="E696" s="3241">
        <f t="shared" si="105"/>
        <v>1</v>
      </c>
      <c r="F696" s="635"/>
      <c r="G696" s="3241">
        <f t="shared" si="106"/>
        <v>1</v>
      </c>
      <c r="H696" s="635"/>
      <c r="I696" s="3241">
        <f t="shared" si="107"/>
        <v>1</v>
      </c>
      <c r="J696" s="635"/>
      <c r="K696" s="3241">
        <f t="shared" si="108"/>
        <v>1</v>
      </c>
      <c r="L696" s="635"/>
      <c r="M696" s="3241">
        <f t="shared" si="109"/>
        <v>1</v>
      </c>
      <c r="N696" s="635"/>
      <c r="O696" s="3241">
        <f t="shared" si="110"/>
        <v>1</v>
      </c>
      <c r="P696" s="635"/>
      <c r="Q696" s="3241">
        <f t="shared" si="111"/>
        <v>1</v>
      </c>
      <c r="R696" s="3241">
        <f t="shared" ca="1" si="112"/>
        <v>5044</v>
      </c>
      <c r="S696" s="905">
        <f t="shared" ca="1" si="113"/>
        <v>19</v>
      </c>
    </row>
    <row r="697" spans="1:19">
      <c r="A697" s="3227" t="s">
        <v>4689</v>
      </c>
      <c r="B697" s="3228">
        <v>37.340000000000003</v>
      </c>
      <c r="C697" s="3241">
        <f t="shared" si="114"/>
        <v>1</v>
      </c>
      <c r="D697" s="3237" t="s">
        <v>4009</v>
      </c>
      <c r="E697" s="3241">
        <f t="shared" si="105"/>
        <v>1</v>
      </c>
      <c r="F697" s="635"/>
      <c r="G697" s="3241">
        <f t="shared" si="106"/>
        <v>1</v>
      </c>
      <c r="H697" s="635"/>
      <c r="I697" s="3241">
        <f t="shared" si="107"/>
        <v>1</v>
      </c>
      <c r="J697" s="635"/>
      <c r="K697" s="3241">
        <f t="shared" si="108"/>
        <v>1</v>
      </c>
      <c r="L697" s="635"/>
      <c r="M697" s="3241">
        <f t="shared" si="109"/>
        <v>1</v>
      </c>
      <c r="N697" s="635"/>
      <c r="O697" s="3241">
        <f t="shared" si="110"/>
        <v>1</v>
      </c>
      <c r="P697" s="635"/>
      <c r="Q697" s="3241">
        <f t="shared" si="111"/>
        <v>1</v>
      </c>
      <c r="R697" s="3241">
        <f t="shared" ca="1" si="112"/>
        <v>5044</v>
      </c>
      <c r="S697" s="905">
        <f t="shared" ca="1" si="113"/>
        <v>19</v>
      </c>
    </row>
    <row r="698" spans="1:19">
      <c r="A698" s="3227" t="s">
        <v>5856</v>
      </c>
      <c r="B698" s="3228">
        <v>37.340000000000003</v>
      </c>
      <c r="C698" s="3241">
        <f t="shared" si="114"/>
        <v>1</v>
      </c>
      <c r="D698" s="3237" t="s">
        <v>5171</v>
      </c>
      <c r="E698" s="3241">
        <f t="shared" si="105"/>
        <v>1</v>
      </c>
      <c r="F698" s="635"/>
      <c r="G698" s="3241">
        <f t="shared" si="106"/>
        <v>1</v>
      </c>
      <c r="H698" s="635"/>
      <c r="I698" s="3241">
        <f t="shared" si="107"/>
        <v>1</v>
      </c>
      <c r="J698" s="635"/>
      <c r="K698" s="3241">
        <f t="shared" si="108"/>
        <v>1</v>
      </c>
      <c r="L698" s="635"/>
      <c r="M698" s="3241">
        <f t="shared" si="109"/>
        <v>1</v>
      </c>
      <c r="N698" s="635"/>
      <c r="O698" s="3241">
        <f t="shared" si="110"/>
        <v>1</v>
      </c>
      <c r="P698" s="635"/>
      <c r="Q698" s="3241">
        <f t="shared" si="111"/>
        <v>1</v>
      </c>
      <c r="R698" s="3241">
        <f t="shared" ca="1" si="112"/>
        <v>5044</v>
      </c>
      <c r="S698" s="905">
        <f t="shared" ca="1" si="113"/>
        <v>19</v>
      </c>
    </row>
    <row r="699" spans="1:19">
      <c r="A699" s="3227" t="s">
        <v>4691</v>
      </c>
      <c r="B699" s="3228">
        <v>37.340000000000003</v>
      </c>
      <c r="C699" s="3241">
        <f t="shared" si="114"/>
        <v>1</v>
      </c>
      <c r="D699" s="3237" t="s">
        <v>4009</v>
      </c>
      <c r="E699" s="3241">
        <f t="shared" si="105"/>
        <v>1</v>
      </c>
      <c r="F699" s="635"/>
      <c r="G699" s="3241">
        <f t="shared" si="106"/>
        <v>1</v>
      </c>
      <c r="H699" s="635"/>
      <c r="I699" s="3241">
        <f t="shared" si="107"/>
        <v>1</v>
      </c>
      <c r="J699" s="635"/>
      <c r="K699" s="3241">
        <f t="shared" si="108"/>
        <v>1</v>
      </c>
      <c r="L699" s="635"/>
      <c r="M699" s="3241">
        <f t="shared" si="109"/>
        <v>1</v>
      </c>
      <c r="N699" s="635"/>
      <c r="O699" s="3241">
        <f t="shared" si="110"/>
        <v>1</v>
      </c>
      <c r="P699" s="635"/>
      <c r="Q699" s="3241">
        <f t="shared" si="111"/>
        <v>1</v>
      </c>
      <c r="R699" s="3241">
        <f t="shared" ca="1" si="112"/>
        <v>5044</v>
      </c>
      <c r="S699" s="905">
        <f t="shared" ca="1" si="113"/>
        <v>19</v>
      </c>
    </row>
    <row r="700" spans="1:19">
      <c r="A700" s="3227" t="s">
        <v>5858</v>
      </c>
      <c r="B700" s="3228">
        <v>37.340000000000003</v>
      </c>
      <c r="C700" s="3241">
        <f t="shared" si="114"/>
        <v>1</v>
      </c>
      <c r="D700" s="3237" t="s">
        <v>5171</v>
      </c>
      <c r="E700" s="3241">
        <f t="shared" si="105"/>
        <v>1</v>
      </c>
      <c r="F700" s="635"/>
      <c r="G700" s="3241">
        <f t="shared" si="106"/>
        <v>1</v>
      </c>
      <c r="H700" s="635"/>
      <c r="I700" s="3241">
        <f t="shared" si="107"/>
        <v>1</v>
      </c>
      <c r="J700" s="635"/>
      <c r="K700" s="3241">
        <f t="shared" si="108"/>
        <v>1</v>
      </c>
      <c r="L700" s="635"/>
      <c r="M700" s="3241">
        <f t="shared" si="109"/>
        <v>1</v>
      </c>
      <c r="N700" s="635"/>
      <c r="O700" s="3241">
        <f t="shared" si="110"/>
        <v>1</v>
      </c>
      <c r="P700" s="635"/>
      <c r="Q700" s="3241">
        <f t="shared" si="111"/>
        <v>1</v>
      </c>
      <c r="R700" s="3241">
        <f t="shared" ca="1" si="112"/>
        <v>5044</v>
      </c>
      <c r="S700" s="905">
        <f t="shared" ca="1" si="113"/>
        <v>19</v>
      </c>
    </row>
    <row r="701" spans="1:19">
      <c r="A701" s="3226" t="s">
        <v>4693</v>
      </c>
      <c r="B701" s="3228">
        <v>34.46</v>
      </c>
      <c r="C701" s="3241">
        <f t="shared" si="114"/>
        <v>1</v>
      </c>
      <c r="D701" s="3237" t="s">
        <v>4009</v>
      </c>
      <c r="E701" s="3241">
        <f t="shared" si="105"/>
        <v>1</v>
      </c>
      <c r="F701" s="635"/>
      <c r="G701" s="3241">
        <f t="shared" si="106"/>
        <v>1</v>
      </c>
      <c r="H701" s="635"/>
      <c r="I701" s="3241">
        <f t="shared" si="107"/>
        <v>1</v>
      </c>
      <c r="J701" s="635"/>
      <c r="K701" s="3241">
        <f t="shared" si="108"/>
        <v>1</v>
      </c>
      <c r="L701" s="635"/>
      <c r="M701" s="3241">
        <f t="shared" si="109"/>
        <v>1</v>
      </c>
      <c r="N701" s="635"/>
      <c r="O701" s="3241">
        <f t="shared" si="110"/>
        <v>1</v>
      </c>
      <c r="P701" s="635"/>
      <c r="Q701" s="3241">
        <f t="shared" si="111"/>
        <v>1</v>
      </c>
      <c r="R701" s="3241">
        <f t="shared" ca="1" si="112"/>
        <v>5044</v>
      </c>
      <c r="S701" s="905">
        <f t="shared" ca="1" si="113"/>
        <v>17</v>
      </c>
    </row>
    <row r="702" spans="1:19">
      <c r="A702" s="3227" t="s">
        <v>5860</v>
      </c>
      <c r="B702" s="3228">
        <v>34.46</v>
      </c>
      <c r="C702" s="3241">
        <f t="shared" si="114"/>
        <v>1</v>
      </c>
      <c r="D702" s="3237" t="s">
        <v>5171</v>
      </c>
      <c r="E702" s="3241">
        <f t="shared" si="105"/>
        <v>1</v>
      </c>
      <c r="F702" s="635"/>
      <c r="G702" s="3241">
        <f t="shared" si="106"/>
        <v>1</v>
      </c>
      <c r="H702" s="635"/>
      <c r="I702" s="3241">
        <f t="shared" si="107"/>
        <v>1</v>
      </c>
      <c r="J702" s="635"/>
      <c r="K702" s="3241">
        <f t="shared" si="108"/>
        <v>1</v>
      </c>
      <c r="L702" s="635"/>
      <c r="M702" s="3241">
        <f t="shared" si="109"/>
        <v>1</v>
      </c>
      <c r="N702" s="635"/>
      <c r="O702" s="3241">
        <f t="shared" si="110"/>
        <v>1</v>
      </c>
      <c r="P702" s="635"/>
      <c r="Q702" s="3241">
        <f t="shared" si="111"/>
        <v>1</v>
      </c>
      <c r="R702" s="3241">
        <f t="shared" ca="1" si="112"/>
        <v>5044</v>
      </c>
      <c r="S702" s="905">
        <f t="shared" ca="1" si="113"/>
        <v>17</v>
      </c>
    </row>
    <row r="703" spans="1:19">
      <c r="A703" s="3227" t="s">
        <v>4695</v>
      </c>
      <c r="B703" s="3228">
        <v>35.909999999999997</v>
      </c>
      <c r="C703" s="3241">
        <f t="shared" si="114"/>
        <v>1</v>
      </c>
      <c r="D703" s="3237" t="s">
        <v>4009</v>
      </c>
      <c r="E703" s="3241">
        <f t="shared" si="105"/>
        <v>1</v>
      </c>
      <c r="F703" s="635"/>
      <c r="G703" s="3241">
        <f t="shared" si="106"/>
        <v>1</v>
      </c>
      <c r="H703" s="635"/>
      <c r="I703" s="3241">
        <f t="shared" si="107"/>
        <v>1</v>
      </c>
      <c r="J703" s="635"/>
      <c r="K703" s="3241">
        <f t="shared" si="108"/>
        <v>1</v>
      </c>
      <c r="L703" s="635"/>
      <c r="M703" s="3241">
        <f t="shared" si="109"/>
        <v>1</v>
      </c>
      <c r="N703" s="635"/>
      <c r="O703" s="3241">
        <f t="shared" si="110"/>
        <v>1</v>
      </c>
      <c r="P703" s="635"/>
      <c r="Q703" s="3241">
        <f t="shared" si="111"/>
        <v>1</v>
      </c>
      <c r="R703" s="3241">
        <f t="shared" ca="1" si="112"/>
        <v>5044</v>
      </c>
      <c r="S703" s="905">
        <f t="shared" ca="1" si="113"/>
        <v>18</v>
      </c>
    </row>
    <row r="704" spans="1:19">
      <c r="A704" s="3227" t="s">
        <v>5862</v>
      </c>
      <c r="B704" s="3228">
        <v>35.909999999999997</v>
      </c>
      <c r="C704" s="3241">
        <f t="shared" si="114"/>
        <v>1</v>
      </c>
      <c r="D704" s="3237" t="s">
        <v>5171</v>
      </c>
      <c r="E704" s="3241">
        <f t="shared" si="105"/>
        <v>1</v>
      </c>
      <c r="F704" s="635"/>
      <c r="G704" s="3241">
        <f t="shared" si="106"/>
        <v>1</v>
      </c>
      <c r="H704" s="635"/>
      <c r="I704" s="3241">
        <f t="shared" si="107"/>
        <v>1</v>
      </c>
      <c r="J704" s="635"/>
      <c r="K704" s="3241">
        <f t="shared" si="108"/>
        <v>1</v>
      </c>
      <c r="L704" s="635"/>
      <c r="M704" s="3241">
        <f t="shared" si="109"/>
        <v>1</v>
      </c>
      <c r="N704" s="635"/>
      <c r="O704" s="3241">
        <f t="shared" si="110"/>
        <v>1</v>
      </c>
      <c r="P704" s="635"/>
      <c r="Q704" s="3241">
        <f t="shared" si="111"/>
        <v>1</v>
      </c>
      <c r="R704" s="3241">
        <f t="shared" ca="1" si="112"/>
        <v>5044</v>
      </c>
      <c r="S704" s="905">
        <f t="shared" ca="1" si="113"/>
        <v>18</v>
      </c>
    </row>
    <row r="705" spans="1:19">
      <c r="A705" s="3227" t="s">
        <v>4697</v>
      </c>
      <c r="B705" s="3228">
        <v>35.909999999999997</v>
      </c>
      <c r="C705" s="3241">
        <f t="shared" si="114"/>
        <v>1</v>
      </c>
      <c r="D705" s="3237" t="s">
        <v>4009</v>
      </c>
      <c r="E705" s="3241">
        <f t="shared" si="105"/>
        <v>1</v>
      </c>
      <c r="F705" s="635"/>
      <c r="G705" s="3241">
        <f t="shared" si="106"/>
        <v>1</v>
      </c>
      <c r="H705" s="635"/>
      <c r="I705" s="3241">
        <f t="shared" si="107"/>
        <v>1</v>
      </c>
      <c r="J705" s="635"/>
      <c r="K705" s="3241">
        <f t="shared" si="108"/>
        <v>1</v>
      </c>
      <c r="L705" s="635"/>
      <c r="M705" s="3241">
        <f t="shared" si="109"/>
        <v>1</v>
      </c>
      <c r="N705" s="635"/>
      <c r="O705" s="3241">
        <f t="shared" si="110"/>
        <v>1</v>
      </c>
      <c r="P705" s="635"/>
      <c r="Q705" s="3241">
        <f t="shared" si="111"/>
        <v>1</v>
      </c>
      <c r="R705" s="3241">
        <f t="shared" ca="1" si="112"/>
        <v>5044</v>
      </c>
      <c r="S705" s="905">
        <f t="shared" ca="1" si="113"/>
        <v>18</v>
      </c>
    </row>
    <row r="706" spans="1:19">
      <c r="A706" s="3227" t="s">
        <v>5864</v>
      </c>
      <c r="B706" s="3228">
        <v>35.909999999999997</v>
      </c>
      <c r="C706" s="3241">
        <f t="shared" si="114"/>
        <v>1</v>
      </c>
      <c r="D706" s="3237" t="s">
        <v>5171</v>
      </c>
      <c r="E706" s="3241">
        <f t="shared" si="105"/>
        <v>1</v>
      </c>
      <c r="F706" s="635"/>
      <c r="G706" s="3241">
        <f t="shared" si="106"/>
        <v>1</v>
      </c>
      <c r="H706" s="635"/>
      <c r="I706" s="3241">
        <f t="shared" si="107"/>
        <v>1</v>
      </c>
      <c r="J706" s="635"/>
      <c r="K706" s="3241">
        <f t="shared" si="108"/>
        <v>1</v>
      </c>
      <c r="L706" s="635"/>
      <c r="M706" s="3241">
        <f t="shared" si="109"/>
        <v>1</v>
      </c>
      <c r="N706" s="635"/>
      <c r="O706" s="3241">
        <f t="shared" si="110"/>
        <v>1</v>
      </c>
      <c r="P706" s="635"/>
      <c r="Q706" s="3241">
        <f t="shared" si="111"/>
        <v>1</v>
      </c>
      <c r="R706" s="3241">
        <f t="shared" ca="1" si="112"/>
        <v>5044</v>
      </c>
      <c r="S706" s="905">
        <f t="shared" ca="1" si="113"/>
        <v>18</v>
      </c>
    </row>
    <row r="707" spans="1:19">
      <c r="A707" s="3227" t="s">
        <v>4699</v>
      </c>
      <c r="B707" s="3228">
        <v>35.909999999999997</v>
      </c>
      <c r="C707" s="3241">
        <f t="shared" si="114"/>
        <v>1</v>
      </c>
      <c r="D707" s="3237" t="s">
        <v>4009</v>
      </c>
      <c r="E707" s="3241">
        <f t="shared" si="105"/>
        <v>1</v>
      </c>
      <c r="F707" s="635"/>
      <c r="G707" s="3241">
        <f t="shared" si="106"/>
        <v>1</v>
      </c>
      <c r="H707" s="635"/>
      <c r="I707" s="3241">
        <f t="shared" si="107"/>
        <v>1</v>
      </c>
      <c r="J707" s="635"/>
      <c r="K707" s="3241">
        <f t="shared" si="108"/>
        <v>1</v>
      </c>
      <c r="L707" s="635"/>
      <c r="M707" s="3241">
        <f t="shared" si="109"/>
        <v>1</v>
      </c>
      <c r="N707" s="635"/>
      <c r="O707" s="3241">
        <f t="shared" si="110"/>
        <v>1</v>
      </c>
      <c r="P707" s="635"/>
      <c r="Q707" s="3241">
        <f t="shared" si="111"/>
        <v>1</v>
      </c>
      <c r="R707" s="3241">
        <f t="shared" ca="1" si="112"/>
        <v>5044</v>
      </c>
      <c r="S707" s="905">
        <f t="shared" ca="1" si="113"/>
        <v>18</v>
      </c>
    </row>
    <row r="708" spans="1:19">
      <c r="A708" s="3227" t="s">
        <v>5866</v>
      </c>
      <c r="B708" s="3228">
        <v>35.909999999999997</v>
      </c>
      <c r="C708" s="3241">
        <f t="shared" si="114"/>
        <v>1</v>
      </c>
      <c r="D708" s="3237" t="s">
        <v>5171</v>
      </c>
      <c r="E708" s="3241">
        <f t="shared" si="105"/>
        <v>1</v>
      </c>
      <c r="F708" s="635"/>
      <c r="G708" s="3241">
        <f t="shared" si="106"/>
        <v>1</v>
      </c>
      <c r="H708" s="635"/>
      <c r="I708" s="3241">
        <f t="shared" si="107"/>
        <v>1</v>
      </c>
      <c r="J708" s="635"/>
      <c r="K708" s="3241">
        <f t="shared" si="108"/>
        <v>1</v>
      </c>
      <c r="L708" s="635"/>
      <c r="M708" s="3241">
        <f t="shared" si="109"/>
        <v>1</v>
      </c>
      <c r="N708" s="635"/>
      <c r="O708" s="3241">
        <f t="shared" si="110"/>
        <v>1</v>
      </c>
      <c r="P708" s="635"/>
      <c r="Q708" s="3241">
        <f t="shared" si="111"/>
        <v>1</v>
      </c>
      <c r="R708" s="3241">
        <f t="shared" ca="1" si="112"/>
        <v>5044</v>
      </c>
      <c r="S708" s="905">
        <f t="shared" ca="1" si="113"/>
        <v>18</v>
      </c>
    </row>
    <row r="709" spans="1:19">
      <c r="A709" s="3227" t="s">
        <v>4701</v>
      </c>
      <c r="B709" s="3228">
        <v>33.04</v>
      </c>
      <c r="C709" s="3241">
        <f t="shared" si="114"/>
        <v>1</v>
      </c>
      <c r="D709" s="3237" t="s">
        <v>4009</v>
      </c>
      <c r="E709" s="3241">
        <f t="shared" si="105"/>
        <v>1</v>
      </c>
      <c r="F709" s="635"/>
      <c r="G709" s="3241">
        <f t="shared" si="106"/>
        <v>1</v>
      </c>
      <c r="H709" s="635"/>
      <c r="I709" s="3241">
        <f t="shared" si="107"/>
        <v>1</v>
      </c>
      <c r="J709" s="635"/>
      <c r="K709" s="3241">
        <f t="shared" si="108"/>
        <v>1</v>
      </c>
      <c r="L709" s="635"/>
      <c r="M709" s="3241">
        <f t="shared" si="109"/>
        <v>1</v>
      </c>
      <c r="N709" s="635"/>
      <c r="O709" s="3241">
        <f t="shared" si="110"/>
        <v>1</v>
      </c>
      <c r="P709" s="635"/>
      <c r="Q709" s="3241">
        <f t="shared" si="111"/>
        <v>1</v>
      </c>
      <c r="R709" s="3241">
        <f t="shared" ca="1" si="112"/>
        <v>5044</v>
      </c>
      <c r="S709" s="905">
        <f t="shared" ca="1" si="113"/>
        <v>17</v>
      </c>
    </row>
    <row r="710" spans="1:19">
      <c r="A710" s="3227" t="s">
        <v>5868</v>
      </c>
      <c r="B710" s="3228">
        <v>33.04</v>
      </c>
      <c r="C710" s="3241">
        <f t="shared" si="114"/>
        <v>1</v>
      </c>
      <c r="D710" s="3239" t="s">
        <v>5756</v>
      </c>
      <c r="E710" s="3241">
        <f t="shared" si="105"/>
        <v>1</v>
      </c>
      <c r="F710" s="635"/>
      <c r="G710" s="3241">
        <f t="shared" si="106"/>
        <v>1</v>
      </c>
      <c r="H710" s="635"/>
      <c r="I710" s="3241">
        <f t="shared" si="107"/>
        <v>1</v>
      </c>
      <c r="J710" s="635"/>
      <c r="K710" s="3241">
        <f t="shared" si="108"/>
        <v>1</v>
      </c>
      <c r="L710" s="635"/>
      <c r="M710" s="3241">
        <f t="shared" si="109"/>
        <v>1</v>
      </c>
      <c r="N710" s="635"/>
      <c r="O710" s="3241">
        <f t="shared" si="110"/>
        <v>1</v>
      </c>
      <c r="P710" s="635"/>
      <c r="Q710" s="3241">
        <f t="shared" si="111"/>
        <v>1</v>
      </c>
      <c r="R710" s="3241">
        <f t="shared" ca="1" si="112"/>
        <v>5044</v>
      </c>
      <c r="S710" s="905">
        <f t="shared" ca="1" si="113"/>
        <v>17</v>
      </c>
    </row>
    <row r="711" spans="1:19">
      <c r="A711" s="3227" t="s">
        <v>4703</v>
      </c>
      <c r="B711" s="3228">
        <v>33.04</v>
      </c>
      <c r="C711" s="3241">
        <f t="shared" si="114"/>
        <v>1</v>
      </c>
      <c r="D711" s="3237" t="s">
        <v>4009</v>
      </c>
      <c r="E711" s="3241">
        <f t="shared" si="105"/>
        <v>1</v>
      </c>
      <c r="F711" s="635"/>
      <c r="G711" s="3241">
        <f t="shared" si="106"/>
        <v>1</v>
      </c>
      <c r="H711" s="635"/>
      <c r="I711" s="3241">
        <f t="shared" si="107"/>
        <v>1</v>
      </c>
      <c r="J711" s="635"/>
      <c r="K711" s="3241">
        <f t="shared" si="108"/>
        <v>1</v>
      </c>
      <c r="L711" s="635"/>
      <c r="M711" s="3241">
        <f t="shared" si="109"/>
        <v>1</v>
      </c>
      <c r="N711" s="635"/>
      <c r="O711" s="3241">
        <f t="shared" si="110"/>
        <v>1</v>
      </c>
      <c r="P711" s="635"/>
      <c r="Q711" s="3241">
        <f t="shared" si="111"/>
        <v>1</v>
      </c>
      <c r="R711" s="3241">
        <f t="shared" ca="1" si="112"/>
        <v>5044</v>
      </c>
      <c r="S711" s="905">
        <f t="shared" ca="1" si="113"/>
        <v>17</v>
      </c>
    </row>
    <row r="712" spans="1:19">
      <c r="A712" s="3227" t="s">
        <v>5870</v>
      </c>
      <c r="B712" s="3228">
        <v>33.04</v>
      </c>
      <c r="C712" s="3241">
        <f t="shared" si="114"/>
        <v>1</v>
      </c>
      <c r="D712" s="3237" t="s">
        <v>5171</v>
      </c>
      <c r="E712" s="3241">
        <f t="shared" si="105"/>
        <v>1</v>
      </c>
      <c r="F712" s="635"/>
      <c r="G712" s="3241">
        <f t="shared" si="106"/>
        <v>1</v>
      </c>
      <c r="H712" s="635"/>
      <c r="I712" s="3241">
        <f t="shared" si="107"/>
        <v>1</v>
      </c>
      <c r="J712" s="635"/>
      <c r="K712" s="3241">
        <f t="shared" si="108"/>
        <v>1</v>
      </c>
      <c r="L712" s="635"/>
      <c r="M712" s="3241">
        <f t="shared" si="109"/>
        <v>1</v>
      </c>
      <c r="N712" s="635"/>
      <c r="O712" s="3241">
        <f t="shared" si="110"/>
        <v>1</v>
      </c>
      <c r="P712" s="635"/>
      <c r="Q712" s="3241">
        <f t="shared" si="111"/>
        <v>1</v>
      </c>
      <c r="R712" s="3241">
        <f t="shared" ca="1" si="112"/>
        <v>5044</v>
      </c>
      <c r="S712" s="905">
        <f t="shared" ca="1" si="113"/>
        <v>17</v>
      </c>
    </row>
    <row r="713" spans="1:19">
      <c r="A713" s="3227" t="s">
        <v>4705</v>
      </c>
      <c r="B713" s="3228">
        <v>33.04</v>
      </c>
      <c r="C713" s="3241">
        <f t="shared" si="114"/>
        <v>1</v>
      </c>
      <c r="D713" s="3237" t="s">
        <v>4009</v>
      </c>
      <c r="E713" s="3241">
        <f t="shared" si="105"/>
        <v>1</v>
      </c>
      <c r="F713" s="635"/>
      <c r="G713" s="3241">
        <f t="shared" si="106"/>
        <v>1</v>
      </c>
      <c r="H713" s="635"/>
      <c r="I713" s="3241">
        <f t="shared" si="107"/>
        <v>1</v>
      </c>
      <c r="J713" s="635"/>
      <c r="K713" s="3241">
        <f t="shared" si="108"/>
        <v>1</v>
      </c>
      <c r="L713" s="635"/>
      <c r="M713" s="3241">
        <f t="shared" si="109"/>
        <v>1</v>
      </c>
      <c r="N713" s="635"/>
      <c r="O713" s="3241">
        <f t="shared" si="110"/>
        <v>1</v>
      </c>
      <c r="P713" s="635"/>
      <c r="Q713" s="3241">
        <f t="shared" si="111"/>
        <v>1</v>
      </c>
      <c r="R713" s="3241">
        <f t="shared" ca="1" si="112"/>
        <v>5044</v>
      </c>
      <c r="S713" s="905">
        <f t="shared" ca="1" si="113"/>
        <v>17</v>
      </c>
    </row>
    <row r="714" spans="1:19">
      <c r="A714" s="3227" t="s">
        <v>5872</v>
      </c>
      <c r="B714" s="3228">
        <v>33.75</v>
      </c>
      <c r="C714" s="3241">
        <f t="shared" si="114"/>
        <v>1</v>
      </c>
      <c r="D714" s="3237" t="s">
        <v>5171</v>
      </c>
      <c r="E714" s="3241">
        <f t="shared" si="105"/>
        <v>1</v>
      </c>
      <c r="F714" s="635"/>
      <c r="G714" s="3241">
        <f t="shared" si="106"/>
        <v>1</v>
      </c>
      <c r="H714" s="635"/>
      <c r="I714" s="3241">
        <f t="shared" si="107"/>
        <v>1</v>
      </c>
      <c r="J714" s="635"/>
      <c r="K714" s="3241">
        <f t="shared" si="108"/>
        <v>1</v>
      </c>
      <c r="L714" s="635"/>
      <c r="M714" s="3241">
        <f t="shared" si="109"/>
        <v>1</v>
      </c>
      <c r="N714" s="635"/>
      <c r="O714" s="3241">
        <f t="shared" si="110"/>
        <v>1</v>
      </c>
      <c r="P714" s="635"/>
      <c r="Q714" s="3241">
        <f t="shared" si="111"/>
        <v>1</v>
      </c>
      <c r="R714" s="3241">
        <f t="shared" ca="1" si="112"/>
        <v>5044</v>
      </c>
      <c r="S714" s="905">
        <f t="shared" ca="1" si="113"/>
        <v>17</v>
      </c>
    </row>
    <row r="715" spans="1:19">
      <c r="A715" s="3227" t="s">
        <v>4707</v>
      </c>
      <c r="B715" s="3228">
        <v>33.75</v>
      </c>
      <c r="C715" s="3241">
        <f t="shared" si="114"/>
        <v>1</v>
      </c>
      <c r="D715" s="3237" t="s">
        <v>4009</v>
      </c>
      <c r="E715" s="3241">
        <f t="shared" si="105"/>
        <v>1</v>
      </c>
      <c r="F715" s="635"/>
      <c r="G715" s="3241">
        <f t="shared" si="106"/>
        <v>1</v>
      </c>
      <c r="H715" s="635"/>
      <c r="I715" s="3241">
        <f t="shared" si="107"/>
        <v>1</v>
      </c>
      <c r="J715" s="635"/>
      <c r="K715" s="3241">
        <f t="shared" si="108"/>
        <v>1</v>
      </c>
      <c r="L715" s="635"/>
      <c r="M715" s="3241">
        <f t="shared" si="109"/>
        <v>1</v>
      </c>
      <c r="N715" s="635"/>
      <c r="O715" s="3241">
        <f t="shared" si="110"/>
        <v>1</v>
      </c>
      <c r="P715" s="635"/>
      <c r="Q715" s="3241">
        <f t="shared" si="111"/>
        <v>1</v>
      </c>
      <c r="R715" s="3241">
        <f t="shared" ca="1" si="112"/>
        <v>5044</v>
      </c>
      <c r="S715" s="905">
        <f t="shared" ca="1" si="113"/>
        <v>17</v>
      </c>
    </row>
    <row r="716" spans="1:19">
      <c r="A716" s="3227" t="s">
        <v>5874</v>
      </c>
      <c r="B716" s="3228">
        <v>34.46</v>
      </c>
      <c r="C716" s="3241">
        <f t="shared" si="114"/>
        <v>1</v>
      </c>
      <c r="D716" s="3237" t="s">
        <v>5171</v>
      </c>
      <c r="E716" s="3241">
        <f t="shared" si="105"/>
        <v>1</v>
      </c>
      <c r="F716" s="635"/>
      <c r="G716" s="3241">
        <f t="shared" si="106"/>
        <v>1</v>
      </c>
      <c r="H716" s="635"/>
      <c r="I716" s="3241">
        <f t="shared" si="107"/>
        <v>1</v>
      </c>
      <c r="J716" s="635"/>
      <c r="K716" s="3241">
        <f t="shared" si="108"/>
        <v>1</v>
      </c>
      <c r="L716" s="635"/>
      <c r="M716" s="3241">
        <f t="shared" si="109"/>
        <v>1</v>
      </c>
      <c r="N716" s="635"/>
      <c r="O716" s="3241">
        <f t="shared" si="110"/>
        <v>1</v>
      </c>
      <c r="P716" s="635"/>
      <c r="Q716" s="3241">
        <f t="shared" si="111"/>
        <v>1</v>
      </c>
      <c r="R716" s="3241">
        <f t="shared" ca="1" si="112"/>
        <v>5044</v>
      </c>
      <c r="S716" s="905">
        <f t="shared" ca="1" si="113"/>
        <v>17</v>
      </c>
    </row>
    <row r="717" spans="1:19">
      <c r="A717" s="3227" t="s">
        <v>4709</v>
      </c>
      <c r="B717" s="3228">
        <v>34.46</v>
      </c>
      <c r="C717" s="3241">
        <f t="shared" si="114"/>
        <v>1</v>
      </c>
      <c r="D717" s="3237" t="s">
        <v>4009</v>
      </c>
      <c r="E717" s="3241">
        <f t="shared" ref="E717:E780" si="115">(SUMIF($5:$5,D717,$6:$6)-SUMIF($5:$5,$D$24,$6:$6)+100)/100</f>
        <v>1</v>
      </c>
      <c r="F717" s="635"/>
      <c r="G717" s="3241">
        <f t="shared" ref="G717:G780" si="116">(SUMIF($7:$7,F717,$8:$8)-SUMIF($7:$7,$F$24,$8:$8)+100)/100</f>
        <v>1</v>
      </c>
      <c r="H717" s="635"/>
      <c r="I717" s="3241">
        <f t="shared" ref="I717:I780" si="117">(SUMIF($9:$9,H717,$10:$10)-SUMIF($9:$9,$H$24,$10:$10)+100)/100</f>
        <v>1</v>
      </c>
      <c r="J717" s="635"/>
      <c r="K717" s="3241">
        <f t="shared" ref="K717:K780" si="118">(SUMIF($11:$11,J717,$12:$12)-SUMIF($11:$11,$J$24,$12:$12)+100)/100</f>
        <v>1</v>
      </c>
      <c r="L717" s="635"/>
      <c r="M717" s="3241">
        <f t="shared" ref="M717:M780" si="119">(SUMIF($13:$13,L717,$14:$14)-SUMIF($13:$13,$L$24,$14:$14)+100)/100</f>
        <v>1</v>
      </c>
      <c r="N717" s="635"/>
      <c r="O717" s="3241">
        <f t="shared" ref="O717:O780" si="120">(SUMIF($15:$15,N717,$16:$16)-SUMIF($15:$15,$N$24,$16:$16)+100)/100</f>
        <v>1</v>
      </c>
      <c r="P717" s="635"/>
      <c r="Q717" s="3241">
        <f t="shared" ref="Q717:Q780" si="121">(SUMIF($17:$17,P717,$18:$18)-SUMIF($17:$17,$P$24,$18:$18)+100)/100</f>
        <v>1</v>
      </c>
      <c r="R717" s="3241">
        <f t="shared" ref="R717:R780" ca="1" si="122">IF(B717="",0,ROUND($R$24*C717*E717*G717*I717*K717*M717*O717*Q717,0))</f>
        <v>5044</v>
      </c>
      <c r="S717" s="905">
        <f t="shared" ref="S717:S780" ca="1" si="123">ROUND(R717*B717/10000,0)</f>
        <v>17</v>
      </c>
    </row>
    <row r="718" spans="1:19">
      <c r="A718" s="3227" t="s">
        <v>5876</v>
      </c>
      <c r="B718" s="3228">
        <v>34.46</v>
      </c>
      <c r="C718" s="3241">
        <f t="shared" si="114"/>
        <v>1</v>
      </c>
      <c r="D718" s="3237" t="s">
        <v>5171</v>
      </c>
      <c r="E718" s="3241">
        <f t="shared" si="115"/>
        <v>1</v>
      </c>
      <c r="F718" s="635"/>
      <c r="G718" s="3241">
        <f t="shared" si="116"/>
        <v>1</v>
      </c>
      <c r="H718" s="635"/>
      <c r="I718" s="3241">
        <f t="shared" si="117"/>
        <v>1</v>
      </c>
      <c r="J718" s="635"/>
      <c r="K718" s="3241">
        <f t="shared" si="118"/>
        <v>1</v>
      </c>
      <c r="L718" s="635"/>
      <c r="M718" s="3241">
        <f t="shared" si="119"/>
        <v>1</v>
      </c>
      <c r="N718" s="635"/>
      <c r="O718" s="3241">
        <f t="shared" si="120"/>
        <v>1</v>
      </c>
      <c r="P718" s="635"/>
      <c r="Q718" s="3241">
        <f t="shared" si="121"/>
        <v>1</v>
      </c>
      <c r="R718" s="3241">
        <f t="shared" ca="1" si="122"/>
        <v>5044</v>
      </c>
      <c r="S718" s="905">
        <f t="shared" ca="1" si="123"/>
        <v>17</v>
      </c>
    </row>
    <row r="719" spans="1:19">
      <c r="A719" s="3227" t="s">
        <v>4711</v>
      </c>
      <c r="B719" s="3228">
        <v>34.46</v>
      </c>
      <c r="C719" s="3241">
        <f t="shared" si="114"/>
        <v>1</v>
      </c>
      <c r="D719" s="3237" t="s">
        <v>4009</v>
      </c>
      <c r="E719" s="3241">
        <f t="shared" si="115"/>
        <v>1</v>
      </c>
      <c r="F719" s="635"/>
      <c r="G719" s="3241">
        <f t="shared" si="116"/>
        <v>1</v>
      </c>
      <c r="H719" s="635"/>
      <c r="I719" s="3241">
        <f t="shared" si="117"/>
        <v>1</v>
      </c>
      <c r="J719" s="635"/>
      <c r="K719" s="3241">
        <f t="shared" si="118"/>
        <v>1</v>
      </c>
      <c r="L719" s="635"/>
      <c r="M719" s="3241">
        <f t="shared" si="119"/>
        <v>1</v>
      </c>
      <c r="N719" s="635"/>
      <c r="O719" s="3241">
        <f t="shared" si="120"/>
        <v>1</v>
      </c>
      <c r="P719" s="635"/>
      <c r="Q719" s="3241">
        <f t="shared" si="121"/>
        <v>1</v>
      </c>
      <c r="R719" s="3241">
        <f t="shared" ca="1" si="122"/>
        <v>5044</v>
      </c>
      <c r="S719" s="905">
        <f t="shared" ca="1" si="123"/>
        <v>17</v>
      </c>
    </row>
    <row r="720" spans="1:19">
      <c r="A720" s="3227" t="s">
        <v>5878</v>
      </c>
      <c r="B720" s="3228">
        <v>34.46</v>
      </c>
      <c r="C720" s="3241">
        <f t="shared" si="114"/>
        <v>1</v>
      </c>
      <c r="D720" s="3237" t="s">
        <v>5171</v>
      </c>
      <c r="E720" s="3241">
        <f t="shared" si="115"/>
        <v>1</v>
      </c>
      <c r="F720" s="635"/>
      <c r="G720" s="3241">
        <f t="shared" si="116"/>
        <v>1</v>
      </c>
      <c r="H720" s="635"/>
      <c r="I720" s="3241">
        <f t="shared" si="117"/>
        <v>1</v>
      </c>
      <c r="J720" s="635"/>
      <c r="K720" s="3241">
        <f t="shared" si="118"/>
        <v>1</v>
      </c>
      <c r="L720" s="635"/>
      <c r="M720" s="3241">
        <f t="shared" si="119"/>
        <v>1</v>
      </c>
      <c r="N720" s="635"/>
      <c r="O720" s="3241">
        <f t="shared" si="120"/>
        <v>1</v>
      </c>
      <c r="P720" s="635"/>
      <c r="Q720" s="3241">
        <f t="shared" si="121"/>
        <v>1</v>
      </c>
      <c r="R720" s="3241">
        <f t="shared" ca="1" si="122"/>
        <v>5044</v>
      </c>
      <c r="S720" s="905">
        <f t="shared" ca="1" si="123"/>
        <v>17</v>
      </c>
    </row>
    <row r="721" spans="1:19">
      <c r="A721" s="3227" t="s">
        <v>4713</v>
      </c>
      <c r="B721" s="3228">
        <v>34.46</v>
      </c>
      <c r="C721" s="3241">
        <f t="shared" si="114"/>
        <v>1</v>
      </c>
      <c r="D721" s="3237" t="s">
        <v>4009</v>
      </c>
      <c r="E721" s="3241">
        <f t="shared" si="115"/>
        <v>1</v>
      </c>
      <c r="F721" s="635"/>
      <c r="G721" s="3241">
        <f t="shared" si="116"/>
        <v>1</v>
      </c>
      <c r="H721" s="635"/>
      <c r="I721" s="3241">
        <f t="shared" si="117"/>
        <v>1</v>
      </c>
      <c r="J721" s="635"/>
      <c r="K721" s="3241">
        <f t="shared" si="118"/>
        <v>1</v>
      </c>
      <c r="L721" s="635"/>
      <c r="M721" s="3241">
        <f t="shared" si="119"/>
        <v>1</v>
      </c>
      <c r="N721" s="635"/>
      <c r="O721" s="3241">
        <f t="shared" si="120"/>
        <v>1</v>
      </c>
      <c r="P721" s="635"/>
      <c r="Q721" s="3241">
        <f t="shared" si="121"/>
        <v>1</v>
      </c>
      <c r="R721" s="3241">
        <f t="shared" ca="1" si="122"/>
        <v>5044</v>
      </c>
      <c r="S721" s="905">
        <f t="shared" ca="1" si="123"/>
        <v>17</v>
      </c>
    </row>
    <row r="722" spans="1:19">
      <c r="A722" s="3227" t="s">
        <v>5880</v>
      </c>
      <c r="B722" s="3228">
        <v>34.46</v>
      </c>
      <c r="C722" s="3241">
        <f t="shared" si="114"/>
        <v>1</v>
      </c>
      <c r="D722" s="3237" t="s">
        <v>5171</v>
      </c>
      <c r="E722" s="3241">
        <f t="shared" si="115"/>
        <v>1</v>
      </c>
      <c r="F722" s="635"/>
      <c r="G722" s="3241">
        <f t="shared" si="116"/>
        <v>1</v>
      </c>
      <c r="H722" s="635"/>
      <c r="I722" s="3241">
        <f t="shared" si="117"/>
        <v>1</v>
      </c>
      <c r="J722" s="635"/>
      <c r="K722" s="3241">
        <f t="shared" si="118"/>
        <v>1</v>
      </c>
      <c r="L722" s="635"/>
      <c r="M722" s="3241">
        <f t="shared" si="119"/>
        <v>1</v>
      </c>
      <c r="N722" s="635"/>
      <c r="O722" s="3241">
        <f t="shared" si="120"/>
        <v>1</v>
      </c>
      <c r="P722" s="635"/>
      <c r="Q722" s="3241">
        <f t="shared" si="121"/>
        <v>1</v>
      </c>
      <c r="R722" s="3241">
        <f t="shared" ca="1" si="122"/>
        <v>5044</v>
      </c>
      <c r="S722" s="905">
        <f t="shared" ca="1" si="123"/>
        <v>17</v>
      </c>
    </row>
    <row r="723" spans="1:19">
      <c r="A723" s="3227" t="s">
        <v>4715</v>
      </c>
      <c r="B723" s="3228">
        <v>34.46</v>
      </c>
      <c r="C723" s="3241">
        <f t="shared" si="114"/>
        <v>1</v>
      </c>
      <c r="D723" s="3237" t="s">
        <v>4009</v>
      </c>
      <c r="E723" s="3241">
        <f t="shared" si="115"/>
        <v>1</v>
      </c>
      <c r="F723" s="635"/>
      <c r="G723" s="3241">
        <f t="shared" si="116"/>
        <v>1</v>
      </c>
      <c r="H723" s="635"/>
      <c r="I723" s="3241">
        <f t="shared" si="117"/>
        <v>1</v>
      </c>
      <c r="J723" s="635"/>
      <c r="K723" s="3241">
        <f t="shared" si="118"/>
        <v>1</v>
      </c>
      <c r="L723" s="635"/>
      <c r="M723" s="3241">
        <f t="shared" si="119"/>
        <v>1</v>
      </c>
      <c r="N723" s="635"/>
      <c r="O723" s="3241">
        <f t="shared" si="120"/>
        <v>1</v>
      </c>
      <c r="P723" s="635"/>
      <c r="Q723" s="3241">
        <f t="shared" si="121"/>
        <v>1</v>
      </c>
      <c r="R723" s="3241">
        <f t="shared" ca="1" si="122"/>
        <v>5044</v>
      </c>
      <c r="S723" s="905">
        <f t="shared" ca="1" si="123"/>
        <v>17</v>
      </c>
    </row>
    <row r="724" spans="1:19">
      <c r="A724" s="3227" t="s">
        <v>5882</v>
      </c>
      <c r="B724" s="3228">
        <v>34.46</v>
      </c>
      <c r="C724" s="3241">
        <f t="shared" si="114"/>
        <v>1</v>
      </c>
      <c r="D724" s="3237" t="s">
        <v>5171</v>
      </c>
      <c r="E724" s="3241">
        <f t="shared" si="115"/>
        <v>1</v>
      </c>
      <c r="F724" s="635"/>
      <c r="G724" s="3241">
        <f t="shared" si="116"/>
        <v>1</v>
      </c>
      <c r="H724" s="635"/>
      <c r="I724" s="3241">
        <f t="shared" si="117"/>
        <v>1</v>
      </c>
      <c r="J724" s="635"/>
      <c r="K724" s="3241">
        <f t="shared" si="118"/>
        <v>1</v>
      </c>
      <c r="L724" s="635"/>
      <c r="M724" s="3241">
        <f t="shared" si="119"/>
        <v>1</v>
      </c>
      <c r="N724" s="635"/>
      <c r="O724" s="3241">
        <f t="shared" si="120"/>
        <v>1</v>
      </c>
      <c r="P724" s="635"/>
      <c r="Q724" s="3241">
        <f t="shared" si="121"/>
        <v>1</v>
      </c>
      <c r="R724" s="3241">
        <f t="shared" ca="1" si="122"/>
        <v>5044</v>
      </c>
      <c r="S724" s="905">
        <f t="shared" ca="1" si="123"/>
        <v>17</v>
      </c>
    </row>
    <row r="725" spans="1:19">
      <c r="A725" s="3227" t="s">
        <v>4717</v>
      </c>
      <c r="B725" s="3228">
        <v>34.46</v>
      </c>
      <c r="C725" s="3241">
        <f t="shared" si="114"/>
        <v>1</v>
      </c>
      <c r="D725" s="3237" t="s">
        <v>4009</v>
      </c>
      <c r="E725" s="3241">
        <f t="shared" si="115"/>
        <v>1</v>
      </c>
      <c r="F725" s="635"/>
      <c r="G725" s="3241">
        <f t="shared" si="116"/>
        <v>1</v>
      </c>
      <c r="H725" s="635"/>
      <c r="I725" s="3241">
        <f t="shared" si="117"/>
        <v>1</v>
      </c>
      <c r="J725" s="635"/>
      <c r="K725" s="3241">
        <f t="shared" si="118"/>
        <v>1</v>
      </c>
      <c r="L725" s="635"/>
      <c r="M725" s="3241">
        <f t="shared" si="119"/>
        <v>1</v>
      </c>
      <c r="N725" s="635"/>
      <c r="O725" s="3241">
        <f t="shared" si="120"/>
        <v>1</v>
      </c>
      <c r="P725" s="635"/>
      <c r="Q725" s="3241">
        <f t="shared" si="121"/>
        <v>1</v>
      </c>
      <c r="R725" s="3241">
        <f t="shared" ca="1" si="122"/>
        <v>5044</v>
      </c>
      <c r="S725" s="905">
        <f t="shared" ca="1" si="123"/>
        <v>17</v>
      </c>
    </row>
    <row r="726" spans="1:19">
      <c r="A726" s="3227" t="s">
        <v>5884</v>
      </c>
      <c r="B726" s="3228">
        <v>33.04</v>
      </c>
      <c r="C726" s="3241">
        <f t="shared" si="114"/>
        <v>1</v>
      </c>
      <c r="D726" s="3237" t="s">
        <v>5171</v>
      </c>
      <c r="E726" s="3241">
        <f t="shared" si="115"/>
        <v>1</v>
      </c>
      <c r="F726" s="635"/>
      <c r="G726" s="3241">
        <f t="shared" si="116"/>
        <v>1</v>
      </c>
      <c r="H726" s="635"/>
      <c r="I726" s="3241">
        <f t="shared" si="117"/>
        <v>1</v>
      </c>
      <c r="J726" s="635"/>
      <c r="K726" s="3241">
        <f t="shared" si="118"/>
        <v>1</v>
      </c>
      <c r="L726" s="635"/>
      <c r="M726" s="3241">
        <f t="shared" si="119"/>
        <v>1</v>
      </c>
      <c r="N726" s="635"/>
      <c r="O726" s="3241">
        <f t="shared" si="120"/>
        <v>1</v>
      </c>
      <c r="P726" s="635"/>
      <c r="Q726" s="3241">
        <f t="shared" si="121"/>
        <v>1</v>
      </c>
      <c r="R726" s="3241">
        <f t="shared" ca="1" si="122"/>
        <v>5044</v>
      </c>
      <c r="S726" s="905">
        <f t="shared" ca="1" si="123"/>
        <v>17</v>
      </c>
    </row>
    <row r="727" spans="1:19">
      <c r="A727" s="3227" t="s">
        <v>4719</v>
      </c>
      <c r="B727" s="3228">
        <v>33.04</v>
      </c>
      <c r="C727" s="3241">
        <f t="shared" si="114"/>
        <v>1</v>
      </c>
      <c r="D727" s="3237" t="s">
        <v>4009</v>
      </c>
      <c r="E727" s="3241">
        <f t="shared" si="115"/>
        <v>1</v>
      </c>
      <c r="F727" s="635"/>
      <c r="G727" s="3241">
        <f t="shared" si="116"/>
        <v>1</v>
      </c>
      <c r="H727" s="635"/>
      <c r="I727" s="3241">
        <f t="shared" si="117"/>
        <v>1</v>
      </c>
      <c r="J727" s="635"/>
      <c r="K727" s="3241">
        <f t="shared" si="118"/>
        <v>1</v>
      </c>
      <c r="L727" s="635"/>
      <c r="M727" s="3241">
        <f t="shared" si="119"/>
        <v>1</v>
      </c>
      <c r="N727" s="635"/>
      <c r="O727" s="3241">
        <f t="shared" si="120"/>
        <v>1</v>
      </c>
      <c r="P727" s="635"/>
      <c r="Q727" s="3241">
        <f t="shared" si="121"/>
        <v>1</v>
      </c>
      <c r="R727" s="3241">
        <f t="shared" ca="1" si="122"/>
        <v>5044</v>
      </c>
      <c r="S727" s="905">
        <f t="shared" ca="1" si="123"/>
        <v>17</v>
      </c>
    </row>
    <row r="728" spans="1:19">
      <c r="A728" s="3227" t="s">
        <v>5886</v>
      </c>
      <c r="B728" s="3228">
        <v>33.04</v>
      </c>
      <c r="C728" s="3241">
        <f t="shared" si="114"/>
        <v>1</v>
      </c>
      <c r="D728" s="3237" t="s">
        <v>5171</v>
      </c>
      <c r="E728" s="3241">
        <f t="shared" si="115"/>
        <v>1</v>
      </c>
      <c r="F728" s="635"/>
      <c r="G728" s="3241">
        <f t="shared" si="116"/>
        <v>1</v>
      </c>
      <c r="H728" s="635"/>
      <c r="I728" s="3241">
        <f t="shared" si="117"/>
        <v>1</v>
      </c>
      <c r="J728" s="635"/>
      <c r="K728" s="3241">
        <f t="shared" si="118"/>
        <v>1</v>
      </c>
      <c r="L728" s="635"/>
      <c r="M728" s="3241">
        <f t="shared" si="119"/>
        <v>1</v>
      </c>
      <c r="N728" s="635"/>
      <c r="O728" s="3241">
        <f t="shared" si="120"/>
        <v>1</v>
      </c>
      <c r="P728" s="635"/>
      <c r="Q728" s="3241">
        <f t="shared" si="121"/>
        <v>1</v>
      </c>
      <c r="R728" s="3241">
        <f t="shared" ca="1" si="122"/>
        <v>5044</v>
      </c>
      <c r="S728" s="905">
        <f t="shared" ca="1" si="123"/>
        <v>17</v>
      </c>
    </row>
    <row r="729" spans="1:19">
      <c r="A729" s="3227" t="s">
        <v>4721</v>
      </c>
      <c r="B729" s="3228">
        <v>33.04</v>
      </c>
      <c r="C729" s="3241">
        <f t="shared" si="114"/>
        <v>1</v>
      </c>
      <c r="D729" s="3237" t="s">
        <v>4009</v>
      </c>
      <c r="E729" s="3241">
        <f t="shared" si="115"/>
        <v>1</v>
      </c>
      <c r="F729" s="635"/>
      <c r="G729" s="3241">
        <f t="shared" si="116"/>
        <v>1</v>
      </c>
      <c r="H729" s="635"/>
      <c r="I729" s="3241">
        <f t="shared" si="117"/>
        <v>1</v>
      </c>
      <c r="J729" s="635"/>
      <c r="K729" s="3241">
        <f t="shared" si="118"/>
        <v>1</v>
      </c>
      <c r="L729" s="635"/>
      <c r="M729" s="3241">
        <f t="shared" si="119"/>
        <v>1</v>
      </c>
      <c r="N729" s="635"/>
      <c r="O729" s="3241">
        <f t="shared" si="120"/>
        <v>1</v>
      </c>
      <c r="P729" s="635"/>
      <c r="Q729" s="3241">
        <f t="shared" si="121"/>
        <v>1</v>
      </c>
      <c r="R729" s="3241">
        <f t="shared" ca="1" si="122"/>
        <v>5044</v>
      </c>
      <c r="S729" s="905">
        <f t="shared" ca="1" si="123"/>
        <v>17</v>
      </c>
    </row>
    <row r="730" spans="1:19">
      <c r="A730" s="3227" t="s">
        <v>5888</v>
      </c>
      <c r="B730" s="3228">
        <v>33.04</v>
      </c>
      <c r="C730" s="3241">
        <f t="shared" ref="C730:C793" si="124">IF(B730="",1,(LOOKUP(B730,$3:$3,$4:$4)-LOOKUP($B$24,$3:$3,$4:$4)+100)/100)</f>
        <v>1</v>
      </c>
      <c r="D730" s="3237" t="s">
        <v>5171</v>
      </c>
      <c r="E730" s="3241">
        <f t="shared" si="115"/>
        <v>1</v>
      </c>
      <c r="F730" s="635"/>
      <c r="G730" s="3241">
        <f t="shared" si="116"/>
        <v>1</v>
      </c>
      <c r="H730" s="635"/>
      <c r="I730" s="3241">
        <f t="shared" si="117"/>
        <v>1</v>
      </c>
      <c r="J730" s="635"/>
      <c r="K730" s="3241">
        <f t="shared" si="118"/>
        <v>1</v>
      </c>
      <c r="L730" s="635"/>
      <c r="M730" s="3241">
        <f t="shared" si="119"/>
        <v>1</v>
      </c>
      <c r="N730" s="635"/>
      <c r="O730" s="3241">
        <f t="shared" si="120"/>
        <v>1</v>
      </c>
      <c r="P730" s="635"/>
      <c r="Q730" s="3241">
        <f t="shared" si="121"/>
        <v>1</v>
      </c>
      <c r="R730" s="3241">
        <f t="shared" ca="1" si="122"/>
        <v>5044</v>
      </c>
      <c r="S730" s="905">
        <f t="shared" ca="1" si="123"/>
        <v>17</v>
      </c>
    </row>
    <row r="731" spans="1:19">
      <c r="A731" s="3227" t="s">
        <v>4723</v>
      </c>
      <c r="B731" s="3228">
        <v>33.04</v>
      </c>
      <c r="C731" s="3241">
        <f t="shared" si="124"/>
        <v>1</v>
      </c>
      <c r="D731" s="3237" t="s">
        <v>4009</v>
      </c>
      <c r="E731" s="3241">
        <f t="shared" si="115"/>
        <v>1</v>
      </c>
      <c r="F731" s="635"/>
      <c r="G731" s="3241">
        <f t="shared" si="116"/>
        <v>1</v>
      </c>
      <c r="H731" s="635"/>
      <c r="I731" s="3241">
        <f t="shared" si="117"/>
        <v>1</v>
      </c>
      <c r="J731" s="635"/>
      <c r="K731" s="3241">
        <f t="shared" si="118"/>
        <v>1</v>
      </c>
      <c r="L731" s="635"/>
      <c r="M731" s="3241">
        <f t="shared" si="119"/>
        <v>1</v>
      </c>
      <c r="N731" s="635"/>
      <c r="O731" s="3241">
        <f t="shared" si="120"/>
        <v>1</v>
      </c>
      <c r="P731" s="635"/>
      <c r="Q731" s="3241">
        <f t="shared" si="121"/>
        <v>1</v>
      </c>
      <c r="R731" s="3241">
        <f t="shared" ca="1" si="122"/>
        <v>5044</v>
      </c>
      <c r="S731" s="905">
        <f t="shared" ca="1" si="123"/>
        <v>17</v>
      </c>
    </row>
    <row r="732" spans="1:19">
      <c r="A732" s="3227" t="s">
        <v>5890</v>
      </c>
      <c r="B732" s="3228">
        <v>33.04</v>
      </c>
      <c r="C732" s="3241">
        <f t="shared" si="124"/>
        <v>1</v>
      </c>
      <c r="D732" s="3237" t="s">
        <v>5171</v>
      </c>
      <c r="E732" s="3241">
        <f t="shared" si="115"/>
        <v>1</v>
      </c>
      <c r="F732" s="635"/>
      <c r="G732" s="3241">
        <f t="shared" si="116"/>
        <v>1</v>
      </c>
      <c r="H732" s="635"/>
      <c r="I732" s="3241">
        <f t="shared" si="117"/>
        <v>1</v>
      </c>
      <c r="J732" s="635"/>
      <c r="K732" s="3241">
        <f t="shared" si="118"/>
        <v>1</v>
      </c>
      <c r="L732" s="635"/>
      <c r="M732" s="3241">
        <f t="shared" si="119"/>
        <v>1</v>
      </c>
      <c r="N732" s="635"/>
      <c r="O732" s="3241">
        <f t="shared" si="120"/>
        <v>1</v>
      </c>
      <c r="P732" s="635"/>
      <c r="Q732" s="3241">
        <f t="shared" si="121"/>
        <v>1</v>
      </c>
      <c r="R732" s="3241">
        <f t="shared" ca="1" si="122"/>
        <v>5044</v>
      </c>
      <c r="S732" s="905">
        <f t="shared" ca="1" si="123"/>
        <v>17</v>
      </c>
    </row>
    <row r="733" spans="1:19">
      <c r="A733" s="3227" t="s">
        <v>4725</v>
      </c>
      <c r="B733" s="3228">
        <v>33.04</v>
      </c>
      <c r="C733" s="3241">
        <f t="shared" si="124"/>
        <v>1</v>
      </c>
      <c r="D733" s="3237" t="s">
        <v>4009</v>
      </c>
      <c r="E733" s="3241">
        <f t="shared" si="115"/>
        <v>1</v>
      </c>
      <c r="F733" s="635"/>
      <c r="G733" s="3241">
        <f t="shared" si="116"/>
        <v>1</v>
      </c>
      <c r="H733" s="635"/>
      <c r="I733" s="3241">
        <f t="shared" si="117"/>
        <v>1</v>
      </c>
      <c r="J733" s="635"/>
      <c r="K733" s="3241">
        <f t="shared" si="118"/>
        <v>1</v>
      </c>
      <c r="L733" s="635"/>
      <c r="M733" s="3241">
        <f t="shared" si="119"/>
        <v>1</v>
      </c>
      <c r="N733" s="635"/>
      <c r="O733" s="3241">
        <f t="shared" si="120"/>
        <v>1</v>
      </c>
      <c r="P733" s="635"/>
      <c r="Q733" s="3241">
        <f t="shared" si="121"/>
        <v>1</v>
      </c>
      <c r="R733" s="3241">
        <f t="shared" ca="1" si="122"/>
        <v>5044</v>
      </c>
      <c r="S733" s="905">
        <f t="shared" ca="1" si="123"/>
        <v>17</v>
      </c>
    </row>
    <row r="734" spans="1:19">
      <c r="A734" s="3227" t="s">
        <v>5892</v>
      </c>
      <c r="B734" s="3228">
        <v>33.04</v>
      </c>
      <c r="C734" s="3241">
        <f t="shared" si="124"/>
        <v>1</v>
      </c>
      <c r="D734" s="3237" t="s">
        <v>5171</v>
      </c>
      <c r="E734" s="3241">
        <f t="shared" si="115"/>
        <v>1</v>
      </c>
      <c r="F734" s="635"/>
      <c r="G734" s="3241">
        <f t="shared" si="116"/>
        <v>1</v>
      </c>
      <c r="H734" s="635"/>
      <c r="I734" s="3241">
        <f t="shared" si="117"/>
        <v>1</v>
      </c>
      <c r="J734" s="635"/>
      <c r="K734" s="3241">
        <f t="shared" si="118"/>
        <v>1</v>
      </c>
      <c r="L734" s="635"/>
      <c r="M734" s="3241">
        <f t="shared" si="119"/>
        <v>1</v>
      </c>
      <c r="N734" s="635"/>
      <c r="O734" s="3241">
        <f t="shared" si="120"/>
        <v>1</v>
      </c>
      <c r="P734" s="635"/>
      <c r="Q734" s="3241">
        <f t="shared" si="121"/>
        <v>1</v>
      </c>
      <c r="R734" s="3241">
        <f t="shared" ca="1" si="122"/>
        <v>5044</v>
      </c>
      <c r="S734" s="905">
        <f t="shared" ca="1" si="123"/>
        <v>17</v>
      </c>
    </row>
    <row r="735" spans="1:19">
      <c r="A735" s="3227" t="s">
        <v>4727</v>
      </c>
      <c r="B735" s="3228">
        <v>33.04</v>
      </c>
      <c r="C735" s="3241">
        <f t="shared" si="124"/>
        <v>1</v>
      </c>
      <c r="D735" s="3237" t="s">
        <v>4009</v>
      </c>
      <c r="E735" s="3241">
        <f t="shared" si="115"/>
        <v>1</v>
      </c>
      <c r="F735" s="635"/>
      <c r="G735" s="3241">
        <f t="shared" si="116"/>
        <v>1</v>
      </c>
      <c r="H735" s="635"/>
      <c r="I735" s="3241">
        <f t="shared" si="117"/>
        <v>1</v>
      </c>
      <c r="J735" s="635"/>
      <c r="K735" s="3241">
        <f t="shared" si="118"/>
        <v>1</v>
      </c>
      <c r="L735" s="635"/>
      <c r="M735" s="3241">
        <f t="shared" si="119"/>
        <v>1</v>
      </c>
      <c r="N735" s="635"/>
      <c r="O735" s="3241">
        <f t="shared" si="120"/>
        <v>1</v>
      </c>
      <c r="P735" s="635"/>
      <c r="Q735" s="3241">
        <f t="shared" si="121"/>
        <v>1</v>
      </c>
      <c r="R735" s="3241">
        <f t="shared" ca="1" si="122"/>
        <v>5044</v>
      </c>
      <c r="S735" s="905">
        <f t="shared" ca="1" si="123"/>
        <v>17</v>
      </c>
    </row>
    <row r="736" spans="1:19">
      <c r="A736" s="3227" t="s">
        <v>5894</v>
      </c>
      <c r="B736" s="3228">
        <v>33.04</v>
      </c>
      <c r="C736" s="3241">
        <f t="shared" si="124"/>
        <v>1</v>
      </c>
      <c r="D736" s="3237" t="s">
        <v>5171</v>
      </c>
      <c r="E736" s="3241">
        <f t="shared" si="115"/>
        <v>1</v>
      </c>
      <c r="F736" s="635"/>
      <c r="G736" s="3241">
        <f t="shared" si="116"/>
        <v>1</v>
      </c>
      <c r="H736" s="635"/>
      <c r="I736" s="3241">
        <f t="shared" si="117"/>
        <v>1</v>
      </c>
      <c r="J736" s="635"/>
      <c r="K736" s="3241">
        <f t="shared" si="118"/>
        <v>1</v>
      </c>
      <c r="L736" s="635"/>
      <c r="M736" s="3241">
        <f t="shared" si="119"/>
        <v>1</v>
      </c>
      <c r="N736" s="635"/>
      <c r="O736" s="3241">
        <f t="shared" si="120"/>
        <v>1</v>
      </c>
      <c r="P736" s="635"/>
      <c r="Q736" s="3241">
        <f t="shared" si="121"/>
        <v>1</v>
      </c>
      <c r="R736" s="3241">
        <f t="shared" ca="1" si="122"/>
        <v>5044</v>
      </c>
      <c r="S736" s="905">
        <f t="shared" ca="1" si="123"/>
        <v>17</v>
      </c>
    </row>
    <row r="737" spans="1:19">
      <c r="A737" s="3227" t="s">
        <v>4729</v>
      </c>
      <c r="B737" s="3228">
        <v>33.04</v>
      </c>
      <c r="C737" s="3241">
        <f t="shared" si="124"/>
        <v>1</v>
      </c>
      <c r="D737" s="3237" t="s">
        <v>4009</v>
      </c>
      <c r="E737" s="3241">
        <f t="shared" si="115"/>
        <v>1</v>
      </c>
      <c r="F737" s="635"/>
      <c r="G737" s="3241">
        <f t="shared" si="116"/>
        <v>1</v>
      </c>
      <c r="H737" s="635"/>
      <c r="I737" s="3241">
        <f t="shared" si="117"/>
        <v>1</v>
      </c>
      <c r="J737" s="635"/>
      <c r="K737" s="3241">
        <f t="shared" si="118"/>
        <v>1</v>
      </c>
      <c r="L737" s="635"/>
      <c r="M737" s="3241">
        <f t="shared" si="119"/>
        <v>1</v>
      </c>
      <c r="N737" s="635"/>
      <c r="O737" s="3241">
        <f t="shared" si="120"/>
        <v>1</v>
      </c>
      <c r="P737" s="635"/>
      <c r="Q737" s="3241">
        <f t="shared" si="121"/>
        <v>1</v>
      </c>
      <c r="R737" s="3241">
        <f t="shared" ca="1" si="122"/>
        <v>5044</v>
      </c>
      <c r="S737" s="905">
        <f t="shared" ca="1" si="123"/>
        <v>17</v>
      </c>
    </row>
    <row r="738" spans="1:19">
      <c r="A738" s="3227" t="s">
        <v>5896</v>
      </c>
      <c r="B738" s="3228">
        <v>35.909999999999997</v>
      </c>
      <c r="C738" s="3241">
        <f t="shared" si="124"/>
        <v>1</v>
      </c>
      <c r="D738" s="3237" t="s">
        <v>5171</v>
      </c>
      <c r="E738" s="3241">
        <f t="shared" si="115"/>
        <v>1</v>
      </c>
      <c r="F738" s="635"/>
      <c r="G738" s="3241">
        <f t="shared" si="116"/>
        <v>1</v>
      </c>
      <c r="H738" s="635"/>
      <c r="I738" s="3241">
        <f t="shared" si="117"/>
        <v>1</v>
      </c>
      <c r="J738" s="635"/>
      <c r="K738" s="3241">
        <f t="shared" si="118"/>
        <v>1</v>
      </c>
      <c r="L738" s="635"/>
      <c r="M738" s="3241">
        <f t="shared" si="119"/>
        <v>1</v>
      </c>
      <c r="N738" s="635"/>
      <c r="O738" s="3241">
        <f t="shared" si="120"/>
        <v>1</v>
      </c>
      <c r="P738" s="635"/>
      <c r="Q738" s="3241">
        <f t="shared" si="121"/>
        <v>1</v>
      </c>
      <c r="R738" s="3241">
        <f t="shared" ca="1" si="122"/>
        <v>5044</v>
      </c>
      <c r="S738" s="905">
        <f t="shared" ca="1" si="123"/>
        <v>18</v>
      </c>
    </row>
    <row r="739" spans="1:19">
      <c r="A739" s="3227" t="s">
        <v>4731</v>
      </c>
      <c r="B739" s="3228">
        <v>35.909999999999997</v>
      </c>
      <c r="C739" s="3241">
        <f t="shared" si="124"/>
        <v>1</v>
      </c>
      <c r="D739" s="3237" t="s">
        <v>4009</v>
      </c>
      <c r="E739" s="3241">
        <f t="shared" si="115"/>
        <v>1</v>
      </c>
      <c r="F739" s="635"/>
      <c r="G739" s="3241">
        <f t="shared" si="116"/>
        <v>1</v>
      </c>
      <c r="H739" s="635"/>
      <c r="I739" s="3241">
        <f t="shared" si="117"/>
        <v>1</v>
      </c>
      <c r="J739" s="635"/>
      <c r="K739" s="3241">
        <f t="shared" si="118"/>
        <v>1</v>
      </c>
      <c r="L739" s="635"/>
      <c r="M739" s="3241">
        <f t="shared" si="119"/>
        <v>1</v>
      </c>
      <c r="N739" s="635"/>
      <c r="O739" s="3241">
        <f t="shared" si="120"/>
        <v>1</v>
      </c>
      <c r="P739" s="635"/>
      <c r="Q739" s="3241">
        <f t="shared" si="121"/>
        <v>1</v>
      </c>
      <c r="R739" s="3241">
        <f t="shared" ca="1" si="122"/>
        <v>5044</v>
      </c>
      <c r="S739" s="905">
        <f t="shared" ca="1" si="123"/>
        <v>18</v>
      </c>
    </row>
    <row r="740" spans="1:19">
      <c r="A740" s="3227" t="s">
        <v>5898</v>
      </c>
      <c r="B740" s="3228">
        <v>34.46</v>
      </c>
      <c r="C740" s="3241">
        <f t="shared" si="124"/>
        <v>1</v>
      </c>
      <c r="D740" s="3237" t="s">
        <v>5171</v>
      </c>
      <c r="E740" s="3241">
        <f t="shared" si="115"/>
        <v>1</v>
      </c>
      <c r="F740" s="635"/>
      <c r="G740" s="3241">
        <f t="shared" si="116"/>
        <v>1</v>
      </c>
      <c r="H740" s="635"/>
      <c r="I740" s="3241">
        <f t="shared" si="117"/>
        <v>1</v>
      </c>
      <c r="J740" s="635"/>
      <c r="K740" s="3241">
        <f t="shared" si="118"/>
        <v>1</v>
      </c>
      <c r="L740" s="635"/>
      <c r="M740" s="3241">
        <f t="shared" si="119"/>
        <v>1</v>
      </c>
      <c r="N740" s="635"/>
      <c r="O740" s="3241">
        <f t="shared" si="120"/>
        <v>1</v>
      </c>
      <c r="P740" s="635"/>
      <c r="Q740" s="3241">
        <f t="shared" si="121"/>
        <v>1</v>
      </c>
      <c r="R740" s="3241">
        <f t="shared" ca="1" si="122"/>
        <v>5044</v>
      </c>
      <c r="S740" s="905">
        <f t="shared" ca="1" si="123"/>
        <v>17</v>
      </c>
    </row>
    <row r="741" spans="1:19">
      <c r="A741" s="3227" t="s">
        <v>4733</v>
      </c>
      <c r="B741" s="3228">
        <v>34.46</v>
      </c>
      <c r="C741" s="3241">
        <f t="shared" si="124"/>
        <v>1</v>
      </c>
      <c r="D741" s="3237" t="s">
        <v>4009</v>
      </c>
      <c r="E741" s="3241">
        <f t="shared" si="115"/>
        <v>1</v>
      </c>
      <c r="F741" s="635"/>
      <c r="G741" s="3241">
        <f t="shared" si="116"/>
        <v>1</v>
      </c>
      <c r="H741" s="635"/>
      <c r="I741" s="3241">
        <f t="shared" si="117"/>
        <v>1</v>
      </c>
      <c r="J741" s="635"/>
      <c r="K741" s="3241">
        <f t="shared" si="118"/>
        <v>1</v>
      </c>
      <c r="L741" s="635"/>
      <c r="M741" s="3241">
        <f t="shared" si="119"/>
        <v>1</v>
      </c>
      <c r="N741" s="635"/>
      <c r="O741" s="3241">
        <f t="shared" si="120"/>
        <v>1</v>
      </c>
      <c r="P741" s="635"/>
      <c r="Q741" s="3241">
        <f t="shared" si="121"/>
        <v>1</v>
      </c>
      <c r="R741" s="3241">
        <f t="shared" ca="1" si="122"/>
        <v>5044</v>
      </c>
      <c r="S741" s="905">
        <f t="shared" ca="1" si="123"/>
        <v>17</v>
      </c>
    </row>
    <row r="742" spans="1:19">
      <c r="A742" s="3227" t="s">
        <v>5900</v>
      </c>
      <c r="B742" s="3228">
        <v>34.46</v>
      </c>
      <c r="C742" s="3241">
        <f t="shared" si="124"/>
        <v>1</v>
      </c>
      <c r="D742" s="3237" t="s">
        <v>5171</v>
      </c>
      <c r="E742" s="3241">
        <f t="shared" si="115"/>
        <v>1</v>
      </c>
      <c r="F742" s="635"/>
      <c r="G742" s="3241">
        <f t="shared" si="116"/>
        <v>1</v>
      </c>
      <c r="H742" s="635"/>
      <c r="I742" s="3241">
        <f t="shared" si="117"/>
        <v>1</v>
      </c>
      <c r="J742" s="635"/>
      <c r="K742" s="3241">
        <f t="shared" si="118"/>
        <v>1</v>
      </c>
      <c r="L742" s="635"/>
      <c r="M742" s="3241">
        <f t="shared" si="119"/>
        <v>1</v>
      </c>
      <c r="N742" s="635"/>
      <c r="O742" s="3241">
        <f t="shared" si="120"/>
        <v>1</v>
      </c>
      <c r="P742" s="635"/>
      <c r="Q742" s="3241">
        <f t="shared" si="121"/>
        <v>1</v>
      </c>
      <c r="R742" s="3241">
        <f t="shared" ca="1" si="122"/>
        <v>5044</v>
      </c>
      <c r="S742" s="905">
        <f t="shared" ca="1" si="123"/>
        <v>17</v>
      </c>
    </row>
    <row r="743" spans="1:19">
      <c r="A743" s="3227" t="s">
        <v>4735</v>
      </c>
      <c r="B743" s="3228">
        <v>34.46</v>
      </c>
      <c r="C743" s="3241">
        <f t="shared" si="124"/>
        <v>1</v>
      </c>
      <c r="D743" s="3237" t="s">
        <v>4009</v>
      </c>
      <c r="E743" s="3241">
        <f t="shared" si="115"/>
        <v>1</v>
      </c>
      <c r="F743" s="635"/>
      <c r="G743" s="3241">
        <f t="shared" si="116"/>
        <v>1</v>
      </c>
      <c r="H743" s="635"/>
      <c r="I743" s="3241">
        <f t="shared" si="117"/>
        <v>1</v>
      </c>
      <c r="J743" s="635"/>
      <c r="K743" s="3241">
        <f t="shared" si="118"/>
        <v>1</v>
      </c>
      <c r="L743" s="635"/>
      <c r="M743" s="3241">
        <f t="shared" si="119"/>
        <v>1</v>
      </c>
      <c r="N743" s="635"/>
      <c r="O743" s="3241">
        <f t="shared" si="120"/>
        <v>1</v>
      </c>
      <c r="P743" s="635"/>
      <c r="Q743" s="3241">
        <f t="shared" si="121"/>
        <v>1</v>
      </c>
      <c r="R743" s="3241">
        <f t="shared" ca="1" si="122"/>
        <v>5044</v>
      </c>
      <c r="S743" s="905">
        <f t="shared" ca="1" si="123"/>
        <v>17</v>
      </c>
    </row>
    <row r="744" spans="1:19">
      <c r="A744" s="3227" t="s">
        <v>5902</v>
      </c>
      <c r="B744" s="3228">
        <v>35.909999999999997</v>
      </c>
      <c r="C744" s="3241">
        <f t="shared" si="124"/>
        <v>1</v>
      </c>
      <c r="D744" s="3237" t="s">
        <v>5171</v>
      </c>
      <c r="E744" s="3241">
        <f t="shared" si="115"/>
        <v>1</v>
      </c>
      <c r="F744" s="635"/>
      <c r="G744" s="3241">
        <f t="shared" si="116"/>
        <v>1</v>
      </c>
      <c r="H744" s="635"/>
      <c r="I744" s="3241">
        <f t="shared" si="117"/>
        <v>1</v>
      </c>
      <c r="J744" s="635"/>
      <c r="K744" s="3241">
        <f t="shared" si="118"/>
        <v>1</v>
      </c>
      <c r="L744" s="635"/>
      <c r="M744" s="3241">
        <f t="shared" si="119"/>
        <v>1</v>
      </c>
      <c r="N744" s="635"/>
      <c r="O744" s="3241">
        <f t="shared" si="120"/>
        <v>1</v>
      </c>
      <c r="P744" s="635"/>
      <c r="Q744" s="3241">
        <f t="shared" si="121"/>
        <v>1</v>
      </c>
      <c r="R744" s="3241">
        <f t="shared" ca="1" si="122"/>
        <v>5044</v>
      </c>
      <c r="S744" s="905">
        <f t="shared" ca="1" si="123"/>
        <v>18</v>
      </c>
    </row>
    <row r="745" spans="1:19">
      <c r="A745" s="3227" t="s">
        <v>4737</v>
      </c>
      <c r="B745" s="3228">
        <v>35.909999999999997</v>
      </c>
      <c r="C745" s="3241">
        <f t="shared" si="124"/>
        <v>1</v>
      </c>
      <c r="D745" s="3237" t="s">
        <v>4009</v>
      </c>
      <c r="E745" s="3241">
        <f t="shared" si="115"/>
        <v>1</v>
      </c>
      <c r="F745" s="635"/>
      <c r="G745" s="3241">
        <f t="shared" si="116"/>
        <v>1</v>
      </c>
      <c r="H745" s="635"/>
      <c r="I745" s="3241">
        <f t="shared" si="117"/>
        <v>1</v>
      </c>
      <c r="J745" s="635"/>
      <c r="K745" s="3241">
        <f t="shared" si="118"/>
        <v>1</v>
      </c>
      <c r="L745" s="635"/>
      <c r="M745" s="3241">
        <f t="shared" si="119"/>
        <v>1</v>
      </c>
      <c r="N745" s="635"/>
      <c r="O745" s="3241">
        <f t="shared" si="120"/>
        <v>1</v>
      </c>
      <c r="P745" s="635"/>
      <c r="Q745" s="3241">
        <f t="shared" si="121"/>
        <v>1</v>
      </c>
      <c r="R745" s="3241">
        <f t="shared" ca="1" si="122"/>
        <v>5044</v>
      </c>
      <c r="S745" s="905">
        <f t="shared" ca="1" si="123"/>
        <v>18</v>
      </c>
    </row>
    <row r="746" spans="1:19">
      <c r="A746" s="3227" t="s">
        <v>5904</v>
      </c>
      <c r="B746" s="3228">
        <v>33.04</v>
      </c>
      <c r="C746" s="3241">
        <f t="shared" si="124"/>
        <v>1</v>
      </c>
      <c r="D746" s="3237" t="s">
        <v>5171</v>
      </c>
      <c r="E746" s="3241">
        <f t="shared" si="115"/>
        <v>1</v>
      </c>
      <c r="F746" s="635"/>
      <c r="G746" s="3241">
        <f t="shared" si="116"/>
        <v>1</v>
      </c>
      <c r="H746" s="635"/>
      <c r="I746" s="3241">
        <f t="shared" si="117"/>
        <v>1</v>
      </c>
      <c r="J746" s="635"/>
      <c r="K746" s="3241">
        <f t="shared" si="118"/>
        <v>1</v>
      </c>
      <c r="L746" s="635"/>
      <c r="M746" s="3241">
        <f t="shared" si="119"/>
        <v>1</v>
      </c>
      <c r="N746" s="635"/>
      <c r="O746" s="3241">
        <f t="shared" si="120"/>
        <v>1</v>
      </c>
      <c r="P746" s="635"/>
      <c r="Q746" s="3241">
        <f t="shared" si="121"/>
        <v>1</v>
      </c>
      <c r="R746" s="3241">
        <f t="shared" ca="1" si="122"/>
        <v>5044</v>
      </c>
      <c r="S746" s="905">
        <f t="shared" ca="1" si="123"/>
        <v>17</v>
      </c>
    </row>
    <row r="747" spans="1:19">
      <c r="A747" s="3227" t="s">
        <v>4739</v>
      </c>
      <c r="B747" s="3228">
        <v>33.04</v>
      </c>
      <c r="C747" s="3241">
        <f t="shared" si="124"/>
        <v>1</v>
      </c>
      <c r="D747" s="3237" t="s">
        <v>4009</v>
      </c>
      <c r="E747" s="3241">
        <f t="shared" si="115"/>
        <v>1</v>
      </c>
      <c r="F747" s="635"/>
      <c r="G747" s="3241">
        <f t="shared" si="116"/>
        <v>1</v>
      </c>
      <c r="H747" s="635"/>
      <c r="I747" s="3241">
        <f t="shared" si="117"/>
        <v>1</v>
      </c>
      <c r="J747" s="635"/>
      <c r="K747" s="3241">
        <f t="shared" si="118"/>
        <v>1</v>
      </c>
      <c r="L747" s="635"/>
      <c r="M747" s="3241">
        <f t="shared" si="119"/>
        <v>1</v>
      </c>
      <c r="N747" s="635"/>
      <c r="O747" s="3241">
        <f t="shared" si="120"/>
        <v>1</v>
      </c>
      <c r="P747" s="635"/>
      <c r="Q747" s="3241">
        <f t="shared" si="121"/>
        <v>1</v>
      </c>
      <c r="R747" s="3241">
        <f t="shared" ca="1" si="122"/>
        <v>5044</v>
      </c>
      <c r="S747" s="905">
        <f t="shared" ca="1" si="123"/>
        <v>17</v>
      </c>
    </row>
    <row r="748" spans="1:19">
      <c r="A748" s="3227" t="s">
        <v>5906</v>
      </c>
      <c r="B748" s="3228">
        <v>33.04</v>
      </c>
      <c r="C748" s="3241">
        <f t="shared" si="124"/>
        <v>1</v>
      </c>
      <c r="D748" s="3237" t="s">
        <v>5171</v>
      </c>
      <c r="E748" s="3241">
        <f t="shared" si="115"/>
        <v>1</v>
      </c>
      <c r="F748" s="635"/>
      <c r="G748" s="3241">
        <f t="shared" si="116"/>
        <v>1</v>
      </c>
      <c r="H748" s="635"/>
      <c r="I748" s="3241">
        <f t="shared" si="117"/>
        <v>1</v>
      </c>
      <c r="J748" s="635"/>
      <c r="K748" s="3241">
        <f t="shared" si="118"/>
        <v>1</v>
      </c>
      <c r="L748" s="635"/>
      <c r="M748" s="3241">
        <f t="shared" si="119"/>
        <v>1</v>
      </c>
      <c r="N748" s="635"/>
      <c r="O748" s="3241">
        <f t="shared" si="120"/>
        <v>1</v>
      </c>
      <c r="P748" s="635"/>
      <c r="Q748" s="3241">
        <f t="shared" si="121"/>
        <v>1</v>
      </c>
      <c r="R748" s="3241">
        <f t="shared" ca="1" si="122"/>
        <v>5044</v>
      </c>
      <c r="S748" s="905">
        <f t="shared" ca="1" si="123"/>
        <v>17</v>
      </c>
    </row>
    <row r="749" spans="1:19">
      <c r="A749" s="3227" t="s">
        <v>4741</v>
      </c>
      <c r="B749" s="3228">
        <v>33.04</v>
      </c>
      <c r="C749" s="3241">
        <f t="shared" si="124"/>
        <v>1</v>
      </c>
      <c r="D749" s="3237" t="s">
        <v>4009</v>
      </c>
      <c r="E749" s="3241">
        <f t="shared" si="115"/>
        <v>1</v>
      </c>
      <c r="F749" s="635"/>
      <c r="G749" s="3241">
        <f t="shared" si="116"/>
        <v>1</v>
      </c>
      <c r="H749" s="635"/>
      <c r="I749" s="3241">
        <f t="shared" si="117"/>
        <v>1</v>
      </c>
      <c r="J749" s="635"/>
      <c r="K749" s="3241">
        <f t="shared" si="118"/>
        <v>1</v>
      </c>
      <c r="L749" s="635"/>
      <c r="M749" s="3241">
        <f t="shared" si="119"/>
        <v>1</v>
      </c>
      <c r="N749" s="635"/>
      <c r="O749" s="3241">
        <f t="shared" si="120"/>
        <v>1</v>
      </c>
      <c r="P749" s="635"/>
      <c r="Q749" s="3241">
        <f t="shared" si="121"/>
        <v>1</v>
      </c>
      <c r="R749" s="3241">
        <f t="shared" ca="1" si="122"/>
        <v>5044</v>
      </c>
      <c r="S749" s="905">
        <f t="shared" ca="1" si="123"/>
        <v>17</v>
      </c>
    </row>
    <row r="750" spans="1:19">
      <c r="A750" s="3227" t="s">
        <v>5908</v>
      </c>
      <c r="B750" s="3228">
        <v>33.04</v>
      </c>
      <c r="C750" s="3241">
        <f t="shared" si="124"/>
        <v>1</v>
      </c>
      <c r="D750" s="3237" t="s">
        <v>5171</v>
      </c>
      <c r="E750" s="3241">
        <f t="shared" si="115"/>
        <v>1</v>
      </c>
      <c r="F750" s="635"/>
      <c r="G750" s="3241">
        <f t="shared" si="116"/>
        <v>1</v>
      </c>
      <c r="H750" s="635"/>
      <c r="I750" s="3241">
        <f t="shared" si="117"/>
        <v>1</v>
      </c>
      <c r="J750" s="635"/>
      <c r="K750" s="3241">
        <f t="shared" si="118"/>
        <v>1</v>
      </c>
      <c r="L750" s="635"/>
      <c r="M750" s="3241">
        <f t="shared" si="119"/>
        <v>1</v>
      </c>
      <c r="N750" s="635"/>
      <c r="O750" s="3241">
        <f t="shared" si="120"/>
        <v>1</v>
      </c>
      <c r="P750" s="635"/>
      <c r="Q750" s="3241">
        <f t="shared" si="121"/>
        <v>1</v>
      </c>
      <c r="R750" s="3241">
        <f t="shared" ca="1" si="122"/>
        <v>5044</v>
      </c>
      <c r="S750" s="905">
        <f t="shared" ca="1" si="123"/>
        <v>17</v>
      </c>
    </row>
    <row r="751" spans="1:19">
      <c r="A751" s="3227" t="s">
        <v>4743</v>
      </c>
      <c r="B751" s="3228">
        <v>38.049999999999997</v>
      </c>
      <c r="C751" s="3241">
        <f t="shared" si="124"/>
        <v>1</v>
      </c>
      <c r="D751" s="3237" t="s">
        <v>4009</v>
      </c>
      <c r="E751" s="3241">
        <f t="shared" si="115"/>
        <v>1</v>
      </c>
      <c r="F751" s="635"/>
      <c r="G751" s="3241">
        <f t="shared" si="116"/>
        <v>1</v>
      </c>
      <c r="H751" s="635"/>
      <c r="I751" s="3241">
        <f t="shared" si="117"/>
        <v>1</v>
      </c>
      <c r="J751" s="635"/>
      <c r="K751" s="3241">
        <f t="shared" si="118"/>
        <v>1</v>
      </c>
      <c r="L751" s="635"/>
      <c r="M751" s="3241">
        <f t="shared" si="119"/>
        <v>1</v>
      </c>
      <c r="N751" s="635"/>
      <c r="O751" s="3241">
        <f t="shared" si="120"/>
        <v>1</v>
      </c>
      <c r="P751" s="635"/>
      <c r="Q751" s="3241">
        <f t="shared" si="121"/>
        <v>1</v>
      </c>
      <c r="R751" s="3241">
        <f t="shared" ca="1" si="122"/>
        <v>5044</v>
      </c>
      <c r="S751" s="905">
        <f t="shared" ca="1" si="123"/>
        <v>19</v>
      </c>
    </row>
    <row r="752" spans="1:19">
      <c r="A752" s="3227" t="s">
        <v>5910</v>
      </c>
      <c r="B752" s="3228">
        <v>34.46</v>
      </c>
      <c r="C752" s="3241">
        <f t="shared" si="124"/>
        <v>1</v>
      </c>
      <c r="D752" s="3237" t="s">
        <v>5171</v>
      </c>
      <c r="E752" s="3241">
        <f t="shared" si="115"/>
        <v>1</v>
      </c>
      <c r="F752" s="635"/>
      <c r="G752" s="3241">
        <f t="shared" si="116"/>
        <v>1</v>
      </c>
      <c r="H752" s="635"/>
      <c r="I752" s="3241">
        <f t="shared" si="117"/>
        <v>1</v>
      </c>
      <c r="J752" s="635"/>
      <c r="K752" s="3241">
        <f t="shared" si="118"/>
        <v>1</v>
      </c>
      <c r="L752" s="635"/>
      <c r="M752" s="3241">
        <f t="shared" si="119"/>
        <v>1</v>
      </c>
      <c r="N752" s="635"/>
      <c r="O752" s="3241">
        <f t="shared" si="120"/>
        <v>1</v>
      </c>
      <c r="P752" s="635"/>
      <c r="Q752" s="3241">
        <f t="shared" si="121"/>
        <v>1</v>
      </c>
      <c r="R752" s="3241">
        <f t="shared" ca="1" si="122"/>
        <v>5044</v>
      </c>
      <c r="S752" s="905">
        <f t="shared" ca="1" si="123"/>
        <v>17</v>
      </c>
    </row>
    <row r="753" spans="1:19">
      <c r="A753" s="3227" t="s">
        <v>4745</v>
      </c>
      <c r="B753" s="3228">
        <v>34.46</v>
      </c>
      <c r="C753" s="3241">
        <f t="shared" si="124"/>
        <v>1</v>
      </c>
      <c r="D753" s="3237" t="s">
        <v>4009</v>
      </c>
      <c r="E753" s="3241">
        <f t="shared" si="115"/>
        <v>1</v>
      </c>
      <c r="F753" s="635"/>
      <c r="G753" s="3241">
        <f t="shared" si="116"/>
        <v>1</v>
      </c>
      <c r="H753" s="635"/>
      <c r="I753" s="3241">
        <f t="shared" si="117"/>
        <v>1</v>
      </c>
      <c r="J753" s="635"/>
      <c r="K753" s="3241">
        <f t="shared" si="118"/>
        <v>1</v>
      </c>
      <c r="L753" s="635"/>
      <c r="M753" s="3241">
        <f t="shared" si="119"/>
        <v>1</v>
      </c>
      <c r="N753" s="635"/>
      <c r="O753" s="3241">
        <f t="shared" si="120"/>
        <v>1</v>
      </c>
      <c r="P753" s="635"/>
      <c r="Q753" s="3241">
        <f t="shared" si="121"/>
        <v>1</v>
      </c>
      <c r="R753" s="3241">
        <f t="shared" ca="1" si="122"/>
        <v>5044</v>
      </c>
      <c r="S753" s="905">
        <f t="shared" ca="1" si="123"/>
        <v>17</v>
      </c>
    </row>
    <row r="754" spans="1:19">
      <c r="A754" s="3227" t="s">
        <v>5912</v>
      </c>
      <c r="B754" s="3228">
        <v>34.46</v>
      </c>
      <c r="C754" s="3241">
        <f t="shared" si="124"/>
        <v>1</v>
      </c>
      <c r="D754" s="3237" t="s">
        <v>5171</v>
      </c>
      <c r="E754" s="3241">
        <f t="shared" si="115"/>
        <v>1</v>
      </c>
      <c r="F754" s="635"/>
      <c r="G754" s="3241">
        <f t="shared" si="116"/>
        <v>1</v>
      </c>
      <c r="H754" s="635"/>
      <c r="I754" s="3241">
        <f t="shared" si="117"/>
        <v>1</v>
      </c>
      <c r="J754" s="635"/>
      <c r="K754" s="3241">
        <f t="shared" si="118"/>
        <v>1</v>
      </c>
      <c r="L754" s="635"/>
      <c r="M754" s="3241">
        <f t="shared" si="119"/>
        <v>1</v>
      </c>
      <c r="N754" s="635"/>
      <c r="O754" s="3241">
        <f t="shared" si="120"/>
        <v>1</v>
      </c>
      <c r="P754" s="635"/>
      <c r="Q754" s="3241">
        <f t="shared" si="121"/>
        <v>1</v>
      </c>
      <c r="R754" s="3241">
        <f t="shared" ca="1" si="122"/>
        <v>5044</v>
      </c>
      <c r="S754" s="905">
        <f t="shared" ca="1" si="123"/>
        <v>17</v>
      </c>
    </row>
    <row r="755" spans="1:19">
      <c r="A755" s="3227" t="s">
        <v>4747</v>
      </c>
      <c r="B755" s="3228">
        <v>34.46</v>
      </c>
      <c r="C755" s="3241">
        <f t="shared" si="124"/>
        <v>1</v>
      </c>
      <c r="D755" s="3237" t="s">
        <v>4009</v>
      </c>
      <c r="E755" s="3241">
        <f t="shared" si="115"/>
        <v>1</v>
      </c>
      <c r="F755" s="635"/>
      <c r="G755" s="3241">
        <f t="shared" si="116"/>
        <v>1</v>
      </c>
      <c r="H755" s="635"/>
      <c r="I755" s="3241">
        <f t="shared" si="117"/>
        <v>1</v>
      </c>
      <c r="J755" s="635"/>
      <c r="K755" s="3241">
        <f t="shared" si="118"/>
        <v>1</v>
      </c>
      <c r="L755" s="635"/>
      <c r="M755" s="3241">
        <f t="shared" si="119"/>
        <v>1</v>
      </c>
      <c r="N755" s="635"/>
      <c r="O755" s="3241">
        <f t="shared" si="120"/>
        <v>1</v>
      </c>
      <c r="P755" s="635"/>
      <c r="Q755" s="3241">
        <f t="shared" si="121"/>
        <v>1</v>
      </c>
      <c r="R755" s="3241">
        <f t="shared" ca="1" si="122"/>
        <v>5044</v>
      </c>
      <c r="S755" s="905">
        <f t="shared" ca="1" si="123"/>
        <v>17</v>
      </c>
    </row>
    <row r="756" spans="1:19">
      <c r="A756" s="3227" t="s">
        <v>5915</v>
      </c>
      <c r="B756" s="3228">
        <v>34.46</v>
      </c>
      <c r="C756" s="3241">
        <f t="shared" si="124"/>
        <v>1</v>
      </c>
      <c r="D756" s="3237" t="s">
        <v>5171</v>
      </c>
      <c r="E756" s="3241">
        <f t="shared" si="115"/>
        <v>1</v>
      </c>
      <c r="F756" s="635"/>
      <c r="G756" s="3241">
        <f t="shared" si="116"/>
        <v>1</v>
      </c>
      <c r="H756" s="635"/>
      <c r="I756" s="3241">
        <f t="shared" si="117"/>
        <v>1</v>
      </c>
      <c r="J756" s="635"/>
      <c r="K756" s="3241">
        <f t="shared" si="118"/>
        <v>1</v>
      </c>
      <c r="L756" s="635"/>
      <c r="M756" s="3241">
        <f t="shared" si="119"/>
        <v>1</v>
      </c>
      <c r="N756" s="635"/>
      <c r="O756" s="3241">
        <f t="shared" si="120"/>
        <v>1</v>
      </c>
      <c r="P756" s="635"/>
      <c r="Q756" s="3241">
        <f t="shared" si="121"/>
        <v>1</v>
      </c>
      <c r="R756" s="3241">
        <f t="shared" ca="1" si="122"/>
        <v>5044</v>
      </c>
      <c r="S756" s="905">
        <f t="shared" ca="1" si="123"/>
        <v>17</v>
      </c>
    </row>
    <row r="757" spans="1:19">
      <c r="A757" s="3227" t="s">
        <v>4749</v>
      </c>
      <c r="B757" s="3228">
        <v>34.46</v>
      </c>
      <c r="C757" s="3241">
        <f t="shared" si="124"/>
        <v>1</v>
      </c>
      <c r="D757" s="3237" t="s">
        <v>4009</v>
      </c>
      <c r="E757" s="3241">
        <f t="shared" si="115"/>
        <v>1</v>
      </c>
      <c r="F757" s="635"/>
      <c r="G757" s="3241">
        <f t="shared" si="116"/>
        <v>1</v>
      </c>
      <c r="H757" s="635"/>
      <c r="I757" s="3241">
        <f t="shared" si="117"/>
        <v>1</v>
      </c>
      <c r="J757" s="635"/>
      <c r="K757" s="3241">
        <f t="shared" si="118"/>
        <v>1</v>
      </c>
      <c r="L757" s="635"/>
      <c r="M757" s="3241">
        <f t="shared" si="119"/>
        <v>1</v>
      </c>
      <c r="N757" s="635"/>
      <c r="O757" s="3241">
        <f t="shared" si="120"/>
        <v>1</v>
      </c>
      <c r="P757" s="635"/>
      <c r="Q757" s="3241">
        <f t="shared" si="121"/>
        <v>1</v>
      </c>
      <c r="R757" s="3241">
        <f t="shared" ca="1" si="122"/>
        <v>5044</v>
      </c>
      <c r="S757" s="905">
        <f t="shared" ca="1" si="123"/>
        <v>17</v>
      </c>
    </row>
    <row r="758" spans="1:19">
      <c r="A758" s="3227" t="s">
        <v>5917</v>
      </c>
      <c r="B758" s="3228">
        <v>34.46</v>
      </c>
      <c r="C758" s="3241">
        <f t="shared" si="124"/>
        <v>1</v>
      </c>
      <c r="D758" s="3237" t="s">
        <v>5171</v>
      </c>
      <c r="E758" s="3241">
        <f t="shared" si="115"/>
        <v>1</v>
      </c>
      <c r="F758" s="635"/>
      <c r="G758" s="3241">
        <f t="shared" si="116"/>
        <v>1</v>
      </c>
      <c r="H758" s="635"/>
      <c r="I758" s="3241">
        <f t="shared" si="117"/>
        <v>1</v>
      </c>
      <c r="J758" s="635"/>
      <c r="K758" s="3241">
        <f t="shared" si="118"/>
        <v>1</v>
      </c>
      <c r="L758" s="635"/>
      <c r="M758" s="3241">
        <f t="shared" si="119"/>
        <v>1</v>
      </c>
      <c r="N758" s="635"/>
      <c r="O758" s="3241">
        <f t="shared" si="120"/>
        <v>1</v>
      </c>
      <c r="P758" s="635"/>
      <c r="Q758" s="3241">
        <f t="shared" si="121"/>
        <v>1</v>
      </c>
      <c r="R758" s="3241">
        <f t="shared" ca="1" si="122"/>
        <v>5044</v>
      </c>
      <c r="S758" s="905">
        <f t="shared" ca="1" si="123"/>
        <v>17</v>
      </c>
    </row>
    <row r="759" spans="1:19">
      <c r="A759" s="3227" t="s">
        <v>4751</v>
      </c>
      <c r="B759" s="3228">
        <v>34.46</v>
      </c>
      <c r="C759" s="3241">
        <f t="shared" si="124"/>
        <v>1</v>
      </c>
      <c r="D759" s="3237" t="s">
        <v>4009</v>
      </c>
      <c r="E759" s="3241">
        <f t="shared" si="115"/>
        <v>1</v>
      </c>
      <c r="F759" s="635"/>
      <c r="G759" s="3241">
        <f t="shared" si="116"/>
        <v>1</v>
      </c>
      <c r="H759" s="635"/>
      <c r="I759" s="3241">
        <f t="shared" si="117"/>
        <v>1</v>
      </c>
      <c r="J759" s="635"/>
      <c r="K759" s="3241">
        <f t="shared" si="118"/>
        <v>1</v>
      </c>
      <c r="L759" s="635"/>
      <c r="M759" s="3241">
        <f t="shared" si="119"/>
        <v>1</v>
      </c>
      <c r="N759" s="635"/>
      <c r="O759" s="3241">
        <f t="shared" si="120"/>
        <v>1</v>
      </c>
      <c r="P759" s="635"/>
      <c r="Q759" s="3241">
        <f t="shared" si="121"/>
        <v>1</v>
      </c>
      <c r="R759" s="3241">
        <f t="shared" ca="1" si="122"/>
        <v>5044</v>
      </c>
      <c r="S759" s="905">
        <f t="shared" ca="1" si="123"/>
        <v>17</v>
      </c>
    </row>
    <row r="760" spans="1:19">
      <c r="A760" s="3227" t="s">
        <v>5919</v>
      </c>
      <c r="B760" s="3228">
        <v>34.46</v>
      </c>
      <c r="C760" s="3241">
        <f t="shared" si="124"/>
        <v>1</v>
      </c>
      <c r="D760" s="3237" t="s">
        <v>5171</v>
      </c>
      <c r="E760" s="3241">
        <f t="shared" si="115"/>
        <v>1</v>
      </c>
      <c r="F760" s="635"/>
      <c r="G760" s="3241">
        <f t="shared" si="116"/>
        <v>1</v>
      </c>
      <c r="H760" s="635"/>
      <c r="I760" s="3241">
        <f t="shared" si="117"/>
        <v>1</v>
      </c>
      <c r="J760" s="635"/>
      <c r="K760" s="3241">
        <f t="shared" si="118"/>
        <v>1</v>
      </c>
      <c r="L760" s="635"/>
      <c r="M760" s="3241">
        <f t="shared" si="119"/>
        <v>1</v>
      </c>
      <c r="N760" s="635"/>
      <c r="O760" s="3241">
        <f t="shared" si="120"/>
        <v>1</v>
      </c>
      <c r="P760" s="635"/>
      <c r="Q760" s="3241">
        <f t="shared" si="121"/>
        <v>1</v>
      </c>
      <c r="R760" s="3241">
        <f t="shared" ca="1" si="122"/>
        <v>5044</v>
      </c>
      <c r="S760" s="905">
        <f t="shared" ca="1" si="123"/>
        <v>17</v>
      </c>
    </row>
    <row r="761" spans="1:19">
      <c r="A761" s="3227" t="s">
        <v>4753</v>
      </c>
      <c r="B761" s="3228">
        <v>34.46</v>
      </c>
      <c r="C761" s="3241">
        <f t="shared" si="124"/>
        <v>1</v>
      </c>
      <c r="D761" s="3237" t="s">
        <v>4009</v>
      </c>
      <c r="E761" s="3241">
        <f t="shared" si="115"/>
        <v>1</v>
      </c>
      <c r="F761" s="635"/>
      <c r="G761" s="3241">
        <f t="shared" si="116"/>
        <v>1</v>
      </c>
      <c r="H761" s="635"/>
      <c r="I761" s="3241">
        <f t="shared" si="117"/>
        <v>1</v>
      </c>
      <c r="J761" s="635"/>
      <c r="K761" s="3241">
        <f t="shared" si="118"/>
        <v>1</v>
      </c>
      <c r="L761" s="635"/>
      <c r="M761" s="3241">
        <f t="shared" si="119"/>
        <v>1</v>
      </c>
      <c r="N761" s="635"/>
      <c r="O761" s="3241">
        <f t="shared" si="120"/>
        <v>1</v>
      </c>
      <c r="P761" s="635"/>
      <c r="Q761" s="3241">
        <f t="shared" si="121"/>
        <v>1</v>
      </c>
      <c r="R761" s="3241">
        <f t="shared" ca="1" si="122"/>
        <v>5044</v>
      </c>
      <c r="S761" s="905">
        <f t="shared" ca="1" si="123"/>
        <v>17</v>
      </c>
    </row>
    <row r="762" spans="1:19">
      <c r="A762" s="3227" t="s">
        <v>5921</v>
      </c>
      <c r="B762" s="3228">
        <v>34.46</v>
      </c>
      <c r="C762" s="3241">
        <f t="shared" si="124"/>
        <v>1</v>
      </c>
      <c r="D762" s="3237" t="s">
        <v>5171</v>
      </c>
      <c r="E762" s="3241">
        <f t="shared" si="115"/>
        <v>1</v>
      </c>
      <c r="F762" s="635"/>
      <c r="G762" s="3241">
        <f t="shared" si="116"/>
        <v>1</v>
      </c>
      <c r="H762" s="635"/>
      <c r="I762" s="3241">
        <f t="shared" si="117"/>
        <v>1</v>
      </c>
      <c r="J762" s="635"/>
      <c r="K762" s="3241">
        <f t="shared" si="118"/>
        <v>1</v>
      </c>
      <c r="L762" s="635"/>
      <c r="M762" s="3241">
        <f t="shared" si="119"/>
        <v>1</v>
      </c>
      <c r="N762" s="635"/>
      <c r="O762" s="3241">
        <f t="shared" si="120"/>
        <v>1</v>
      </c>
      <c r="P762" s="635"/>
      <c r="Q762" s="3241">
        <f t="shared" si="121"/>
        <v>1</v>
      </c>
      <c r="R762" s="3241">
        <f t="shared" ca="1" si="122"/>
        <v>5044</v>
      </c>
      <c r="S762" s="905">
        <f t="shared" ca="1" si="123"/>
        <v>17</v>
      </c>
    </row>
    <row r="763" spans="1:19">
      <c r="A763" s="3227" t="s">
        <v>4755</v>
      </c>
      <c r="B763" s="3228">
        <v>34.46</v>
      </c>
      <c r="C763" s="3241">
        <f t="shared" si="124"/>
        <v>1</v>
      </c>
      <c r="D763" s="3237" t="s">
        <v>4009</v>
      </c>
      <c r="E763" s="3241">
        <f t="shared" si="115"/>
        <v>1</v>
      </c>
      <c r="F763" s="635"/>
      <c r="G763" s="3241">
        <f t="shared" si="116"/>
        <v>1</v>
      </c>
      <c r="H763" s="635"/>
      <c r="I763" s="3241">
        <f t="shared" si="117"/>
        <v>1</v>
      </c>
      <c r="J763" s="635"/>
      <c r="K763" s="3241">
        <f t="shared" si="118"/>
        <v>1</v>
      </c>
      <c r="L763" s="635"/>
      <c r="M763" s="3241">
        <f t="shared" si="119"/>
        <v>1</v>
      </c>
      <c r="N763" s="635"/>
      <c r="O763" s="3241">
        <f t="shared" si="120"/>
        <v>1</v>
      </c>
      <c r="P763" s="635"/>
      <c r="Q763" s="3241">
        <f t="shared" si="121"/>
        <v>1</v>
      </c>
      <c r="R763" s="3241">
        <f t="shared" ca="1" si="122"/>
        <v>5044</v>
      </c>
      <c r="S763" s="905">
        <f t="shared" ca="1" si="123"/>
        <v>17</v>
      </c>
    </row>
    <row r="764" spans="1:19">
      <c r="A764" s="3227" t="s">
        <v>5923</v>
      </c>
      <c r="B764" s="3228">
        <v>33.75</v>
      </c>
      <c r="C764" s="3241">
        <f t="shared" si="124"/>
        <v>1</v>
      </c>
      <c r="D764" s="3237" t="s">
        <v>5171</v>
      </c>
      <c r="E764" s="3241">
        <f t="shared" si="115"/>
        <v>1</v>
      </c>
      <c r="F764" s="635"/>
      <c r="G764" s="3241">
        <f t="shared" si="116"/>
        <v>1</v>
      </c>
      <c r="H764" s="635"/>
      <c r="I764" s="3241">
        <f t="shared" si="117"/>
        <v>1</v>
      </c>
      <c r="J764" s="635"/>
      <c r="K764" s="3241">
        <f t="shared" si="118"/>
        <v>1</v>
      </c>
      <c r="L764" s="635"/>
      <c r="M764" s="3241">
        <f t="shared" si="119"/>
        <v>1</v>
      </c>
      <c r="N764" s="635"/>
      <c r="O764" s="3241">
        <f t="shared" si="120"/>
        <v>1</v>
      </c>
      <c r="P764" s="635"/>
      <c r="Q764" s="3241">
        <f t="shared" si="121"/>
        <v>1</v>
      </c>
      <c r="R764" s="3241">
        <f t="shared" ca="1" si="122"/>
        <v>5044</v>
      </c>
      <c r="S764" s="905">
        <f t="shared" ca="1" si="123"/>
        <v>17</v>
      </c>
    </row>
    <row r="765" spans="1:19">
      <c r="A765" s="3227" t="s">
        <v>4757</v>
      </c>
      <c r="B765" s="3228">
        <v>34.46</v>
      </c>
      <c r="C765" s="3241">
        <f t="shared" si="124"/>
        <v>1</v>
      </c>
      <c r="D765" s="3237" t="s">
        <v>4322</v>
      </c>
      <c r="E765" s="3241">
        <f t="shared" si="115"/>
        <v>1.02</v>
      </c>
      <c r="F765" s="635"/>
      <c r="G765" s="3241">
        <f t="shared" si="116"/>
        <v>1</v>
      </c>
      <c r="H765" s="635"/>
      <c r="I765" s="3241">
        <f t="shared" si="117"/>
        <v>1</v>
      </c>
      <c r="J765" s="635"/>
      <c r="K765" s="3241">
        <f t="shared" si="118"/>
        <v>1</v>
      </c>
      <c r="L765" s="635"/>
      <c r="M765" s="3241">
        <f t="shared" si="119"/>
        <v>1</v>
      </c>
      <c r="N765" s="635"/>
      <c r="O765" s="3241">
        <f t="shared" si="120"/>
        <v>1</v>
      </c>
      <c r="P765" s="635"/>
      <c r="Q765" s="3241">
        <f t="shared" si="121"/>
        <v>1</v>
      </c>
      <c r="R765" s="3241">
        <f t="shared" ca="1" si="122"/>
        <v>5145</v>
      </c>
      <c r="S765" s="905">
        <f t="shared" ca="1" si="123"/>
        <v>18</v>
      </c>
    </row>
    <row r="766" spans="1:19">
      <c r="A766" s="3227" t="s">
        <v>5925</v>
      </c>
      <c r="B766" s="3228">
        <v>34.46</v>
      </c>
      <c r="C766" s="3241">
        <f t="shared" si="124"/>
        <v>1</v>
      </c>
      <c r="D766" s="3237" t="s">
        <v>5487</v>
      </c>
      <c r="E766" s="3241">
        <f t="shared" si="115"/>
        <v>1.02</v>
      </c>
      <c r="F766" s="635"/>
      <c r="G766" s="3241">
        <f t="shared" si="116"/>
        <v>1</v>
      </c>
      <c r="H766" s="635"/>
      <c r="I766" s="3241">
        <f t="shared" si="117"/>
        <v>1</v>
      </c>
      <c r="J766" s="635"/>
      <c r="K766" s="3241">
        <f t="shared" si="118"/>
        <v>1</v>
      </c>
      <c r="L766" s="635"/>
      <c r="M766" s="3241">
        <f t="shared" si="119"/>
        <v>1</v>
      </c>
      <c r="N766" s="635"/>
      <c r="O766" s="3241">
        <f t="shared" si="120"/>
        <v>1</v>
      </c>
      <c r="P766" s="635"/>
      <c r="Q766" s="3241">
        <f t="shared" si="121"/>
        <v>1</v>
      </c>
      <c r="R766" s="3241">
        <f t="shared" ca="1" si="122"/>
        <v>5145</v>
      </c>
      <c r="S766" s="905">
        <f t="shared" ca="1" si="123"/>
        <v>18</v>
      </c>
    </row>
    <row r="767" spans="1:19">
      <c r="A767" s="3227" t="s">
        <v>4759</v>
      </c>
      <c r="B767" s="3228">
        <v>34.46</v>
      </c>
      <c r="C767" s="3241">
        <f t="shared" si="124"/>
        <v>1</v>
      </c>
      <c r="D767" s="3237" t="s">
        <v>4322</v>
      </c>
      <c r="E767" s="3241">
        <f t="shared" si="115"/>
        <v>1.02</v>
      </c>
      <c r="F767" s="635"/>
      <c r="G767" s="3241">
        <f t="shared" si="116"/>
        <v>1</v>
      </c>
      <c r="H767" s="635"/>
      <c r="I767" s="3241">
        <f t="shared" si="117"/>
        <v>1</v>
      </c>
      <c r="J767" s="635"/>
      <c r="K767" s="3241">
        <f t="shared" si="118"/>
        <v>1</v>
      </c>
      <c r="L767" s="635"/>
      <c r="M767" s="3241">
        <f t="shared" si="119"/>
        <v>1</v>
      </c>
      <c r="N767" s="635"/>
      <c r="O767" s="3241">
        <f t="shared" si="120"/>
        <v>1</v>
      </c>
      <c r="P767" s="635"/>
      <c r="Q767" s="3241">
        <f t="shared" si="121"/>
        <v>1</v>
      </c>
      <c r="R767" s="3241">
        <f t="shared" ca="1" si="122"/>
        <v>5145</v>
      </c>
      <c r="S767" s="905">
        <f t="shared" ca="1" si="123"/>
        <v>18</v>
      </c>
    </row>
    <row r="768" spans="1:19">
      <c r="A768" s="3227" t="s">
        <v>5927</v>
      </c>
      <c r="B768" s="3228">
        <v>33.75</v>
      </c>
      <c r="C768" s="3241">
        <f t="shared" si="124"/>
        <v>1</v>
      </c>
      <c r="D768" s="3237" t="s">
        <v>5487</v>
      </c>
      <c r="E768" s="3241">
        <f t="shared" si="115"/>
        <v>1.02</v>
      </c>
      <c r="F768" s="635"/>
      <c r="G768" s="3241">
        <f t="shared" si="116"/>
        <v>1</v>
      </c>
      <c r="H768" s="635"/>
      <c r="I768" s="3241">
        <f t="shared" si="117"/>
        <v>1</v>
      </c>
      <c r="J768" s="635"/>
      <c r="K768" s="3241">
        <f t="shared" si="118"/>
        <v>1</v>
      </c>
      <c r="L768" s="635"/>
      <c r="M768" s="3241">
        <f t="shared" si="119"/>
        <v>1</v>
      </c>
      <c r="N768" s="635"/>
      <c r="O768" s="3241">
        <f t="shared" si="120"/>
        <v>1</v>
      </c>
      <c r="P768" s="635"/>
      <c r="Q768" s="3241">
        <f t="shared" si="121"/>
        <v>1</v>
      </c>
      <c r="R768" s="3241">
        <f t="shared" ca="1" si="122"/>
        <v>5145</v>
      </c>
      <c r="S768" s="905">
        <f t="shared" ca="1" si="123"/>
        <v>17</v>
      </c>
    </row>
    <row r="769" spans="1:19">
      <c r="A769" s="3227" t="s">
        <v>4761</v>
      </c>
      <c r="B769" s="3228">
        <v>34.46</v>
      </c>
      <c r="C769" s="3241">
        <f t="shared" si="124"/>
        <v>1</v>
      </c>
      <c r="D769" s="3239" t="s">
        <v>4330</v>
      </c>
      <c r="E769" s="3241">
        <f t="shared" si="115"/>
        <v>1.02</v>
      </c>
      <c r="F769" s="635"/>
      <c r="G769" s="3241">
        <f t="shared" si="116"/>
        <v>1</v>
      </c>
      <c r="H769" s="635"/>
      <c r="I769" s="3241">
        <f t="shared" si="117"/>
        <v>1</v>
      </c>
      <c r="J769" s="635"/>
      <c r="K769" s="3241">
        <f t="shared" si="118"/>
        <v>1</v>
      </c>
      <c r="L769" s="635"/>
      <c r="M769" s="3241">
        <f t="shared" si="119"/>
        <v>1</v>
      </c>
      <c r="N769" s="635"/>
      <c r="O769" s="3241">
        <f t="shared" si="120"/>
        <v>1</v>
      </c>
      <c r="P769" s="635"/>
      <c r="Q769" s="3241">
        <f t="shared" si="121"/>
        <v>1</v>
      </c>
      <c r="R769" s="3241">
        <f t="shared" ca="1" si="122"/>
        <v>5145</v>
      </c>
      <c r="S769" s="905">
        <f t="shared" ca="1" si="123"/>
        <v>18</v>
      </c>
    </row>
    <row r="770" spans="1:19">
      <c r="A770" s="3227" t="s">
        <v>5929</v>
      </c>
      <c r="B770" s="3228">
        <v>34.46</v>
      </c>
      <c r="C770" s="3241">
        <f t="shared" si="124"/>
        <v>1</v>
      </c>
      <c r="D770" s="3239" t="s">
        <v>5494</v>
      </c>
      <c r="E770" s="3241">
        <f t="shared" si="115"/>
        <v>1.02</v>
      </c>
      <c r="F770" s="635"/>
      <c r="G770" s="3241">
        <f t="shared" si="116"/>
        <v>1</v>
      </c>
      <c r="H770" s="635"/>
      <c r="I770" s="3241">
        <f t="shared" si="117"/>
        <v>1</v>
      </c>
      <c r="J770" s="635"/>
      <c r="K770" s="3241">
        <f t="shared" si="118"/>
        <v>1</v>
      </c>
      <c r="L770" s="635"/>
      <c r="M770" s="3241">
        <f t="shared" si="119"/>
        <v>1</v>
      </c>
      <c r="N770" s="635"/>
      <c r="O770" s="3241">
        <f t="shared" si="120"/>
        <v>1</v>
      </c>
      <c r="P770" s="635"/>
      <c r="Q770" s="3241">
        <f t="shared" si="121"/>
        <v>1</v>
      </c>
      <c r="R770" s="3241">
        <f t="shared" ca="1" si="122"/>
        <v>5145</v>
      </c>
      <c r="S770" s="905">
        <f t="shared" ca="1" si="123"/>
        <v>18</v>
      </c>
    </row>
    <row r="771" spans="1:19">
      <c r="A771" s="3227" t="s">
        <v>4763</v>
      </c>
      <c r="B771" s="3228">
        <v>34.46</v>
      </c>
      <c r="C771" s="3241">
        <f t="shared" si="124"/>
        <v>1</v>
      </c>
      <c r="D771" s="3237" t="s">
        <v>4322</v>
      </c>
      <c r="E771" s="3241">
        <f t="shared" si="115"/>
        <v>1.02</v>
      </c>
      <c r="F771" s="635"/>
      <c r="G771" s="3241">
        <f t="shared" si="116"/>
        <v>1</v>
      </c>
      <c r="H771" s="635"/>
      <c r="I771" s="3241">
        <f t="shared" si="117"/>
        <v>1</v>
      </c>
      <c r="J771" s="635"/>
      <c r="K771" s="3241">
        <f t="shared" si="118"/>
        <v>1</v>
      </c>
      <c r="L771" s="635"/>
      <c r="M771" s="3241">
        <f t="shared" si="119"/>
        <v>1</v>
      </c>
      <c r="N771" s="635"/>
      <c r="O771" s="3241">
        <f t="shared" si="120"/>
        <v>1</v>
      </c>
      <c r="P771" s="635"/>
      <c r="Q771" s="3241">
        <f t="shared" si="121"/>
        <v>1</v>
      </c>
      <c r="R771" s="3241">
        <f t="shared" ca="1" si="122"/>
        <v>5145</v>
      </c>
      <c r="S771" s="905">
        <f t="shared" ca="1" si="123"/>
        <v>18</v>
      </c>
    </row>
    <row r="772" spans="1:19">
      <c r="A772" s="3227" t="s">
        <v>5931</v>
      </c>
      <c r="B772" s="3228">
        <v>34.46</v>
      </c>
      <c r="C772" s="3241">
        <f t="shared" si="124"/>
        <v>1</v>
      </c>
      <c r="D772" s="3237" t="s">
        <v>5487</v>
      </c>
      <c r="E772" s="3241">
        <f t="shared" si="115"/>
        <v>1.02</v>
      </c>
      <c r="F772" s="635"/>
      <c r="G772" s="3241">
        <f t="shared" si="116"/>
        <v>1</v>
      </c>
      <c r="H772" s="635"/>
      <c r="I772" s="3241">
        <f t="shared" si="117"/>
        <v>1</v>
      </c>
      <c r="J772" s="635"/>
      <c r="K772" s="3241">
        <f t="shared" si="118"/>
        <v>1</v>
      </c>
      <c r="L772" s="635"/>
      <c r="M772" s="3241">
        <f t="shared" si="119"/>
        <v>1</v>
      </c>
      <c r="N772" s="635"/>
      <c r="O772" s="3241">
        <f t="shared" si="120"/>
        <v>1</v>
      </c>
      <c r="P772" s="635"/>
      <c r="Q772" s="3241">
        <f t="shared" si="121"/>
        <v>1</v>
      </c>
      <c r="R772" s="3241">
        <f t="shared" ca="1" si="122"/>
        <v>5145</v>
      </c>
      <c r="S772" s="905">
        <f t="shared" ca="1" si="123"/>
        <v>18</v>
      </c>
    </row>
    <row r="773" spans="1:19">
      <c r="A773" s="3227" t="s">
        <v>4765</v>
      </c>
      <c r="B773" s="3228">
        <v>33.04</v>
      </c>
      <c r="C773" s="3241">
        <f t="shared" si="124"/>
        <v>1</v>
      </c>
      <c r="D773" s="3237" t="s">
        <v>4322</v>
      </c>
      <c r="E773" s="3241">
        <f t="shared" si="115"/>
        <v>1.02</v>
      </c>
      <c r="F773" s="635"/>
      <c r="G773" s="3241">
        <f t="shared" si="116"/>
        <v>1</v>
      </c>
      <c r="H773" s="635"/>
      <c r="I773" s="3241">
        <f t="shared" si="117"/>
        <v>1</v>
      </c>
      <c r="J773" s="635"/>
      <c r="K773" s="3241">
        <f t="shared" si="118"/>
        <v>1</v>
      </c>
      <c r="L773" s="635"/>
      <c r="M773" s="3241">
        <f t="shared" si="119"/>
        <v>1</v>
      </c>
      <c r="N773" s="635"/>
      <c r="O773" s="3241">
        <f t="shared" si="120"/>
        <v>1</v>
      </c>
      <c r="P773" s="635"/>
      <c r="Q773" s="3241">
        <f t="shared" si="121"/>
        <v>1</v>
      </c>
      <c r="R773" s="3241">
        <f t="shared" ca="1" si="122"/>
        <v>5145</v>
      </c>
      <c r="S773" s="905">
        <f t="shared" ca="1" si="123"/>
        <v>17</v>
      </c>
    </row>
    <row r="774" spans="1:19">
      <c r="A774" s="3227" t="s">
        <v>5933</v>
      </c>
      <c r="B774" s="3228">
        <v>34.46</v>
      </c>
      <c r="C774" s="3241">
        <f t="shared" si="124"/>
        <v>1</v>
      </c>
      <c r="D774" s="3237" t="s">
        <v>5487</v>
      </c>
      <c r="E774" s="3241">
        <f t="shared" si="115"/>
        <v>1.02</v>
      </c>
      <c r="F774" s="635"/>
      <c r="G774" s="3241">
        <f t="shared" si="116"/>
        <v>1</v>
      </c>
      <c r="H774" s="635"/>
      <c r="I774" s="3241">
        <f t="shared" si="117"/>
        <v>1</v>
      </c>
      <c r="J774" s="635"/>
      <c r="K774" s="3241">
        <f t="shared" si="118"/>
        <v>1</v>
      </c>
      <c r="L774" s="635"/>
      <c r="M774" s="3241">
        <f t="shared" si="119"/>
        <v>1</v>
      </c>
      <c r="N774" s="635"/>
      <c r="O774" s="3241">
        <f t="shared" si="120"/>
        <v>1</v>
      </c>
      <c r="P774" s="635"/>
      <c r="Q774" s="3241">
        <f t="shared" si="121"/>
        <v>1</v>
      </c>
      <c r="R774" s="3241">
        <f t="shared" ca="1" si="122"/>
        <v>5145</v>
      </c>
      <c r="S774" s="905">
        <f t="shared" ca="1" si="123"/>
        <v>18</v>
      </c>
    </row>
    <row r="775" spans="1:19">
      <c r="A775" s="3227" t="s">
        <v>4767</v>
      </c>
      <c r="B775" s="3228">
        <v>34.46</v>
      </c>
      <c r="C775" s="3241">
        <f t="shared" si="124"/>
        <v>1</v>
      </c>
      <c r="D775" s="3239" t="s">
        <v>4330</v>
      </c>
      <c r="E775" s="3241">
        <f t="shared" si="115"/>
        <v>1.02</v>
      </c>
      <c r="F775" s="635"/>
      <c r="G775" s="3241">
        <f t="shared" si="116"/>
        <v>1</v>
      </c>
      <c r="H775" s="635"/>
      <c r="I775" s="3241">
        <f t="shared" si="117"/>
        <v>1</v>
      </c>
      <c r="J775" s="635"/>
      <c r="K775" s="3241">
        <f t="shared" si="118"/>
        <v>1</v>
      </c>
      <c r="L775" s="635"/>
      <c r="M775" s="3241">
        <f t="shared" si="119"/>
        <v>1</v>
      </c>
      <c r="N775" s="635"/>
      <c r="O775" s="3241">
        <f t="shared" si="120"/>
        <v>1</v>
      </c>
      <c r="P775" s="635"/>
      <c r="Q775" s="3241">
        <f t="shared" si="121"/>
        <v>1</v>
      </c>
      <c r="R775" s="3241">
        <f t="shared" ca="1" si="122"/>
        <v>5145</v>
      </c>
      <c r="S775" s="905">
        <f t="shared" ca="1" si="123"/>
        <v>18</v>
      </c>
    </row>
    <row r="776" spans="1:19">
      <c r="A776" s="3227" t="s">
        <v>5935</v>
      </c>
      <c r="B776" s="3228">
        <v>36.630000000000003</v>
      </c>
      <c r="C776" s="3241">
        <f t="shared" si="124"/>
        <v>1</v>
      </c>
      <c r="D776" s="3237" t="s">
        <v>5487</v>
      </c>
      <c r="E776" s="3241">
        <f t="shared" si="115"/>
        <v>1.02</v>
      </c>
      <c r="F776" s="635"/>
      <c r="G776" s="3241">
        <f t="shared" si="116"/>
        <v>1</v>
      </c>
      <c r="H776" s="635"/>
      <c r="I776" s="3241">
        <f t="shared" si="117"/>
        <v>1</v>
      </c>
      <c r="J776" s="635"/>
      <c r="K776" s="3241">
        <f t="shared" si="118"/>
        <v>1</v>
      </c>
      <c r="L776" s="635"/>
      <c r="M776" s="3241">
        <f t="shared" si="119"/>
        <v>1</v>
      </c>
      <c r="N776" s="635"/>
      <c r="O776" s="3241">
        <f t="shared" si="120"/>
        <v>1</v>
      </c>
      <c r="P776" s="635"/>
      <c r="Q776" s="3241">
        <f t="shared" si="121"/>
        <v>1</v>
      </c>
      <c r="R776" s="3241">
        <f t="shared" ca="1" si="122"/>
        <v>5145</v>
      </c>
      <c r="S776" s="905">
        <f t="shared" ca="1" si="123"/>
        <v>19</v>
      </c>
    </row>
    <row r="777" spans="1:19">
      <c r="A777" s="3227" t="s">
        <v>4769</v>
      </c>
      <c r="B777" s="3228">
        <v>34.46</v>
      </c>
      <c r="C777" s="3241">
        <f t="shared" si="124"/>
        <v>1</v>
      </c>
      <c r="D777" s="3237" t="s">
        <v>4322</v>
      </c>
      <c r="E777" s="3241">
        <f t="shared" si="115"/>
        <v>1.02</v>
      </c>
      <c r="F777" s="635"/>
      <c r="G777" s="3241">
        <f t="shared" si="116"/>
        <v>1</v>
      </c>
      <c r="H777" s="635"/>
      <c r="I777" s="3241">
        <f t="shared" si="117"/>
        <v>1</v>
      </c>
      <c r="J777" s="635"/>
      <c r="K777" s="3241">
        <f t="shared" si="118"/>
        <v>1</v>
      </c>
      <c r="L777" s="635"/>
      <c r="M777" s="3241">
        <f t="shared" si="119"/>
        <v>1</v>
      </c>
      <c r="N777" s="635"/>
      <c r="O777" s="3241">
        <f t="shared" si="120"/>
        <v>1</v>
      </c>
      <c r="P777" s="635"/>
      <c r="Q777" s="3241">
        <f t="shared" si="121"/>
        <v>1</v>
      </c>
      <c r="R777" s="3241">
        <f t="shared" ca="1" si="122"/>
        <v>5145</v>
      </c>
      <c r="S777" s="905">
        <f t="shared" ca="1" si="123"/>
        <v>18</v>
      </c>
    </row>
    <row r="778" spans="1:19">
      <c r="A778" s="3227" t="s">
        <v>5937</v>
      </c>
      <c r="B778" s="3228">
        <v>34.46</v>
      </c>
      <c r="C778" s="3241">
        <f t="shared" si="124"/>
        <v>1</v>
      </c>
      <c r="D778" s="3237" t="s">
        <v>5487</v>
      </c>
      <c r="E778" s="3241">
        <f t="shared" si="115"/>
        <v>1.02</v>
      </c>
      <c r="F778" s="635"/>
      <c r="G778" s="3241">
        <f t="shared" si="116"/>
        <v>1</v>
      </c>
      <c r="H778" s="635"/>
      <c r="I778" s="3241">
        <f t="shared" si="117"/>
        <v>1</v>
      </c>
      <c r="J778" s="635"/>
      <c r="K778" s="3241">
        <f t="shared" si="118"/>
        <v>1</v>
      </c>
      <c r="L778" s="635"/>
      <c r="M778" s="3241">
        <f t="shared" si="119"/>
        <v>1</v>
      </c>
      <c r="N778" s="635"/>
      <c r="O778" s="3241">
        <f t="shared" si="120"/>
        <v>1</v>
      </c>
      <c r="P778" s="635"/>
      <c r="Q778" s="3241">
        <f t="shared" si="121"/>
        <v>1</v>
      </c>
      <c r="R778" s="3241">
        <f t="shared" ca="1" si="122"/>
        <v>5145</v>
      </c>
      <c r="S778" s="905">
        <f t="shared" ca="1" si="123"/>
        <v>18</v>
      </c>
    </row>
    <row r="779" spans="1:19">
      <c r="A779" s="3227" t="s">
        <v>4771</v>
      </c>
      <c r="B779" s="3228">
        <v>36.630000000000003</v>
      </c>
      <c r="C779" s="3241">
        <f t="shared" si="124"/>
        <v>1</v>
      </c>
      <c r="D779" s="3237" t="s">
        <v>4322</v>
      </c>
      <c r="E779" s="3241">
        <f t="shared" si="115"/>
        <v>1.02</v>
      </c>
      <c r="F779" s="635"/>
      <c r="G779" s="3241">
        <f t="shared" si="116"/>
        <v>1</v>
      </c>
      <c r="H779" s="635"/>
      <c r="I779" s="3241">
        <f t="shared" si="117"/>
        <v>1</v>
      </c>
      <c r="J779" s="635"/>
      <c r="K779" s="3241">
        <f t="shared" si="118"/>
        <v>1</v>
      </c>
      <c r="L779" s="635"/>
      <c r="M779" s="3241">
        <f t="shared" si="119"/>
        <v>1</v>
      </c>
      <c r="N779" s="635"/>
      <c r="O779" s="3241">
        <f t="shared" si="120"/>
        <v>1</v>
      </c>
      <c r="P779" s="635"/>
      <c r="Q779" s="3241">
        <f t="shared" si="121"/>
        <v>1</v>
      </c>
      <c r="R779" s="3241">
        <f t="shared" ca="1" si="122"/>
        <v>5145</v>
      </c>
      <c r="S779" s="905">
        <f t="shared" ca="1" si="123"/>
        <v>19</v>
      </c>
    </row>
    <row r="780" spans="1:19">
      <c r="A780" s="3227" t="s">
        <v>5939</v>
      </c>
      <c r="B780" s="3228">
        <v>36.630000000000003</v>
      </c>
      <c r="C780" s="3241">
        <f t="shared" si="124"/>
        <v>1</v>
      </c>
      <c r="D780" s="3237" t="s">
        <v>5487</v>
      </c>
      <c r="E780" s="3241">
        <f t="shared" si="115"/>
        <v>1.02</v>
      </c>
      <c r="F780" s="635"/>
      <c r="G780" s="3241">
        <f t="shared" si="116"/>
        <v>1</v>
      </c>
      <c r="H780" s="635"/>
      <c r="I780" s="3241">
        <f t="shared" si="117"/>
        <v>1</v>
      </c>
      <c r="J780" s="635"/>
      <c r="K780" s="3241">
        <f t="shared" si="118"/>
        <v>1</v>
      </c>
      <c r="L780" s="635"/>
      <c r="M780" s="3241">
        <f t="shared" si="119"/>
        <v>1</v>
      </c>
      <c r="N780" s="635"/>
      <c r="O780" s="3241">
        <f t="shared" si="120"/>
        <v>1</v>
      </c>
      <c r="P780" s="635"/>
      <c r="Q780" s="3241">
        <f t="shared" si="121"/>
        <v>1</v>
      </c>
      <c r="R780" s="3241">
        <f t="shared" ca="1" si="122"/>
        <v>5145</v>
      </c>
      <c r="S780" s="905">
        <f t="shared" ca="1" si="123"/>
        <v>19</v>
      </c>
    </row>
    <row r="781" spans="1:19">
      <c r="A781" s="3227" t="s">
        <v>4773</v>
      </c>
      <c r="B781" s="3228">
        <v>36.630000000000003</v>
      </c>
      <c r="C781" s="3241">
        <f t="shared" si="124"/>
        <v>1</v>
      </c>
      <c r="D781" s="3237" t="s">
        <v>4322</v>
      </c>
      <c r="E781" s="3241">
        <f t="shared" ref="E781:E844" si="125">(SUMIF($5:$5,D781,$6:$6)-SUMIF($5:$5,$D$24,$6:$6)+100)/100</f>
        <v>1.02</v>
      </c>
      <c r="F781" s="635"/>
      <c r="G781" s="3241">
        <f t="shared" ref="G781:G844" si="126">(SUMIF($7:$7,F781,$8:$8)-SUMIF($7:$7,$F$24,$8:$8)+100)/100</f>
        <v>1</v>
      </c>
      <c r="H781" s="635"/>
      <c r="I781" s="3241">
        <f t="shared" ref="I781:I844" si="127">(SUMIF($9:$9,H781,$10:$10)-SUMIF($9:$9,$H$24,$10:$10)+100)/100</f>
        <v>1</v>
      </c>
      <c r="J781" s="635"/>
      <c r="K781" s="3241">
        <f t="shared" ref="K781:K844" si="128">(SUMIF($11:$11,J781,$12:$12)-SUMIF($11:$11,$J$24,$12:$12)+100)/100</f>
        <v>1</v>
      </c>
      <c r="L781" s="635"/>
      <c r="M781" s="3241">
        <f t="shared" ref="M781:M844" si="129">(SUMIF($13:$13,L781,$14:$14)-SUMIF($13:$13,$L$24,$14:$14)+100)/100</f>
        <v>1</v>
      </c>
      <c r="N781" s="635"/>
      <c r="O781" s="3241">
        <f t="shared" ref="O781:O844" si="130">(SUMIF($15:$15,N781,$16:$16)-SUMIF($15:$15,$N$24,$16:$16)+100)/100</f>
        <v>1</v>
      </c>
      <c r="P781" s="635"/>
      <c r="Q781" s="3241">
        <f t="shared" ref="Q781:Q844" si="131">(SUMIF($17:$17,P781,$18:$18)-SUMIF($17:$17,$P$24,$18:$18)+100)/100</f>
        <v>1</v>
      </c>
      <c r="R781" s="3241">
        <f t="shared" ref="R781:R844" ca="1" si="132">IF(B781="",0,ROUND($R$24*C781*E781*G781*I781*K781*M781*O781*Q781,0))</f>
        <v>5145</v>
      </c>
      <c r="S781" s="905">
        <f t="shared" ref="S781:S844" ca="1" si="133">ROUND(R781*B781/10000,0)</f>
        <v>19</v>
      </c>
    </row>
    <row r="782" spans="1:19">
      <c r="A782" s="3227" t="s">
        <v>5941</v>
      </c>
      <c r="B782" s="3228">
        <v>36.630000000000003</v>
      </c>
      <c r="C782" s="3241">
        <f t="shared" si="124"/>
        <v>1</v>
      </c>
      <c r="D782" s="3237" t="s">
        <v>5487</v>
      </c>
      <c r="E782" s="3241">
        <f t="shared" si="125"/>
        <v>1.02</v>
      </c>
      <c r="F782" s="635"/>
      <c r="G782" s="3241">
        <f t="shared" si="126"/>
        <v>1</v>
      </c>
      <c r="H782" s="635"/>
      <c r="I782" s="3241">
        <f t="shared" si="127"/>
        <v>1</v>
      </c>
      <c r="J782" s="635"/>
      <c r="K782" s="3241">
        <f t="shared" si="128"/>
        <v>1</v>
      </c>
      <c r="L782" s="635"/>
      <c r="M782" s="3241">
        <f t="shared" si="129"/>
        <v>1</v>
      </c>
      <c r="N782" s="635"/>
      <c r="O782" s="3241">
        <f t="shared" si="130"/>
        <v>1</v>
      </c>
      <c r="P782" s="635"/>
      <c r="Q782" s="3241">
        <f t="shared" si="131"/>
        <v>1</v>
      </c>
      <c r="R782" s="3241">
        <f t="shared" ca="1" si="132"/>
        <v>5145</v>
      </c>
      <c r="S782" s="905">
        <f t="shared" ca="1" si="133"/>
        <v>19</v>
      </c>
    </row>
    <row r="783" spans="1:19">
      <c r="A783" s="3227" t="s">
        <v>4775</v>
      </c>
      <c r="B783" s="3228">
        <v>36.630000000000003</v>
      </c>
      <c r="C783" s="3241">
        <f t="shared" si="124"/>
        <v>1</v>
      </c>
      <c r="D783" s="3237" t="s">
        <v>4322</v>
      </c>
      <c r="E783" s="3241">
        <f t="shared" si="125"/>
        <v>1.02</v>
      </c>
      <c r="F783" s="635"/>
      <c r="G783" s="3241">
        <f t="shared" si="126"/>
        <v>1</v>
      </c>
      <c r="H783" s="635"/>
      <c r="I783" s="3241">
        <f t="shared" si="127"/>
        <v>1</v>
      </c>
      <c r="J783" s="635"/>
      <c r="K783" s="3241">
        <f t="shared" si="128"/>
        <v>1</v>
      </c>
      <c r="L783" s="635"/>
      <c r="M783" s="3241">
        <f t="shared" si="129"/>
        <v>1</v>
      </c>
      <c r="N783" s="635"/>
      <c r="O783" s="3241">
        <f t="shared" si="130"/>
        <v>1</v>
      </c>
      <c r="P783" s="635"/>
      <c r="Q783" s="3241">
        <f t="shared" si="131"/>
        <v>1</v>
      </c>
      <c r="R783" s="3241">
        <f t="shared" ca="1" si="132"/>
        <v>5145</v>
      </c>
      <c r="S783" s="905">
        <f t="shared" ca="1" si="133"/>
        <v>19</v>
      </c>
    </row>
    <row r="784" spans="1:19">
      <c r="A784" s="3227" t="s">
        <v>5943</v>
      </c>
      <c r="B784" s="3228">
        <v>36.630000000000003</v>
      </c>
      <c r="C784" s="3241">
        <f t="shared" si="124"/>
        <v>1</v>
      </c>
      <c r="D784" s="3237" t="s">
        <v>5487</v>
      </c>
      <c r="E784" s="3241">
        <f t="shared" si="125"/>
        <v>1.02</v>
      </c>
      <c r="F784" s="635"/>
      <c r="G784" s="3241">
        <f t="shared" si="126"/>
        <v>1</v>
      </c>
      <c r="H784" s="635"/>
      <c r="I784" s="3241">
        <f t="shared" si="127"/>
        <v>1</v>
      </c>
      <c r="J784" s="635"/>
      <c r="K784" s="3241">
        <f t="shared" si="128"/>
        <v>1</v>
      </c>
      <c r="L784" s="635"/>
      <c r="M784" s="3241">
        <f t="shared" si="129"/>
        <v>1</v>
      </c>
      <c r="N784" s="635"/>
      <c r="O784" s="3241">
        <f t="shared" si="130"/>
        <v>1</v>
      </c>
      <c r="P784" s="635"/>
      <c r="Q784" s="3241">
        <f t="shared" si="131"/>
        <v>1</v>
      </c>
      <c r="R784" s="3241">
        <f t="shared" ca="1" si="132"/>
        <v>5145</v>
      </c>
      <c r="S784" s="905">
        <f t="shared" ca="1" si="133"/>
        <v>19</v>
      </c>
    </row>
    <row r="785" spans="1:19">
      <c r="A785" s="3227" t="s">
        <v>4777</v>
      </c>
      <c r="B785" s="3228">
        <v>36.630000000000003</v>
      </c>
      <c r="C785" s="3241">
        <f t="shared" si="124"/>
        <v>1</v>
      </c>
      <c r="D785" s="3237" t="s">
        <v>4322</v>
      </c>
      <c r="E785" s="3241">
        <f t="shared" si="125"/>
        <v>1.02</v>
      </c>
      <c r="F785" s="635"/>
      <c r="G785" s="3241">
        <f t="shared" si="126"/>
        <v>1</v>
      </c>
      <c r="H785" s="635"/>
      <c r="I785" s="3241">
        <f t="shared" si="127"/>
        <v>1</v>
      </c>
      <c r="J785" s="635"/>
      <c r="K785" s="3241">
        <f t="shared" si="128"/>
        <v>1</v>
      </c>
      <c r="L785" s="635"/>
      <c r="M785" s="3241">
        <f t="shared" si="129"/>
        <v>1</v>
      </c>
      <c r="N785" s="635"/>
      <c r="O785" s="3241">
        <f t="shared" si="130"/>
        <v>1</v>
      </c>
      <c r="P785" s="635"/>
      <c r="Q785" s="3241">
        <f t="shared" si="131"/>
        <v>1</v>
      </c>
      <c r="R785" s="3241">
        <f t="shared" ca="1" si="132"/>
        <v>5145</v>
      </c>
      <c r="S785" s="905">
        <f t="shared" ca="1" si="133"/>
        <v>19</v>
      </c>
    </row>
    <row r="786" spans="1:19">
      <c r="A786" s="3227" t="s">
        <v>5945</v>
      </c>
      <c r="B786" s="3228">
        <v>36.630000000000003</v>
      </c>
      <c r="C786" s="3241">
        <f t="shared" si="124"/>
        <v>1</v>
      </c>
      <c r="D786" s="3237" t="s">
        <v>5487</v>
      </c>
      <c r="E786" s="3241">
        <f t="shared" si="125"/>
        <v>1.02</v>
      </c>
      <c r="F786" s="635"/>
      <c r="G786" s="3241">
        <f t="shared" si="126"/>
        <v>1</v>
      </c>
      <c r="H786" s="635"/>
      <c r="I786" s="3241">
        <f t="shared" si="127"/>
        <v>1</v>
      </c>
      <c r="J786" s="635"/>
      <c r="K786" s="3241">
        <f t="shared" si="128"/>
        <v>1</v>
      </c>
      <c r="L786" s="635"/>
      <c r="M786" s="3241">
        <f t="shared" si="129"/>
        <v>1</v>
      </c>
      <c r="N786" s="635"/>
      <c r="O786" s="3241">
        <f t="shared" si="130"/>
        <v>1</v>
      </c>
      <c r="P786" s="635"/>
      <c r="Q786" s="3241">
        <f t="shared" si="131"/>
        <v>1</v>
      </c>
      <c r="R786" s="3241">
        <f t="shared" ca="1" si="132"/>
        <v>5145</v>
      </c>
      <c r="S786" s="905">
        <f t="shared" ca="1" si="133"/>
        <v>19</v>
      </c>
    </row>
    <row r="787" spans="1:19">
      <c r="A787" s="3227" t="s">
        <v>4779</v>
      </c>
      <c r="B787" s="3228">
        <v>36.630000000000003</v>
      </c>
      <c r="C787" s="3241">
        <f t="shared" si="124"/>
        <v>1</v>
      </c>
      <c r="D787" s="3239" t="s">
        <v>4330</v>
      </c>
      <c r="E787" s="3241">
        <f t="shared" si="125"/>
        <v>1.02</v>
      </c>
      <c r="F787" s="635"/>
      <c r="G787" s="3241">
        <f t="shared" si="126"/>
        <v>1</v>
      </c>
      <c r="H787" s="635"/>
      <c r="I787" s="3241">
        <f t="shared" si="127"/>
        <v>1</v>
      </c>
      <c r="J787" s="635"/>
      <c r="K787" s="3241">
        <f t="shared" si="128"/>
        <v>1</v>
      </c>
      <c r="L787" s="635"/>
      <c r="M787" s="3241">
        <f t="shared" si="129"/>
        <v>1</v>
      </c>
      <c r="N787" s="635"/>
      <c r="O787" s="3241">
        <f t="shared" si="130"/>
        <v>1</v>
      </c>
      <c r="P787" s="635"/>
      <c r="Q787" s="3241">
        <f t="shared" si="131"/>
        <v>1</v>
      </c>
      <c r="R787" s="3241">
        <f t="shared" ca="1" si="132"/>
        <v>5145</v>
      </c>
      <c r="S787" s="905">
        <f t="shared" ca="1" si="133"/>
        <v>19</v>
      </c>
    </row>
    <row r="788" spans="1:19">
      <c r="A788" s="3227" t="s">
        <v>5947</v>
      </c>
      <c r="B788" s="3228">
        <v>36.630000000000003</v>
      </c>
      <c r="C788" s="3241">
        <f t="shared" si="124"/>
        <v>1</v>
      </c>
      <c r="D788" s="3237" t="s">
        <v>5487</v>
      </c>
      <c r="E788" s="3241">
        <f t="shared" si="125"/>
        <v>1.02</v>
      </c>
      <c r="F788" s="635"/>
      <c r="G788" s="3241">
        <f t="shared" si="126"/>
        <v>1</v>
      </c>
      <c r="H788" s="635"/>
      <c r="I788" s="3241">
        <f t="shared" si="127"/>
        <v>1</v>
      </c>
      <c r="J788" s="635"/>
      <c r="K788" s="3241">
        <f t="shared" si="128"/>
        <v>1</v>
      </c>
      <c r="L788" s="635"/>
      <c r="M788" s="3241">
        <f t="shared" si="129"/>
        <v>1</v>
      </c>
      <c r="N788" s="635"/>
      <c r="O788" s="3241">
        <f t="shared" si="130"/>
        <v>1</v>
      </c>
      <c r="P788" s="635"/>
      <c r="Q788" s="3241">
        <f t="shared" si="131"/>
        <v>1</v>
      </c>
      <c r="R788" s="3241">
        <f t="shared" ca="1" si="132"/>
        <v>5145</v>
      </c>
      <c r="S788" s="905">
        <f t="shared" ca="1" si="133"/>
        <v>19</v>
      </c>
    </row>
    <row r="789" spans="1:19">
      <c r="A789" s="3227" t="s">
        <v>4781</v>
      </c>
      <c r="B789" s="3228">
        <v>36.630000000000003</v>
      </c>
      <c r="C789" s="3241">
        <f t="shared" si="124"/>
        <v>1</v>
      </c>
      <c r="D789" s="3237" t="s">
        <v>4322</v>
      </c>
      <c r="E789" s="3241">
        <f t="shared" si="125"/>
        <v>1.02</v>
      </c>
      <c r="F789" s="635"/>
      <c r="G789" s="3241">
        <f t="shared" si="126"/>
        <v>1</v>
      </c>
      <c r="H789" s="635"/>
      <c r="I789" s="3241">
        <f t="shared" si="127"/>
        <v>1</v>
      </c>
      <c r="J789" s="635"/>
      <c r="K789" s="3241">
        <f t="shared" si="128"/>
        <v>1</v>
      </c>
      <c r="L789" s="635"/>
      <c r="M789" s="3241">
        <f t="shared" si="129"/>
        <v>1</v>
      </c>
      <c r="N789" s="635"/>
      <c r="O789" s="3241">
        <f t="shared" si="130"/>
        <v>1</v>
      </c>
      <c r="P789" s="635"/>
      <c r="Q789" s="3241">
        <f t="shared" si="131"/>
        <v>1</v>
      </c>
      <c r="R789" s="3241">
        <f t="shared" ca="1" si="132"/>
        <v>5145</v>
      </c>
      <c r="S789" s="905">
        <f t="shared" ca="1" si="133"/>
        <v>19</v>
      </c>
    </row>
    <row r="790" spans="1:19">
      <c r="A790" s="3227" t="s">
        <v>5949</v>
      </c>
      <c r="B790" s="3228">
        <v>36.630000000000003</v>
      </c>
      <c r="C790" s="3241">
        <f t="shared" si="124"/>
        <v>1</v>
      </c>
      <c r="D790" s="3237" t="s">
        <v>5487</v>
      </c>
      <c r="E790" s="3241">
        <f t="shared" si="125"/>
        <v>1.02</v>
      </c>
      <c r="F790" s="635"/>
      <c r="G790" s="3241">
        <f t="shared" si="126"/>
        <v>1</v>
      </c>
      <c r="H790" s="635"/>
      <c r="I790" s="3241">
        <f t="shared" si="127"/>
        <v>1</v>
      </c>
      <c r="J790" s="635"/>
      <c r="K790" s="3241">
        <f t="shared" si="128"/>
        <v>1</v>
      </c>
      <c r="L790" s="635"/>
      <c r="M790" s="3241">
        <f t="shared" si="129"/>
        <v>1</v>
      </c>
      <c r="N790" s="635"/>
      <c r="O790" s="3241">
        <f t="shared" si="130"/>
        <v>1</v>
      </c>
      <c r="P790" s="635"/>
      <c r="Q790" s="3241">
        <f t="shared" si="131"/>
        <v>1</v>
      </c>
      <c r="R790" s="3241">
        <f t="shared" ca="1" si="132"/>
        <v>5145</v>
      </c>
      <c r="S790" s="905">
        <f t="shared" ca="1" si="133"/>
        <v>19</v>
      </c>
    </row>
    <row r="791" spans="1:19">
      <c r="A791" s="3227" t="s">
        <v>4783</v>
      </c>
      <c r="B791" s="3228">
        <v>36.630000000000003</v>
      </c>
      <c r="C791" s="3241">
        <f t="shared" si="124"/>
        <v>1</v>
      </c>
      <c r="D791" s="3237" t="s">
        <v>4322</v>
      </c>
      <c r="E791" s="3241">
        <f t="shared" si="125"/>
        <v>1.02</v>
      </c>
      <c r="F791" s="635"/>
      <c r="G791" s="3241">
        <f t="shared" si="126"/>
        <v>1</v>
      </c>
      <c r="H791" s="635"/>
      <c r="I791" s="3241">
        <f t="shared" si="127"/>
        <v>1</v>
      </c>
      <c r="J791" s="635"/>
      <c r="K791" s="3241">
        <f t="shared" si="128"/>
        <v>1</v>
      </c>
      <c r="L791" s="635"/>
      <c r="M791" s="3241">
        <f t="shared" si="129"/>
        <v>1</v>
      </c>
      <c r="N791" s="635"/>
      <c r="O791" s="3241">
        <f t="shared" si="130"/>
        <v>1</v>
      </c>
      <c r="P791" s="635"/>
      <c r="Q791" s="3241">
        <f t="shared" si="131"/>
        <v>1</v>
      </c>
      <c r="R791" s="3241">
        <f t="shared" ca="1" si="132"/>
        <v>5145</v>
      </c>
      <c r="S791" s="905">
        <f t="shared" ca="1" si="133"/>
        <v>19</v>
      </c>
    </row>
    <row r="792" spans="1:19">
      <c r="A792" s="3227" t="s">
        <v>5951</v>
      </c>
      <c r="B792" s="3228">
        <v>36.630000000000003</v>
      </c>
      <c r="C792" s="3241">
        <f t="shared" si="124"/>
        <v>1</v>
      </c>
      <c r="D792" s="3237" t="s">
        <v>5487</v>
      </c>
      <c r="E792" s="3241">
        <f t="shared" si="125"/>
        <v>1.02</v>
      </c>
      <c r="F792" s="635"/>
      <c r="G792" s="3241">
        <f t="shared" si="126"/>
        <v>1</v>
      </c>
      <c r="H792" s="635"/>
      <c r="I792" s="3241">
        <f t="shared" si="127"/>
        <v>1</v>
      </c>
      <c r="J792" s="635"/>
      <c r="K792" s="3241">
        <f t="shared" si="128"/>
        <v>1</v>
      </c>
      <c r="L792" s="635"/>
      <c r="M792" s="3241">
        <f t="shared" si="129"/>
        <v>1</v>
      </c>
      <c r="N792" s="635"/>
      <c r="O792" s="3241">
        <f t="shared" si="130"/>
        <v>1</v>
      </c>
      <c r="P792" s="635"/>
      <c r="Q792" s="3241">
        <f t="shared" si="131"/>
        <v>1</v>
      </c>
      <c r="R792" s="3241">
        <f t="shared" ca="1" si="132"/>
        <v>5145</v>
      </c>
      <c r="S792" s="905">
        <f t="shared" ca="1" si="133"/>
        <v>19</v>
      </c>
    </row>
    <row r="793" spans="1:19">
      <c r="A793" s="3227" t="s">
        <v>4785</v>
      </c>
      <c r="B793" s="3228">
        <v>36.630000000000003</v>
      </c>
      <c r="C793" s="3241">
        <f t="shared" si="124"/>
        <v>1</v>
      </c>
      <c r="D793" s="3237" t="s">
        <v>4322</v>
      </c>
      <c r="E793" s="3241">
        <f t="shared" si="125"/>
        <v>1.02</v>
      </c>
      <c r="F793" s="635"/>
      <c r="G793" s="3241">
        <f t="shared" si="126"/>
        <v>1</v>
      </c>
      <c r="H793" s="635"/>
      <c r="I793" s="3241">
        <f t="shared" si="127"/>
        <v>1</v>
      </c>
      <c r="J793" s="635"/>
      <c r="K793" s="3241">
        <f t="shared" si="128"/>
        <v>1</v>
      </c>
      <c r="L793" s="635"/>
      <c r="M793" s="3241">
        <f t="shared" si="129"/>
        <v>1</v>
      </c>
      <c r="N793" s="635"/>
      <c r="O793" s="3241">
        <f t="shared" si="130"/>
        <v>1</v>
      </c>
      <c r="P793" s="635"/>
      <c r="Q793" s="3241">
        <f t="shared" si="131"/>
        <v>1</v>
      </c>
      <c r="R793" s="3241">
        <f t="shared" ca="1" si="132"/>
        <v>5145</v>
      </c>
      <c r="S793" s="905">
        <f t="shared" ca="1" si="133"/>
        <v>19</v>
      </c>
    </row>
    <row r="794" spans="1:19">
      <c r="A794" s="3227" t="s">
        <v>5953</v>
      </c>
      <c r="B794" s="3228">
        <v>36.630000000000003</v>
      </c>
      <c r="C794" s="3241">
        <f t="shared" ref="C794:C857" si="134">IF(B794="",1,(LOOKUP(B794,$3:$3,$4:$4)-LOOKUP($B$24,$3:$3,$4:$4)+100)/100)</f>
        <v>1</v>
      </c>
      <c r="D794" s="3237" t="s">
        <v>5487</v>
      </c>
      <c r="E794" s="3241">
        <f t="shared" si="125"/>
        <v>1.02</v>
      </c>
      <c r="F794" s="635"/>
      <c r="G794" s="3241">
        <f t="shared" si="126"/>
        <v>1</v>
      </c>
      <c r="H794" s="635"/>
      <c r="I794" s="3241">
        <f t="shared" si="127"/>
        <v>1</v>
      </c>
      <c r="J794" s="635"/>
      <c r="K794" s="3241">
        <f t="shared" si="128"/>
        <v>1</v>
      </c>
      <c r="L794" s="635"/>
      <c r="M794" s="3241">
        <f t="shared" si="129"/>
        <v>1</v>
      </c>
      <c r="N794" s="635"/>
      <c r="O794" s="3241">
        <f t="shared" si="130"/>
        <v>1</v>
      </c>
      <c r="P794" s="635"/>
      <c r="Q794" s="3241">
        <f t="shared" si="131"/>
        <v>1</v>
      </c>
      <c r="R794" s="3241">
        <f t="shared" ca="1" si="132"/>
        <v>5145</v>
      </c>
      <c r="S794" s="905">
        <f t="shared" ca="1" si="133"/>
        <v>19</v>
      </c>
    </row>
    <row r="795" spans="1:19">
      <c r="A795" s="3227" t="s">
        <v>4787</v>
      </c>
      <c r="B795" s="3228">
        <v>36.630000000000003</v>
      </c>
      <c r="C795" s="3241">
        <f t="shared" si="134"/>
        <v>1</v>
      </c>
      <c r="D795" s="3237" t="s">
        <v>4322</v>
      </c>
      <c r="E795" s="3241">
        <f t="shared" si="125"/>
        <v>1.02</v>
      </c>
      <c r="F795" s="635"/>
      <c r="G795" s="3241">
        <f t="shared" si="126"/>
        <v>1</v>
      </c>
      <c r="H795" s="635"/>
      <c r="I795" s="3241">
        <f t="shared" si="127"/>
        <v>1</v>
      </c>
      <c r="J795" s="635"/>
      <c r="K795" s="3241">
        <f t="shared" si="128"/>
        <v>1</v>
      </c>
      <c r="L795" s="635"/>
      <c r="M795" s="3241">
        <f t="shared" si="129"/>
        <v>1</v>
      </c>
      <c r="N795" s="635"/>
      <c r="O795" s="3241">
        <f t="shared" si="130"/>
        <v>1</v>
      </c>
      <c r="P795" s="635"/>
      <c r="Q795" s="3241">
        <f t="shared" si="131"/>
        <v>1</v>
      </c>
      <c r="R795" s="3241">
        <f t="shared" ca="1" si="132"/>
        <v>5145</v>
      </c>
      <c r="S795" s="905">
        <f t="shared" ca="1" si="133"/>
        <v>19</v>
      </c>
    </row>
    <row r="796" spans="1:19">
      <c r="A796" s="3227" t="s">
        <v>5955</v>
      </c>
      <c r="B796" s="3228">
        <v>36.630000000000003</v>
      </c>
      <c r="C796" s="3241">
        <f t="shared" si="134"/>
        <v>1</v>
      </c>
      <c r="D796" s="3237" t="s">
        <v>5487</v>
      </c>
      <c r="E796" s="3241">
        <f t="shared" si="125"/>
        <v>1.02</v>
      </c>
      <c r="F796" s="635"/>
      <c r="G796" s="3241">
        <f t="shared" si="126"/>
        <v>1</v>
      </c>
      <c r="H796" s="635"/>
      <c r="I796" s="3241">
        <f t="shared" si="127"/>
        <v>1</v>
      </c>
      <c r="J796" s="635"/>
      <c r="K796" s="3241">
        <f t="shared" si="128"/>
        <v>1</v>
      </c>
      <c r="L796" s="635"/>
      <c r="M796" s="3241">
        <f t="shared" si="129"/>
        <v>1</v>
      </c>
      <c r="N796" s="635"/>
      <c r="O796" s="3241">
        <f t="shared" si="130"/>
        <v>1</v>
      </c>
      <c r="P796" s="635"/>
      <c r="Q796" s="3241">
        <f t="shared" si="131"/>
        <v>1</v>
      </c>
      <c r="R796" s="3241">
        <f t="shared" ca="1" si="132"/>
        <v>5145</v>
      </c>
      <c r="S796" s="905">
        <f t="shared" ca="1" si="133"/>
        <v>19</v>
      </c>
    </row>
    <row r="797" spans="1:19">
      <c r="A797" s="3227" t="s">
        <v>4789</v>
      </c>
      <c r="B797" s="3228">
        <v>36.630000000000003</v>
      </c>
      <c r="C797" s="3241">
        <f t="shared" si="134"/>
        <v>1</v>
      </c>
      <c r="D797" s="3237" t="s">
        <v>4322</v>
      </c>
      <c r="E797" s="3241">
        <f t="shared" si="125"/>
        <v>1.02</v>
      </c>
      <c r="F797" s="635"/>
      <c r="G797" s="3241">
        <f t="shared" si="126"/>
        <v>1</v>
      </c>
      <c r="H797" s="635"/>
      <c r="I797" s="3241">
        <f t="shared" si="127"/>
        <v>1</v>
      </c>
      <c r="J797" s="635"/>
      <c r="K797" s="3241">
        <f t="shared" si="128"/>
        <v>1</v>
      </c>
      <c r="L797" s="635"/>
      <c r="M797" s="3241">
        <f t="shared" si="129"/>
        <v>1</v>
      </c>
      <c r="N797" s="635"/>
      <c r="O797" s="3241">
        <f t="shared" si="130"/>
        <v>1</v>
      </c>
      <c r="P797" s="635"/>
      <c r="Q797" s="3241">
        <f t="shared" si="131"/>
        <v>1</v>
      </c>
      <c r="R797" s="3241">
        <f t="shared" ca="1" si="132"/>
        <v>5145</v>
      </c>
      <c r="S797" s="905">
        <f t="shared" ca="1" si="133"/>
        <v>19</v>
      </c>
    </row>
    <row r="798" spans="1:19">
      <c r="A798" s="3227" t="s">
        <v>5957</v>
      </c>
      <c r="B798" s="3228">
        <v>36.630000000000003</v>
      </c>
      <c r="C798" s="3241">
        <f t="shared" si="134"/>
        <v>1</v>
      </c>
      <c r="D798" s="3237" t="s">
        <v>5487</v>
      </c>
      <c r="E798" s="3241">
        <f t="shared" si="125"/>
        <v>1.02</v>
      </c>
      <c r="F798" s="635"/>
      <c r="G798" s="3241">
        <f t="shared" si="126"/>
        <v>1</v>
      </c>
      <c r="H798" s="635"/>
      <c r="I798" s="3241">
        <f t="shared" si="127"/>
        <v>1</v>
      </c>
      <c r="J798" s="635"/>
      <c r="K798" s="3241">
        <f t="shared" si="128"/>
        <v>1</v>
      </c>
      <c r="L798" s="635"/>
      <c r="M798" s="3241">
        <f t="shared" si="129"/>
        <v>1</v>
      </c>
      <c r="N798" s="635"/>
      <c r="O798" s="3241">
        <f t="shared" si="130"/>
        <v>1</v>
      </c>
      <c r="P798" s="635"/>
      <c r="Q798" s="3241">
        <f t="shared" si="131"/>
        <v>1</v>
      </c>
      <c r="R798" s="3241">
        <f t="shared" ca="1" si="132"/>
        <v>5145</v>
      </c>
      <c r="S798" s="905">
        <f t="shared" ca="1" si="133"/>
        <v>19</v>
      </c>
    </row>
    <row r="799" spans="1:19">
      <c r="A799" s="3227" t="s">
        <v>4791</v>
      </c>
      <c r="B799" s="3228">
        <v>36.630000000000003</v>
      </c>
      <c r="C799" s="3241">
        <f t="shared" si="134"/>
        <v>1</v>
      </c>
      <c r="D799" s="3237" t="s">
        <v>4322</v>
      </c>
      <c r="E799" s="3241">
        <f t="shared" si="125"/>
        <v>1.02</v>
      </c>
      <c r="F799" s="635"/>
      <c r="G799" s="3241">
        <f t="shared" si="126"/>
        <v>1</v>
      </c>
      <c r="H799" s="635"/>
      <c r="I799" s="3241">
        <f t="shared" si="127"/>
        <v>1</v>
      </c>
      <c r="J799" s="635"/>
      <c r="K799" s="3241">
        <f t="shared" si="128"/>
        <v>1</v>
      </c>
      <c r="L799" s="635"/>
      <c r="M799" s="3241">
        <f t="shared" si="129"/>
        <v>1</v>
      </c>
      <c r="N799" s="635"/>
      <c r="O799" s="3241">
        <f t="shared" si="130"/>
        <v>1</v>
      </c>
      <c r="P799" s="635"/>
      <c r="Q799" s="3241">
        <f t="shared" si="131"/>
        <v>1</v>
      </c>
      <c r="R799" s="3241">
        <f t="shared" ca="1" si="132"/>
        <v>5145</v>
      </c>
      <c r="S799" s="905">
        <f t="shared" ca="1" si="133"/>
        <v>19</v>
      </c>
    </row>
    <row r="800" spans="1:19">
      <c r="A800" s="3227" t="s">
        <v>5959</v>
      </c>
      <c r="B800" s="3228">
        <v>36.630000000000003</v>
      </c>
      <c r="C800" s="3241">
        <f t="shared" si="134"/>
        <v>1</v>
      </c>
      <c r="D800" s="3239" t="s">
        <v>5494</v>
      </c>
      <c r="E800" s="3241">
        <f t="shared" si="125"/>
        <v>1.02</v>
      </c>
      <c r="F800" s="635"/>
      <c r="G800" s="3241">
        <f t="shared" si="126"/>
        <v>1</v>
      </c>
      <c r="H800" s="635"/>
      <c r="I800" s="3241">
        <f t="shared" si="127"/>
        <v>1</v>
      </c>
      <c r="J800" s="635"/>
      <c r="K800" s="3241">
        <f t="shared" si="128"/>
        <v>1</v>
      </c>
      <c r="L800" s="635"/>
      <c r="M800" s="3241">
        <f t="shared" si="129"/>
        <v>1</v>
      </c>
      <c r="N800" s="635"/>
      <c r="O800" s="3241">
        <f t="shared" si="130"/>
        <v>1</v>
      </c>
      <c r="P800" s="635"/>
      <c r="Q800" s="3241">
        <f t="shared" si="131"/>
        <v>1</v>
      </c>
      <c r="R800" s="3241">
        <f t="shared" ca="1" si="132"/>
        <v>5145</v>
      </c>
      <c r="S800" s="905">
        <f t="shared" ca="1" si="133"/>
        <v>19</v>
      </c>
    </row>
    <row r="801" spans="1:19">
      <c r="A801" s="3227" t="s">
        <v>4793</v>
      </c>
      <c r="B801" s="3228">
        <v>34.46</v>
      </c>
      <c r="C801" s="3241">
        <f t="shared" si="134"/>
        <v>1</v>
      </c>
      <c r="D801" s="3239" t="s">
        <v>4330</v>
      </c>
      <c r="E801" s="3241">
        <f t="shared" si="125"/>
        <v>1.02</v>
      </c>
      <c r="F801" s="635"/>
      <c r="G801" s="3241">
        <f t="shared" si="126"/>
        <v>1</v>
      </c>
      <c r="H801" s="635"/>
      <c r="I801" s="3241">
        <f t="shared" si="127"/>
        <v>1</v>
      </c>
      <c r="J801" s="635"/>
      <c r="K801" s="3241">
        <f t="shared" si="128"/>
        <v>1</v>
      </c>
      <c r="L801" s="635"/>
      <c r="M801" s="3241">
        <f t="shared" si="129"/>
        <v>1</v>
      </c>
      <c r="N801" s="635"/>
      <c r="O801" s="3241">
        <f t="shared" si="130"/>
        <v>1</v>
      </c>
      <c r="P801" s="635"/>
      <c r="Q801" s="3241">
        <f t="shared" si="131"/>
        <v>1</v>
      </c>
      <c r="R801" s="3241">
        <f t="shared" ca="1" si="132"/>
        <v>5145</v>
      </c>
      <c r="S801" s="905">
        <f t="shared" ca="1" si="133"/>
        <v>18</v>
      </c>
    </row>
    <row r="802" spans="1:19">
      <c r="A802" s="3227" t="s">
        <v>5961</v>
      </c>
      <c r="B802" s="3228">
        <v>34.46</v>
      </c>
      <c r="C802" s="3241">
        <f t="shared" si="134"/>
        <v>1</v>
      </c>
      <c r="D802" s="3237" t="s">
        <v>5487</v>
      </c>
      <c r="E802" s="3241">
        <f t="shared" si="125"/>
        <v>1.02</v>
      </c>
      <c r="F802" s="635"/>
      <c r="G802" s="3241">
        <f t="shared" si="126"/>
        <v>1</v>
      </c>
      <c r="H802" s="635"/>
      <c r="I802" s="3241">
        <f t="shared" si="127"/>
        <v>1</v>
      </c>
      <c r="J802" s="635"/>
      <c r="K802" s="3241">
        <f t="shared" si="128"/>
        <v>1</v>
      </c>
      <c r="L802" s="635"/>
      <c r="M802" s="3241">
        <f t="shared" si="129"/>
        <v>1</v>
      </c>
      <c r="N802" s="635"/>
      <c r="O802" s="3241">
        <f t="shared" si="130"/>
        <v>1</v>
      </c>
      <c r="P802" s="635"/>
      <c r="Q802" s="3241">
        <f t="shared" si="131"/>
        <v>1</v>
      </c>
      <c r="R802" s="3241">
        <f t="shared" ca="1" si="132"/>
        <v>5145</v>
      </c>
      <c r="S802" s="905">
        <f t="shared" ca="1" si="133"/>
        <v>18</v>
      </c>
    </row>
    <row r="803" spans="1:19">
      <c r="A803" s="3227" t="s">
        <v>4795</v>
      </c>
      <c r="B803" s="3228">
        <v>34.46</v>
      </c>
      <c r="C803" s="3241">
        <f t="shared" si="134"/>
        <v>1</v>
      </c>
      <c r="D803" s="3237" t="s">
        <v>4322</v>
      </c>
      <c r="E803" s="3241">
        <f t="shared" si="125"/>
        <v>1.02</v>
      </c>
      <c r="F803" s="635"/>
      <c r="G803" s="3241">
        <f t="shared" si="126"/>
        <v>1</v>
      </c>
      <c r="H803" s="635"/>
      <c r="I803" s="3241">
        <f t="shared" si="127"/>
        <v>1</v>
      </c>
      <c r="J803" s="635"/>
      <c r="K803" s="3241">
        <f t="shared" si="128"/>
        <v>1</v>
      </c>
      <c r="L803" s="635"/>
      <c r="M803" s="3241">
        <f t="shared" si="129"/>
        <v>1</v>
      </c>
      <c r="N803" s="635"/>
      <c r="O803" s="3241">
        <f t="shared" si="130"/>
        <v>1</v>
      </c>
      <c r="P803" s="635"/>
      <c r="Q803" s="3241">
        <f t="shared" si="131"/>
        <v>1</v>
      </c>
      <c r="R803" s="3241">
        <f t="shared" ca="1" si="132"/>
        <v>5145</v>
      </c>
      <c r="S803" s="905">
        <f t="shared" ca="1" si="133"/>
        <v>18</v>
      </c>
    </row>
    <row r="804" spans="1:19">
      <c r="A804" s="3227" t="s">
        <v>5963</v>
      </c>
      <c r="B804" s="3228">
        <v>34.46</v>
      </c>
      <c r="C804" s="3241">
        <f t="shared" si="134"/>
        <v>1</v>
      </c>
      <c r="D804" s="3237" t="s">
        <v>5487</v>
      </c>
      <c r="E804" s="3241">
        <f t="shared" si="125"/>
        <v>1.02</v>
      </c>
      <c r="F804" s="635"/>
      <c r="G804" s="3241">
        <f t="shared" si="126"/>
        <v>1</v>
      </c>
      <c r="H804" s="635"/>
      <c r="I804" s="3241">
        <f t="shared" si="127"/>
        <v>1</v>
      </c>
      <c r="J804" s="635"/>
      <c r="K804" s="3241">
        <f t="shared" si="128"/>
        <v>1</v>
      </c>
      <c r="L804" s="635"/>
      <c r="M804" s="3241">
        <f t="shared" si="129"/>
        <v>1</v>
      </c>
      <c r="N804" s="635"/>
      <c r="O804" s="3241">
        <f t="shared" si="130"/>
        <v>1</v>
      </c>
      <c r="P804" s="635"/>
      <c r="Q804" s="3241">
        <f t="shared" si="131"/>
        <v>1</v>
      </c>
      <c r="R804" s="3241">
        <f t="shared" ca="1" si="132"/>
        <v>5145</v>
      </c>
      <c r="S804" s="905">
        <f t="shared" ca="1" si="133"/>
        <v>18</v>
      </c>
    </row>
    <row r="805" spans="1:19">
      <c r="A805" s="3227" t="s">
        <v>4797</v>
      </c>
      <c r="B805" s="3228">
        <v>34.46</v>
      </c>
      <c r="C805" s="3241">
        <f t="shared" si="134"/>
        <v>1</v>
      </c>
      <c r="D805" s="3237" t="s">
        <v>4322</v>
      </c>
      <c r="E805" s="3241">
        <f t="shared" si="125"/>
        <v>1.02</v>
      </c>
      <c r="F805" s="635"/>
      <c r="G805" s="3241">
        <f t="shared" si="126"/>
        <v>1</v>
      </c>
      <c r="H805" s="635"/>
      <c r="I805" s="3241">
        <f t="shared" si="127"/>
        <v>1</v>
      </c>
      <c r="J805" s="635"/>
      <c r="K805" s="3241">
        <f t="shared" si="128"/>
        <v>1</v>
      </c>
      <c r="L805" s="635"/>
      <c r="M805" s="3241">
        <f t="shared" si="129"/>
        <v>1</v>
      </c>
      <c r="N805" s="635"/>
      <c r="O805" s="3241">
        <f t="shared" si="130"/>
        <v>1</v>
      </c>
      <c r="P805" s="635"/>
      <c r="Q805" s="3241">
        <f t="shared" si="131"/>
        <v>1</v>
      </c>
      <c r="R805" s="3241">
        <f t="shared" ca="1" si="132"/>
        <v>5145</v>
      </c>
      <c r="S805" s="905">
        <f t="shared" ca="1" si="133"/>
        <v>18</v>
      </c>
    </row>
    <row r="806" spans="1:19">
      <c r="A806" s="3227" t="s">
        <v>5965</v>
      </c>
      <c r="B806" s="3228">
        <v>34.46</v>
      </c>
      <c r="C806" s="3241">
        <f t="shared" si="134"/>
        <v>1</v>
      </c>
      <c r="D806" s="3237" t="s">
        <v>5487</v>
      </c>
      <c r="E806" s="3241">
        <f t="shared" si="125"/>
        <v>1.02</v>
      </c>
      <c r="F806" s="635"/>
      <c r="G806" s="3241">
        <f t="shared" si="126"/>
        <v>1</v>
      </c>
      <c r="H806" s="635"/>
      <c r="I806" s="3241">
        <f t="shared" si="127"/>
        <v>1</v>
      </c>
      <c r="J806" s="635"/>
      <c r="K806" s="3241">
        <f t="shared" si="128"/>
        <v>1</v>
      </c>
      <c r="L806" s="635"/>
      <c r="M806" s="3241">
        <f t="shared" si="129"/>
        <v>1</v>
      </c>
      <c r="N806" s="635"/>
      <c r="O806" s="3241">
        <f t="shared" si="130"/>
        <v>1</v>
      </c>
      <c r="P806" s="635"/>
      <c r="Q806" s="3241">
        <f t="shared" si="131"/>
        <v>1</v>
      </c>
      <c r="R806" s="3241">
        <f t="shared" ca="1" si="132"/>
        <v>5145</v>
      </c>
      <c r="S806" s="905">
        <f t="shared" ca="1" si="133"/>
        <v>18</v>
      </c>
    </row>
    <row r="807" spans="1:19">
      <c r="A807" s="3227" t="s">
        <v>4799</v>
      </c>
      <c r="B807" s="3228">
        <v>34.46</v>
      </c>
      <c r="C807" s="3241">
        <f t="shared" si="134"/>
        <v>1</v>
      </c>
      <c r="D807" s="3237" t="s">
        <v>4322</v>
      </c>
      <c r="E807" s="3241">
        <f t="shared" si="125"/>
        <v>1.02</v>
      </c>
      <c r="F807" s="635"/>
      <c r="G807" s="3241">
        <f t="shared" si="126"/>
        <v>1</v>
      </c>
      <c r="H807" s="635"/>
      <c r="I807" s="3241">
        <f t="shared" si="127"/>
        <v>1</v>
      </c>
      <c r="J807" s="635"/>
      <c r="K807" s="3241">
        <f t="shared" si="128"/>
        <v>1</v>
      </c>
      <c r="L807" s="635"/>
      <c r="M807" s="3241">
        <f t="shared" si="129"/>
        <v>1</v>
      </c>
      <c r="N807" s="635"/>
      <c r="O807" s="3241">
        <f t="shared" si="130"/>
        <v>1</v>
      </c>
      <c r="P807" s="635"/>
      <c r="Q807" s="3241">
        <f t="shared" si="131"/>
        <v>1</v>
      </c>
      <c r="R807" s="3241">
        <f t="shared" ca="1" si="132"/>
        <v>5145</v>
      </c>
      <c r="S807" s="905">
        <f t="shared" ca="1" si="133"/>
        <v>18</v>
      </c>
    </row>
    <row r="808" spans="1:19">
      <c r="A808" s="3227" t="s">
        <v>5967</v>
      </c>
      <c r="B808" s="3228">
        <v>34.46</v>
      </c>
      <c r="C808" s="3241">
        <f t="shared" si="134"/>
        <v>1</v>
      </c>
      <c r="D808" s="3237" t="s">
        <v>5487</v>
      </c>
      <c r="E808" s="3241">
        <f t="shared" si="125"/>
        <v>1.02</v>
      </c>
      <c r="F808" s="635"/>
      <c r="G808" s="3241">
        <f t="shared" si="126"/>
        <v>1</v>
      </c>
      <c r="H808" s="635"/>
      <c r="I808" s="3241">
        <f t="shared" si="127"/>
        <v>1</v>
      </c>
      <c r="J808" s="635"/>
      <c r="K808" s="3241">
        <f t="shared" si="128"/>
        <v>1</v>
      </c>
      <c r="L808" s="635"/>
      <c r="M808" s="3241">
        <f t="shared" si="129"/>
        <v>1</v>
      </c>
      <c r="N808" s="635"/>
      <c r="O808" s="3241">
        <f t="shared" si="130"/>
        <v>1</v>
      </c>
      <c r="P808" s="635"/>
      <c r="Q808" s="3241">
        <f t="shared" si="131"/>
        <v>1</v>
      </c>
      <c r="R808" s="3241">
        <f t="shared" ca="1" si="132"/>
        <v>5145</v>
      </c>
      <c r="S808" s="905">
        <f t="shared" ca="1" si="133"/>
        <v>18</v>
      </c>
    </row>
    <row r="809" spans="1:19">
      <c r="A809" s="3227" t="s">
        <v>4801</v>
      </c>
      <c r="B809" s="3228">
        <v>34.46</v>
      </c>
      <c r="C809" s="3241">
        <f t="shared" si="134"/>
        <v>1</v>
      </c>
      <c r="D809" s="3237" t="s">
        <v>4322</v>
      </c>
      <c r="E809" s="3241">
        <f t="shared" si="125"/>
        <v>1.02</v>
      </c>
      <c r="F809" s="635"/>
      <c r="G809" s="3241">
        <f t="shared" si="126"/>
        <v>1</v>
      </c>
      <c r="H809" s="635"/>
      <c r="I809" s="3241">
        <f t="shared" si="127"/>
        <v>1</v>
      </c>
      <c r="J809" s="635"/>
      <c r="K809" s="3241">
        <f t="shared" si="128"/>
        <v>1</v>
      </c>
      <c r="L809" s="635"/>
      <c r="M809" s="3241">
        <f t="shared" si="129"/>
        <v>1</v>
      </c>
      <c r="N809" s="635"/>
      <c r="O809" s="3241">
        <f t="shared" si="130"/>
        <v>1</v>
      </c>
      <c r="P809" s="635"/>
      <c r="Q809" s="3241">
        <f t="shared" si="131"/>
        <v>1</v>
      </c>
      <c r="R809" s="3241">
        <f t="shared" ca="1" si="132"/>
        <v>5145</v>
      </c>
      <c r="S809" s="905">
        <f t="shared" ca="1" si="133"/>
        <v>18</v>
      </c>
    </row>
    <row r="810" spans="1:19">
      <c r="A810" s="3227" t="s">
        <v>5969</v>
      </c>
      <c r="B810" s="3228">
        <v>34.46</v>
      </c>
      <c r="C810" s="3241">
        <f t="shared" si="134"/>
        <v>1</v>
      </c>
      <c r="D810" s="3237" t="s">
        <v>5487</v>
      </c>
      <c r="E810" s="3241">
        <f t="shared" si="125"/>
        <v>1.02</v>
      </c>
      <c r="F810" s="635"/>
      <c r="G810" s="3241">
        <f t="shared" si="126"/>
        <v>1</v>
      </c>
      <c r="H810" s="635"/>
      <c r="I810" s="3241">
        <f t="shared" si="127"/>
        <v>1</v>
      </c>
      <c r="J810" s="635"/>
      <c r="K810" s="3241">
        <f t="shared" si="128"/>
        <v>1</v>
      </c>
      <c r="L810" s="635"/>
      <c r="M810" s="3241">
        <f t="shared" si="129"/>
        <v>1</v>
      </c>
      <c r="N810" s="635"/>
      <c r="O810" s="3241">
        <f t="shared" si="130"/>
        <v>1</v>
      </c>
      <c r="P810" s="635"/>
      <c r="Q810" s="3241">
        <f t="shared" si="131"/>
        <v>1</v>
      </c>
      <c r="R810" s="3241">
        <f t="shared" ca="1" si="132"/>
        <v>5145</v>
      </c>
      <c r="S810" s="905">
        <f t="shared" ca="1" si="133"/>
        <v>18</v>
      </c>
    </row>
    <row r="811" spans="1:19">
      <c r="A811" s="3227" t="s">
        <v>4803</v>
      </c>
      <c r="B811" s="3228">
        <v>34.46</v>
      </c>
      <c r="C811" s="3241">
        <f t="shared" si="134"/>
        <v>1</v>
      </c>
      <c r="D811" s="3237" t="s">
        <v>4322</v>
      </c>
      <c r="E811" s="3241">
        <f t="shared" si="125"/>
        <v>1.02</v>
      </c>
      <c r="F811" s="635"/>
      <c r="G811" s="3241">
        <f t="shared" si="126"/>
        <v>1</v>
      </c>
      <c r="H811" s="635"/>
      <c r="I811" s="3241">
        <f t="shared" si="127"/>
        <v>1</v>
      </c>
      <c r="J811" s="635"/>
      <c r="K811" s="3241">
        <f t="shared" si="128"/>
        <v>1</v>
      </c>
      <c r="L811" s="635"/>
      <c r="M811" s="3241">
        <f t="shared" si="129"/>
        <v>1</v>
      </c>
      <c r="N811" s="635"/>
      <c r="O811" s="3241">
        <f t="shared" si="130"/>
        <v>1</v>
      </c>
      <c r="P811" s="635"/>
      <c r="Q811" s="3241">
        <f t="shared" si="131"/>
        <v>1</v>
      </c>
      <c r="R811" s="3241">
        <f t="shared" ca="1" si="132"/>
        <v>5145</v>
      </c>
      <c r="S811" s="905">
        <f t="shared" ca="1" si="133"/>
        <v>18</v>
      </c>
    </row>
    <row r="812" spans="1:19">
      <c r="A812" s="3227" t="s">
        <v>5971</v>
      </c>
      <c r="B812" s="3228">
        <v>34.46</v>
      </c>
      <c r="C812" s="3241">
        <f t="shared" si="134"/>
        <v>1</v>
      </c>
      <c r="D812" s="3237" t="s">
        <v>5487</v>
      </c>
      <c r="E812" s="3241">
        <f t="shared" si="125"/>
        <v>1.02</v>
      </c>
      <c r="F812" s="635"/>
      <c r="G812" s="3241">
        <f t="shared" si="126"/>
        <v>1</v>
      </c>
      <c r="H812" s="635"/>
      <c r="I812" s="3241">
        <f t="shared" si="127"/>
        <v>1</v>
      </c>
      <c r="J812" s="635"/>
      <c r="K812" s="3241">
        <f t="shared" si="128"/>
        <v>1</v>
      </c>
      <c r="L812" s="635"/>
      <c r="M812" s="3241">
        <f t="shared" si="129"/>
        <v>1</v>
      </c>
      <c r="N812" s="635"/>
      <c r="O812" s="3241">
        <f t="shared" si="130"/>
        <v>1</v>
      </c>
      <c r="P812" s="635"/>
      <c r="Q812" s="3241">
        <f t="shared" si="131"/>
        <v>1</v>
      </c>
      <c r="R812" s="3241">
        <f t="shared" ca="1" si="132"/>
        <v>5145</v>
      </c>
      <c r="S812" s="905">
        <f t="shared" ca="1" si="133"/>
        <v>18</v>
      </c>
    </row>
    <row r="813" spans="1:19">
      <c r="A813" s="3227" t="s">
        <v>4805</v>
      </c>
      <c r="B813" s="3228">
        <v>34.46</v>
      </c>
      <c r="C813" s="3241">
        <f t="shared" si="134"/>
        <v>1</v>
      </c>
      <c r="D813" s="3237" t="s">
        <v>4322</v>
      </c>
      <c r="E813" s="3241">
        <f t="shared" si="125"/>
        <v>1.02</v>
      </c>
      <c r="F813" s="635"/>
      <c r="G813" s="3241">
        <f t="shared" si="126"/>
        <v>1</v>
      </c>
      <c r="H813" s="635"/>
      <c r="I813" s="3241">
        <f t="shared" si="127"/>
        <v>1</v>
      </c>
      <c r="J813" s="635"/>
      <c r="K813" s="3241">
        <f t="shared" si="128"/>
        <v>1</v>
      </c>
      <c r="L813" s="635"/>
      <c r="M813" s="3241">
        <f t="shared" si="129"/>
        <v>1</v>
      </c>
      <c r="N813" s="635"/>
      <c r="O813" s="3241">
        <f t="shared" si="130"/>
        <v>1</v>
      </c>
      <c r="P813" s="635"/>
      <c r="Q813" s="3241">
        <f t="shared" si="131"/>
        <v>1</v>
      </c>
      <c r="R813" s="3241">
        <f t="shared" ca="1" si="132"/>
        <v>5145</v>
      </c>
      <c r="S813" s="905">
        <f t="shared" ca="1" si="133"/>
        <v>18</v>
      </c>
    </row>
    <row r="814" spans="1:19">
      <c r="A814" s="3227" t="s">
        <v>5973</v>
      </c>
      <c r="B814" s="3228">
        <v>34.46</v>
      </c>
      <c r="C814" s="3241">
        <f t="shared" si="134"/>
        <v>1</v>
      </c>
      <c r="D814" s="3237" t="s">
        <v>5487</v>
      </c>
      <c r="E814" s="3241">
        <f t="shared" si="125"/>
        <v>1.02</v>
      </c>
      <c r="F814" s="635"/>
      <c r="G814" s="3241">
        <f t="shared" si="126"/>
        <v>1</v>
      </c>
      <c r="H814" s="635"/>
      <c r="I814" s="3241">
        <f t="shared" si="127"/>
        <v>1</v>
      </c>
      <c r="J814" s="635"/>
      <c r="K814" s="3241">
        <f t="shared" si="128"/>
        <v>1</v>
      </c>
      <c r="L814" s="635"/>
      <c r="M814" s="3241">
        <f t="shared" si="129"/>
        <v>1</v>
      </c>
      <c r="N814" s="635"/>
      <c r="O814" s="3241">
        <f t="shared" si="130"/>
        <v>1</v>
      </c>
      <c r="P814" s="635"/>
      <c r="Q814" s="3241">
        <f t="shared" si="131"/>
        <v>1</v>
      </c>
      <c r="R814" s="3241">
        <f t="shared" ca="1" si="132"/>
        <v>5145</v>
      </c>
      <c r="S814" s="905">
        <f t="shared" ca="1" si="133"/>
        <v>18</v>
      </c>
    </row>
    <row r="815" spans="1:19">
      <c r="A815" s="3227" t="s">
        <v>4807</v>
      </c>
      <c r="B815" s="3228">
        <v>34.46</v>
      </c>
      <c r="C815" s="3241">
        <f t="shared" si="134"/>
        <v>1</v>
      </c>
      <c r="D815" s="3237" t="s">
        <v>4322</v>
      </c>
      <c r="E815" s="3241">
        <f t="shared" si="125"/>
        <v>1.02</v>
      </c>
      <c r="F815" s="635"/>
      <c r="G815" s="3241">
        <f t="shared" si="126"/>
        <v>1</v>
      </c>
      <c r="H815" s="635"/>
      <c r="I815" s="3241">
        <f t="shared" si="127"/>
        <v>1</v>
      </c>
      <c r="J815" s="635"/>
      <c r="K815" s="3241">
        <f t="shared" si="128"/>
        <v>1</v>
      </c>
      <c r="L815" s="635"/>
      <c r="M815" s="3241">
        <f t="shared" si="129"/>
        <v>1</v>
      </c>
      <c r="N815" s="635"/>
      <c r="O815" s="3241">
        <f t="shared" si="130"/>
        <v>1</v>
      </c>
      <c r="P815" s="635"/>
      <c r="Q815" s="3241">
        <f t="shared" si="131"/>
        <v>1</v>
      </c>
      <c r="R815" s="3241">
        <f t="shared" ca="1" si="132"/>
        <v>5145</v>
      </c>
      <c r="S815" s="905">
        <f t="shared" ca="1" si="133"/>
        <v>18</v>
      </c>
    </row>
    <row r="816" spans="1:19">
      <c r="A816" s="3227" t="s">
        <v>5975</v>
      </c>
      <c r="B816" s="3228">
        <v>34.46</v>
      </c>
      <c r="C816" s="3241">
        <f t="shared" si="134"/>
        <v>1</v>
      </c>
      <c r="D816" s="3237" t="s">
        <v>5487</v>
      </c>
      <c r="E816" s="3241">
        <f t="shared" si="125"/>
        <v>1.02</v>
      </c>
      <c r="F816" s="635"/>
      <c r="G816" s="3241">
        <f t="shared" si="126"/>
        <v>1</v>
      </c>
      <c r="H816" s="635"/>
      <c r="I816" s="3241">
        <f t="shared" si="127"/>
        <v>1</v>
      </c>
      <c r="J816" s="635"/>
      <c r="K816" s="3241">
        <f t="shared" si="128"/>
        <v>1</v>
      </c>
      <c r="L816" s="635"/>
      <c r="M816" s="3241">
        <f t="shared" si="129"/>
        <v>1</v>
      </c>
      <c r="N816" s="635"/>
      <c r="O816" s="3241">
        <f t="shared" si="130"/>
        <v>1</v>
      </c>
      <c r="P816" s="635"/>
      <c r="Q816" s="3241">
        <f t="shared" si="131"/>
        <v>1</v>
      </c>
      <c r="R816" s="3241">
        <f t="shared" ca="1" si="132"/>
        <v>5145</v>
      </c>
      <c r="S816" s="905">
        <f t="shared" ca="1" si="133"/>
        <v>18</v>
      </c>
    </row>
    <row r="817" spans="1:19">
      <c r="A817" s="3227" t="s">
        <v>4809</v>
      </c>
      <c r="B817" s="3228">
        <v>33.04</v>
      </c>
      <c r="C817" s="3241">
        <f t="shared" si="134"/>
        <v>1</v>
      </c>
      <c r="D817" s="3237" t="s">
        <v>4322</v>
      </c>
      <c r="E817" s="3241">
        <f t="shared" si="125"/>
        <v>1.02</v>
      </c>
      <c r="F817" s="635"/>
      <c r="G817" s="3241">
        <f t="shared" si="126"/>
        <v>1</v>
      </c>
      <c r="H817" s="635"/>
      <c r="I817" s="3241">
        <f t="shared" si="127"/>
        <v>1</v>
      </c>
      <c r="J817" s="635"/>
      <c r="K817" s="3241">
        <f t="shared" si="128"/>
        <v>1</v>
      </c>
      <c r="L817" s="635"/>
      <c r="M817" s="3241">
        <f t="shared" si="129"/>
        <v>1</v>
      </c>
      <c r="N817" s="635"/>
      <c r="O817" s="3241">
        <f t="shared" si="130"/>
        <v>1</v>
      </c>
      <c r="P817" s="635"/>
      <c r="Q817" s="3241">
        <f t="shared" si="131"/>
        <v>1</v>
      </c>
      <c r="R817" s="3241">
        <f t="shared" ca="1" si="132"/>
        <v>5145</v>
      </c>
      <c r="S817" s="905">
        <f t="shared" ca="1" si="133"/>
        <v>17</v>
      </c>
    </row>
    <row r="818" spans="1:19">
      <c r="A818" s="3227" t="s">
        <v>5977</v>
      </c>
      <c r="B818" s="3228">
        <v>35.17</v>
      </c>
      <c r="C818" s="3241">
        <f t="shared" si="134"/>
        <v>1</v>
      </c>
      <c r="D818" s="3237" t="s">
        <v>5487</v>
      </c>
      <c r="E818" s="3241">
        <f t="shared" si="125"/>
        <v>1.02</v>
      </c>
      <c r="F818" s="635"/>
      <c r="G818" s="3241">
        <f t="shared" si="126"/>
        <v>1</v>
      </c>
      <c r="H818" s="635"/>
      <c r="I818" s="3241">
        <f t="shared" si="127"/>
        <v>1</v>
      </c>
      <c r="J818" s="635"/>
      <c r="K818" s="3241">
        <f t="shared" si="128"/>
        <v>1</v>
      </c>
      <c r="L818" s="635"/>
      <c r="M818" s="3241">
        <f t="shared" si="129"/>
        <v>1</v>
      </c>
      <c r="N818" s="635"/>
      <c r="O818" s="3241">
        <f t="shared" si="130"/>
        <v>1</v>
      </c>
      <c r="P818" s="635"/>
      <c r="Q818" s="3241">
        <f t="shared" si="131"/>
        <v>1</v>
      </c>
      <c r="R818" s="3241">
        <f t="shared" ca="1" si="132"/>
        <v>5145</v>
      </c>
      <c r="S818" s="905">
        <f t="shared" ca="1" si="133"/>
        <v>18</v>
      </c>
    </row>
    <row r="819" spans="1:19">
      <c r="A819" s="3227" t="s">
        <v>4811</v>
      </c>
      <c r="B819" s="3228">
        <v>33.04</v>
      </c>
      <c r="C819" s="3241">
        <f t="shared" si="134"/>
        <v>1</v>
      </c>
      <c r="D819" s="3237" t="s">
        <v>4322</v>
      </c>
      <c r="E819" s="3241">
        <f t="shared" si="125"/>
        <v>1.02</v>
      </c>
      <c r="F819" s="635"/>
      <c r="G819" s="3241">
        <f t="shared" si="126"/>
        <v>1</v>
      </c>
      <c r="H819" s="635"/>
      <c r="I819" s="3241">
        <f t="shared" si="127"/>
        <v>1</v>
      </c>
      <c r="J819" s="635"/>
      <c r="K819" s="3241">
        <f t="shared" si="128"/>
        <v>1</v>
      </c>
      <c r="L819" s="635"/>
      <c r="M819" s="3241">
        <f t="shared" si="129"/>
        <v>1</v>
      </c>
      <c r="N819" s="635"/>
      <c r="O819" s="3241">
        <f t="shared" si="130"/>
        <v>1</v>
      </c>
      <c r="P819" s="635"/>
      <c r="Q819" s="3241">
        <f t="shared" si="131"/>
        <v>1</v>
      </c>
      <c r="R819" s="3241">
        <f t="shared" ca="1" si="132"/>
        <v>5145</v>
      </c>
      <c r="S819" s="905">
        <f t="shared" ca="1" si="133"/>
        <v>17</v>
      </c>
    </row>
    <row r="820" spans="1:19">
      <c r="A820" s="3227" t="s">
        <v>5979</v>
      </c>
      <c r="B820" s="3228">
        <v>33.04</v>
      </c>
      <c r="C820" s="3241">
        <f t="shared" si="134"/>
        <v>1</v>
      </c>
      <c r="D820" s="3239" t="s">
        <v>5494</v>
      </c>
      <c r="E820" s="3241">
        <f t="shared" si="125"/>
        <v>1.02</v>
      </c>
      <c r="F820" s="635"/>
      <c r="G820" s="3241">
        <f t="shared" si="126"/>
        <v>1</v>
      </c>
      <c r="H820" s="635"/>
      <c r="I820" s="3241">
        <f t="shared" si="127"/>
        <v>1</v>
      </c>
      <c r="J820" s="635"/>
      <c r="K820" s="3241">
        <f t="shared" si="128"/>
        <v>1</v>
      </c>
      <c r="L820" s="635"/>
      <c r="M820" s="3241">
        <f t="shared" si="129"/>
        <v>1</v>
      </c>
      <c r="N820" s="635"/>
      <c r="O820" s="3241">
        <f t="shared" si="130"/>
        <v>1</v>
      </c>
      <c r="P820" s="635"/>
      <c r="Q820" s="3241">
        <f t="shared" si="131"/>
        <v>1</v>
      </c>
      <c r="R820" s="3241">
        <f t="shared" ca="1" si="132"/>
        <v>5145</v>
      </c>
      <c r="S820" s="905">
        <f t="shared" ca="1" si="133"/>
        <v>17</v>
      </c>
    </row>
    <row r="821" spans="1:19">
      <c r="A821" s="3227" t="s">
        <v>4813</v>
      </c>
      <c r="B821" s="3228">
        <v>33.04</v>
      </c>
      <c r="C821" s="3241">
        <f t="shared" si="134"/>
        <v>1</v>
      </c>
      <c r="D821" s="3237" t="s">
        <v>4322</v>
      </c>
      <c r="E821" s="3241">
        <f t="shared" si="125"/>
        <v>1.02</v>
      </c>
      <c r="F821" s="635"/>
      <c r="G821" s="3241">
        <f t="shared" si="126"/>
        <v>1</v>
      </c>
      <c r="H821" s="635"/>
      <c r="I821" s="3241">
        <f t="shared" si="127"/>
        <v>1</v>
      </c>
      <c r="J821" s="635"/>
      <c r="K821" s="3241">
        <f t="shared" si="128"/>
        <v>1</v>
      </c>
      <c r="L821" s="635"/>
      <c r="M821" s="3241">
        <f t="shared" si="129"/>
        <v>1</v>
      </c>
      <c r="N821" s="635"/>
      <c r="O821" s="3241">
        <f t="shared" si="130"/>
        <v>1</v>
      </c>
      <c r="P821" s="635"/>
      <c r="Q821" s="3241">
        <f t="shared" si="131"/>
        <v>1</v>
      </c>
      <c r="R821" s="3241">
        <f t="shared" ca="1" si="132"/>
        <v>5145</v>
      </c>
      <c r="S821" s="905">
        <f t="shared" ca="1" si="133"/>
        <v>17</v>
      </c>
    </row>
    <row r="822" spans="1:19">
      <c r="A822" s="3227" t="s">
        <v>5981</v>
      </c>
      <c r="B822" s="3228">
        <v>34.46</v>
      </c>
      <c r="C822" s="3241">
        <f t="shared" si="134"/>
        <v>1</v>
      </c>
      <c r="D822" s="3237" t="s">
        <v>5487</v>
      </c>
      <c r="E822" s="3241">
        <f t="shared" si="125"/>
        <v>1.02</v>
      </c>
      <c r="F822" s="635"/>
      <c r="G822" s="3241">
        <f t="shared" si="126"/>
        <v>1</v>
      </c>
      <c r="H822" s="635"/>
      <c r="I822" s="3241">
        <f t="shared" si="127"/>
        <v>1</v>
      </c>
      <c r="J822" s="635"/>
      <c r="K822" s="3241">
        <f t="shared" si="128"/>
        <v>1</v>
      </c>
      <c r="L822" s="635"/>
      <c r="M822" s="3241">
        <f t="shared" si="129"/>
        <v>1</v>
      </c>
      <c r="N822" s="635"/>
      <c r="O822" s="3241">
        <f t="shared" si="130"/>
        <v>1</v>
      </c>
      <c r="P822" s="635"/>
      <c r="Q822" s="3241">
        <f t="shared" si="131"/>
        <v>1</v>
      </c>
      <c r="R822" s="3241">
        <f t="shared" ca="1" si="132"/>
        <v>5145</v>
      </c>
      <c r="S822" s="905">
        <f t="shared" ca="1" si="133"/>
        <v>18</v>
      </c>
    </row>
    <row r="823" spans="1:19">
      <c r="A823" s="3227" t="s">
        <v>4815</v>
      </c>
      <c r="B823" s="3228">
        <v>33.75</v>
      </c>
      <c r="C823" s="3241">
        <f t="shared" si="134"/>
        <v>1</v>
      </c>
      <c r="D823" s="3237" t="s">
        <v>4322</v>
      </c>
      <c r="E823" s="3241">
        <f t="shared" si="125"/>
        <v>1.02</v>
      </c>
      <c r="F823" s="635"/>
      <c r="G823" s="3241">
        <f t="shared" si="126"/>
        <v>1</v>
      </c>
      <c r="H823" s="635"/>
      <c r="I823" s="3241">
        <f t="shared" si="127"/>
        <v>1</v>
      </c>
      <c r="J823" s="635"/>
      <c r="K823" s="3241">
        <f t="shared" si="128"/>
        <v>1</v>
      </c>
      <c r="L823" s="635"/>
      <c r="M823" s="3241">
        <f t="shared" si="129"/>
        <v>1</v>
      </c>
      <c r="N823" s="635"/>
      <c r="O823" s="3241">
        <f t="shared" si="130"/>
        <v>1</v>
      </c>
      <c r="P823" s="635"/>
      <c r="Q823" s="3241">
        <f t="shared" si="131"/>
        <v>1</v>
      </c>
      <c r="R823" s="3241">
        <f t="shared" ca="1" si="132"/>
        <v>5145</v>
      </c>
      <c r="S823" s="905">
        <f t="shared" ca="1" si="133"/>
        <v>17</v>
      </c>
    </row>
    <row r="824" spans="1:19">
      <c r="A824" s="3227" t="s">
        <v>5983</v>
      </c>
      <c r="B824" s="3228">
        <v>33.75</v>
      </c>
      <c r="C824" s="3241">
        <f t="shared" si="134"/>
        <v>1</v>
      </c>
      <c r="D824" s="3237" t="s">
        <v>5487</v>
      </c>
      <c r="E824" s="3241">
        <f t="shared" si="125"/>
        <v>1.02</v>
      </c>
      <c r="F824" s="635"/>
      <c r="G824" s="3241">
        <f t="shared" si="126"/>
        <v>1</v>
      </c>
      <c r="H824" s="635"/>
      <c r="I824" s="3241">
        <f t="shared" si="127"/>
        <v>1</v>
      </c>
      <c r="J824" s="635"/>
      <c r="K824" s="3241">
        <f t="shared" si="128"/>
        <v>1</v>
      </c>
      <c r="L824" s="635"/>
      <c r="M824" s="3241">
        <f t="shared" si="129"/>
        <v>1</v>
      </c>
      <c r="N824" s="635"/>
      <c r="O824" s="3241">
        <f t="shared" si="130"/>
        <v>1</v>
      </c>
      <c r="P824" s="635"/>
      <c r="Q824" s="3241">
        <f t="shared" si="131"/>
        <v>1</v>
      </c>
      <c r="R824" s="3241">
        <f t="shared" ca="1" si="132"/>
        <v>5145</v>
      </c>
      <c r="S824" s="905">
        <f t="shared" ca="1" si="133"/>
        <v>17</v>
      </c>
    </row>
    <row r="825" spans="1:19">
      <c r="A825" s="3227" t="s">
        <v>4817</v>
      </c>
      <c r="B825" s="3228">
        <v>34.46</v>
      </c>
      <c r="C825" s="3241">
        <f t="shared" si="134"/>
        <v>1</v>
      </c>
      <c r="D825" s="3237" t="s">
        <v>4322</v>
      </c>
      <c r="E825" s="3241">
        <f t="shared" si="125"/>
        <v>1.02</v>
      </c>
      <c r="F825" s="635"/>
      <c r="G825" s="3241">
        <f t="shared" si="126"/>
        <v>1</v>
      </c>
      <c r="H825" s="635"/>
      <c r="I825" s="3241">
        <f t="shared" si="127"/>
        <v>1</v>
      </c>
      <c r="J825" s="635"/>
      <c r="K825" s="3241">
        <f t="shared" si="128"/>
        <v>1</v>
      </c>
      <c r="L825" s="635"/>
      <c r="M825" s="3241">
        <f t="shared" si="129"/>
        <v>1</v>
      </c>
      <c r="N825" s="635"/>
      <c r="O825" s="3241">
        <f t="shared" si="130"/>
        <v>1</v>
      </c>
      <c r="P825" s="635"/>
      <c r="Q825" s="3241">
        <f t="shared" si="131"/>
        <v>1</v>
      </c>
      <c r="R825" s="3241">
        <f t="shared" ca="1" si="132"/>
        <v>5145</v>
      </c>
      <c r="S825" s="905">
        <f t="shared" ca="1" si="133"/>
        <v>18</v>
      </c>
    </row>
    <row r="826" spans="1:19">
      <c r="A826" s="3227" t="s">
        <v>5985</v>
      </c>
      <c r="B826" s="3228">
        <v>34.46</v>
      </c>
      <c r="C826" s="3241">
        <f t="shared" si="134"/>
        <v>1</v>
      </c>
      <c r="D826" s="3237" t="s">
        <v>5487</v>
      </c>
      <c r="E826" s="3241">
        <f t="shared" si="125"/>
        <v>1.02</v>
      </c>
      <c r="F826" s="635"/>
      <c r="G826" s="3241">
        <f t="shared" si="126"/>
        <v>1</v>
      </c>
      <c r="H826" s="635"/>
      <c r="I826" s="3241">
        <f t="shared" si="127"/>
        <v>1</v>
      </c>
      <c r="J826" s="635"/>
      <c r="K826" s="3241">
        <f t="shared" si="128"/>
        <v>1</v>
      </c>
      <c r="L826" s="635"/>
      <c r="M826" s="3241">
        <f t="shared" si="129"/>
        <v>1</v>
      </c>
      <c r="N826" s="635"/>
      <c r="O826" s="3241">
        <f t="shared" si="130"/>
        <v>1</v>
      </c>
      <c r="P826" s="635"/>
      <c r="Q826" s="3241">
        <f t="shared" si="131"/>
        <v>1</v>
      </c>
      <c r="R826" s="3241">
        <f t="shared" ca="1" si="132"/>
        <v>5145</v>
      </c>
      <c r="S826" s="905">
        <f t="shared" ca="1" si="133"/>
        <v>18</v>
      </c>
    </row>
    <row r="827" spans="1:19">
      <c r="A827" s="3227" t="s">
        <v>4819</v>
      </c>
      <c r="B827" s="3228">
        <v>34.46</v>
      </c>
      <c r="C827" s="3241">
        <f t="shared" si="134"/>
        <v>1</v>
      </c>
      <c r="D827" s="3237" t="s">
        <v>4322</v>
      </c>
      <c r="E827" s="3241">
        <f t="shared" si="125"/>
        <v>1.02</v>
      </c>
      <c r="F827" s="635"/>
      <c r="G827" s="3241">
        <f t="shared" si="126"/>
        <v>1</v>
      </c>
      <c r="H827" s="635"/>
      <c r="I827" s="3241">
        <f t="shared" si="127"/>
        <v>1</v>
      </c>
      <c r="J827" s="635"/>
      <c r="K827" s="3241">
        <f t="shared" si="128"/>
        <v>1</v>
      </c>
      <c r="L827" s="635"/>
      <c r="M827" s="3241">
        <f t="shared" si="129"/>
        <v>1</v>
      </c>
      <c r="N827" s="635"/>
      <c r="O827" s="3241">
        <f t="shared" si="130"/>
        <v>1</v>
      </c>
      <c r="P827" s="635"/>
      <c r="Q827" s="3241">
        <f t="shared" si="131"/>
        <v>1</v>
      </c>
      <c r="R827" s="3241">
        <f t="shared" ca="1" si="132"/>
        <v>5145</v>
      </c>
      <c r="S827" s="905">
        <f t="shared" ca="1" si="133"/>
        <v>18</v>
      </c>
    </row>
    <row r="828" spans="1:19">
      <c r="A828" s="3227" t="s">
        <v>5987</v>
      </c>
      <c r="B828" s="3228">
        <v>33.04</v>
      </c>
      <c r="C828" s="3241">
        <f t="shared" si="134"/>
        <v>1</v>
      </c>
      <c r="D828" s="3239" t="s">
        <v>5494</v>
      </c>
      <c r="E828" s="3241">
        <f t="shared" si="125"/>
        <v>1.02</v>
      </c>
      <c r="F828" s="635"/>
      <c r="G828" s="3241">
        <f t="shared" si="126"/>
        <v>1</v>
      </c>
      <c r="H828" s="635"/>
      <c r="I828" s="3241">
        <f t="shared" si="127"/>
        <v>1</v>
      </c>
      <c r="J828" s="635"/>
      <c r="K828" s="3241">
        <f t="shared" si="128"/>
        <v>1</v>
      </c>
      <c r="L828" s="635"/>
      <c r="M828" s="3241">
        <f t="shared" si="129"/>
        <v>1</v>
      </c>
      <c r="N828" s="635"/>
      <c r="O828" s="3241">
        <f t="shared" si="130"/>
        <v>1</v>
      </c>
      <c r="P828" s="635"/>
      <c r="Q828" s="3241">
        <f t="shared" si="131"/>
        <v>1</v>
      </c>
      <c r="R828" s="3241">
        <f t="shared" ca="1" si="132"/>
        <v>5145</v>
      </c>
      <c r="S828" s="905">
        <f t="shared" ca="1" si="133"/>
        <v>17</v>
      </c>
    </row>
    <row r="829" spans="1:19">
      <c r="A829" s="3227" t="s">
        <v>4821</v>
      </c>
      <c r="B829" s="3228">
        <v>33.04</v>
      </c>
      <c r="C829" s="3241">
        <f t="shared" si="134"/>
        <v>1</v>
      </c>
      <c r="D829" s="3237" t="s">
        <v>4322</v>
      </c>
      <c r="E829" s="3241">
        <f t="shared" si="125"/>
        <v>1.02</v>
      </c>
      <c r="F829" s="635"/>
      <c r="G829" s="3241">
        <f t="shared" si="126"/>
        <v>1</v>
      </c>
      <c r="H829" s="635"/>
      <c r="I829" s="3241">
        <f t="shared" si="127"/>
        <v>1</v>
      </c>
      <c r="J829" s="635"/>
      <c r="K829" s="3241">
        <f t="shared" si="128"/>
        <v>1</v>
      </c>
      <c r="L829" s="635"/>
      <c r="M829" s="3241">
        <f t="shared" si="129"/>
        <v>1</v>
      </c>
      <c r="N829" s="635"/>
      <c r="O829" s="3241">
        <f t="shared" si="130"/>
        <v>1</v>
      </c>
      <c r="P829" s="635"/>
      <c r="Q829" s="3241">
        <f t="shared" si="131"/>
        <v>1</v>
      </c>
      <c r="R829" s="3241">
        <f t="shared" ca="1" si="132"/>
        <v>5145</v>
      </c>
      <c r="S829" s="905">
        <f t="shared" ca="1" si="133"/>
        <v>17</v>
      </c>
    </row>
    <row r="830" spans="1:19">
      <c r="A830" s="3227" t="s">
        <v>5989</v>
      </c>
      <c r="B830" s="3228">
        <v>33.04</v>
      </c>
      <c r="C830" s="3241">
        <f t="shared" si="134"/>
        <v>1</v>
      </c>
      <c r="D830" s="3237" t="s">
        <v>5487</v>
      </c>
      <c r="E830" s="3241">
        <f t="shared" si="125"/>
        <v>1.02</v>
      </c>
      <c r="F830" s="635"/>
      <c r="G830" s="3241">
        <f t="shared" si="126"/>
        <v>1</v>
      </c>
      <c r="H830" s="635"/>
      <c r="I830" s="3241">
        <f t="shared" si="127"/>
        <v>1</v>
      </c>
      <c r="J830" s="635"/>
      <c r="K830" s="3241">
        <f t="shared" si="128"/>
        <v>1</v>
      </c>
      <c r="L830" s="635"/>
      <c r="M830" s="3241">
        <f t="shared" si="129"/>
        <v>1</v>
      </c>
      <c r="N830" s="635"/>
      <c r="O830" s="3241">
        <f t="shared" si="130"/>
        <v>1</v>
      </c>
      <c r="P830" s="635"/>
      <c r="Q830" s="3241">
        <f t="shared" si="131"/>
        <v>1</v>
      </c>
      <c r="R830" s="3241">
        <f t="shared" ca="1" si="132"/>
        <v>5145</v>
      </c>
      <c r="S830" s="905">
        <f t="shared" ca="1" si="133"/>
        <v>17</v>
      </c>
    </row>
    <row r="831" spans="1:19">
      <c r="A831" s="3227" t="s">
        <v>4823</v>
      </c>
      <c r="B831" s="3228">
        <v>33.04</v>
      </c>
      <c r="C831" s="3241">
        <f t="shared" si="134"/>
        <v>1</v>
      </c>
      <c r="D831" s="3237" t="s">
        <v>4322</v>
      </c>
      <c r="E831" s="3241">
        <f t="shared" si="125"/>
        <v>1.02</v>
      </c>
      <c r="F831" s="635"/>
      <c r="G831" s="3241">
        <f t="shared" si="126"/>
        <v>1</v>
      </c>
      <c r="H831" s="635"/>
      <c r="I831" s="3241">
        <f t="shared" si="127"/>
        <v>1</v>
      </c>
      <c r="J831" s="635"/>
      <c r="K831" s="3241">
        <f t="shared" si="128"/>
        <v>1</v>
      </c>
      <c r="L831" s="635"/>
      <c r="M831" s="3241">
        <f t="shared" si="129"/>
        <v>1</v>
      </c>
      <c r="N831" s="635"/>
      <c r="O831" s="3241">
        <f t="shared" si="130"/>
        <v>1</v>
      </c>
      <c r="P831" s="635"/>
      <c r="Q831" s="3241">
        <f t="shared" si="131"/>
        <v>1</v>
      </c>
      <c r="R831" s="3241">
        <f t="shared" ca="1" si="132"/>
        <v>5145</v>
      </c>
      <c r="S831" s="905">
        <f t="shared" ca="1" si="133"/>
        <v>17</v>
      </c>
    </row>
    <row r="832" spans="1:19">
      <c r="A832" s="3227" t="s">
        <v>5991</v>
      </c>
      <c r="B832" s="3228">
        <v>33.04</v>
      </c>
      <c r="C832" s="3241">
        <f t="shared" si="134"/>
        <v>1</v>
      </c>
      <c r="D832" s="3237" t="s">
        <v>5487</v>
      </c>
      <c r="E832" s="3241">
        <f t="shared" si="125"/>
        <v>1.02</v>
      </c>
      <c r="F832" s="635"/>
      <c r="G832" s="3241">
        <f t="shared" si="126"/>
        <v>1</v>
      </c>
      <c r="H832" s="635"/>
      <c r="I832" s="3241">
        <f t="shared" si="127"/>
        <v>1</v>
      </c>
      <c r="J832" s="635"/>
      <c r="K832" s="3241">
        <f t="shared" si="128"/>
        <v>1</v>
      </c>
      <c r="L832" s="635"/>
      <c r="M832" s="3241">
        <f t="shared" si="129"/>
        <v>1</v>
      </c>
      <c r="N832" s="635"/>
      <c r="O832" s="3241">
        <f t="shared" si="130"/>
        <v>1</v>
      </c>
      <c r="P832" s="635"/>
      <c r="Q832" s="3241">
        <f t="shared" si="131"/>
        <v>1</v>
      </c>
      <c r="R832" s="3241">
        <f t="shared" ca="1" si="132"/>
        <v>5145</v>
      </c>
      <c r="S832" s="905">
        <f t="shared" ca="1" si="133"/>
        <v>17</v>
      </c>
    </row>
    <row r="833" spans="1:19">
      <c r="A833" s="3227" t="s">
        <v>4825</v>
      </c>
      <c r="B833" s="3228">
        <v>33.04</v>
      </c>
      <c r="C833" s="3241">
        <f t="shared" si="134"/>
        <v>1</v>
      </c>
      <c r="D833" s="3237" t="s">
        <v>4322</v>
      </c>
      <c r="E833" s="3241">
        <f t="shared" si="125"/>
        <v>1.02</v>
      </c>
      <c r="F833" s="635"/>
      <c r="G833" s="3241">
        <f t="shared" si="126"/>
        <v>1</v>
      </c>
      <c r="H833" s="635"/>
      <c r="I833" s="3241">
        <f t="shared" si="127"/>
        <v>1</v>
      </c>
      <c r="J833" s="635"/>
      <c r="K833" s="3241">
        <f t="shared" si="128"/>
        <v>1</v>
      </c>
      <c r="L833" s="635"/>
      <c r="M833" s="3241">
        <f t="shared" si="129"/>
        <v>1</v>
      </c>
      <c r="N833" s="635"/>
      <c r="O833" s="3241">
        <f t="shared" si="130"/>
        <v>1</v>
      </c>
      <c r="P833" s="635"/>
      <c r="Q833" s="3241">
        <f t="shared" si="131"/>
        <v>1</v>
      </c>
      <c r="R833" s="3241">
        <f t="shared" ca="1" si="132"/>
        <v>5145</v>
      </c>
      <c r="S833" s="905">
        <f t="shared" ca="1" si="133"/>
        <v>17</v>
      </c>
    </row>
    <row r="834" spans="1:19">
      <c r="A834" s="3227" t="s">
        <v>5993</v>
      </c>
      <c r="B834" s="3228">
        <v>33.04</v>
      </c>
      <c r="C834" s="3241">
        <f t="shared" si="134"/>
        <v>1</v>
      </c>
      <c r="D834" s="3237" t="s">
        <v>5487</v>
      </c>
      <c r="E834" s="3241">
        <f t="shared" si="125"/>
        <v>1.02</v>
      </c>
      <c r="F834" s="635"/>
      <c r="G834" s="3241">
        <f t="shared" si="126"/>
        <v>1</v>
      </c>
      <c r="H834" s="635"/>
      <c r="I834" s="3241">
        <f t="shared" si="127"/>
        <v>1</v>
      </c>
      <c r="J834" s="635"/>
      <c r="K834" s="3241">
        <f t="shared" si="128"/>
        <v>1</v>
      </c>
      <c r="L834" s="635"/>
      <c r="M834" s="3241">
        <f t="shared" si="129"/>
        <v>1</v>
      </c>
      <c r="N834" s="635"/>
      <c r="O834" s="3241">
        <f t="shared" si="130"/>
        <v>1</v>
      </c>
      <c r="P834" s="635"/>
      <c r="Q834" s="3241">
        <f t="shared" si="131"/>
        <v>1</v>
      </c>
      <c r="R834" s="3241">
        <f t="shared" ca="1" si="132"/>
        <v>5145</v>
      </c>
      <c r="S834" s="905">
        <f t="shared" ca="1" si="133"/>
        <v>17</v>
      </c>
    </row>
    <row r="835" spans="1:19">
      <c r="A835" s="3227" t="s">
        <v>4827</v>
      </c>
      <c r="B835" s="3228">
        <v>35.17</v>
      </c>
      <c r="C835" s="3241">
        <f t="shared" si="134"/>
        <v>1</v>
      </c>
      <c r="D835" s="3237" t="s">
        <v>4322</v>
      </c>
      <c r="E835" s="3241">
        <f t="shared" si="125"/>
        <v>1.02</v>
      </c>
      <c r="F835" s="635"/>
      <c r="G835" s="3241">
        <f t="shared" si="126"/>
        <v>1</v>
      </c>
      <c r="H835" s="635"/>
      <c r="I835" s="3241">
        <f t="shared" si="127"/>
        <v>1</v>
      </c>
      <c r="J835" s="635"/>
      <c r="K835" s="3241">
        <f t="shared" si="128"/>
        <v>1</v>
      </c>
      <c r="L835" s="635"/>
      <c r="M835" s="3241">
        <f t="shared" si="129"/>
        <v>1</v>
      </c>
      <c r="N835" s="635"/>
      <c r="O835" s="3241">
        <f t="shared" si="130"/>
        <v>1</v>
      </c>
      <c r="P835" s="635"/>
      <c r="Q835" s="3241">
        <f t="shared" si="131"/>
        <v>1</v>
      </c>
      <c r="R835" s="3241">
        <f t="shared" ca="1" si="132"/>
        <v>5145</v>
      </c>
      <c r="S835" s="905">
        <f t="shared" ca="1" si="133"/>
        <v>18</v>
      </c>
    </row>
    <row r="836" spans="1:19">
      <c r="A836" s="3227" t="s">
        <v>5995</v>
      </c>
      <c r="B836" s="3228">
        <v>35.17</v>
      </c>
      <c r="C836" s="3241">
        <f t="shared" si="134"/>
        <v>1</v>
      </c>
      <c r="D836" s="3237" t="s">
        <v>5487</v>
      </c>
      <c r="E836" s="3241">
        <f t="shared" si="125"/>
        <v>1.02</v>
      </c>
      <c r="F836" s="635"/>
      <c r="G836" s="3241">
        <f t="shared" si="126"/>
        <v>1</v>
      </c>
      <c r="H836" s="635"/>
      <c r="I836" s="3241">
        <f t="shared" si="127"/>
        <v>1</v>
      </c>
      <c r="J836" s="635"/>
      <c r="K836" s="3241">
        <f t="shared" si="128"/>
        <v>1</v>
      </c>
      <c r="L836" s="635"/>
      <c r="M836" s="3241">
        <f t="shared" si="129"/>
        <v>1</v>
      </c>
      <c r="N836" s="635"/>
      <c r="O836" s="3241">
        <f t="shared" si="130"/>
        <v>1</v>
      </c>
      <c r="P836" s="635"/>
      <c r="Q836" s="3241">
        <f t="shared" si="131"/>
        <v>1</v>
      </c>
      <c r="R836" s="3241">
        <f t="shared" ca="1" si="132"/>
        <v>5145</v>
      </c>
      <c r="S836" s="905">
        <f t="shared" ca="1" si="133"/>
        <v>18</v>
      </c>
    </row>
    <row r="837" spans="1:19">
      <c r="A837" s="3227" t="s">
        <v>4829</v>
      </c>
      <c r="B837" s="3228">
        <v>35.17</v>
      </c>
      <c r="C837" s="3241">
        <f t="shared" si="134"/>
        <v>1</v>
      </c>
      <c r="D837" s="3237" t="s">
        <v>4322</v>
      </c>
      <c r="E837" s="3241">
        <f t="shared" si="125"/>
        <v>1.02</v>
      </c>
      <c r="F837" s="635"/>
      <c r="G837" s="3241">
        <f t="shared" si="126"/>
        <v>1</v>
      </c>
      <c r="H837" s="635"/>
      <c r="I837" s="3241">
        <f t="shared" si="127"/>
        <v>1</v>
      </c>
      <c r="J837" s="635"/>
      <c r="K837" s="3241">
        <f t="shared" si="128"/>
        <v>1</v>
      </c>
      <c r="L837" s="635"/>
      <c r="M837" s="3241">
        <f t="shared" si="129"/>
        <v>1</v>
      </c>
      <c r="N837" s="635"/>
      <c r="O837" s="3241">
        <f t="shared" si="130"/>
        <v>1</v>
      </c>
      <c r="P837" s="635"/>
      <c r="Q837" s="3241">
        <f t="shared" si="131"/>
        <v>1</v>
      </c>
      <c r="R837" s="3241">
        <f t="shared" ca="1" si="132"/>
        <v>5145</v>
      </c>
      <c r="S837" s="905">
        <f t="shared" ca="1" si="133"/>
        <v>18</v>
      </c>
    </row>
    <row r="838" spans="1:19">
      <c r="A838" s="3227" t="s">
        <v>5997</v>
      </c>
      <c r="B838" s="3228">
        <v>35.17</v>
      </c>
      <c r="C838" s="3241">
        <f t="shared" si="134"/>
        <v>1</v>
      </c>
      <c r="D838" s="3237" t="s">
        <v>5487</v>
      </c>
      <c r="E838" s="3241">
        <f t="shared" si="125"/>
        <v>1.02</v>
      </c>
      <c r="F838" s="635"/>
      <c r="G838" s="3241">
        <f t="shared" si="126"/>
        <v>1</v>
      </c>
      <c r="H838" s="635"/>
      <c r="I838" s="3241">
        <f t="shared" si="127"/>
        <v>1</v>
      </c>
      <c r="J838" s="635"/>
      <c r="K838" s="3241">
        <f t="shared" si="128"/>
        <v>1</v>
      </c>
      <c r="L838" s="635"/>
      <c r="M838" s="3241">
        <f t="shared" si="129"/>
        <v>1</v>
      </c>
      <c r="N838" s="635"/>
      <c r="O838" s="3241">
        <f t="shared" si="130"/>
        <v>1</v>
      </c>
      <c r="P838" s="635"/>
      <c r="Q838" s="3241">
        <f t="shared" si="131"/>
        <v>1</v>
      </c>
      <c r="R838" s="3241">
        <f t="shared" ca="1" si="132"/>
        <v>5145</v>
      </c>
      <c r="S838" s="905">
        <f t="shared" ca="1" si="133"/>
        <v>18</v>
      </c>
    </row>
    <row r="839" spans="1:19">
      <c r="A839" s="3227" t="s">
        <v>4831</v>
      </c>
      <c r="B839" s="3228">
        <v>33.04</v>
      </c>
      <c r="C839" s="3241">
        <f t="shared" si="134"/>
        <v>1</v>
      </c>
      <c r="D839" s="3239" t="s">
        <v>4330</v>
      </c>
      <c r="E839" s="3241">
        <f t="shared" si="125"/>
        <v>1.02</v>
      </c>
      <c r="F839" s="635"/>
      <c r="G839" s="3241">
        <f t="shared" si="126"/>
        <v>1</v>
      </c>
      <c r="H839" s="635"/>
      <c r="I839" s="3241">
        <f t="shared" si="127"/>
        <v>1</v>
      </c>
      <c r="J839" s="635"/>
      <c r="K839" s="3241">
        <f t="shared" si="128"/>
        <v>1</v>
      </c>
      <c r="L839" s="635"/>
      <c r="M839" s="3241">
        <f t="shared" si="129"/>
        <v>1</v>
      </c>
      <c r="N839" s="635"/>
      <c r="O839" s="3241">
        <f t="shared" si="130"/>
        <v>1</v>
      </c>
      <c r="P839" s="635"/>
      <c r="Q839" s="3241">
        <f t="shared" si="131"/>
        <v>1</v>
      </c>
      <c r="R839" s="3241">
        <f t="shared" ca="1" si="132"/>
        <v>5145</v>
      </c>
      <c r="S839" s="905">
        <f t="shared" ca="1" si="133"/>
        <v>17</v>
      </c>
    </row>
    <row r="840" spans="1:19">
      <c r="A840" s="3227" t="s">
        <v>5999</v>
      </c>
      <c r="B840" s="3228">
        <v>33.04</v>
      </c>
      <c r="C840" s="3241">
        <f t="shared" si="134"/>
        <v>1</v>
      </c>
      <c r="D840" s="3237" t="s">
        <v>5487</v>
      </c>
      <c r="E840" s="3241">
        <f t="shared" si="125"/>
        <v>1.02</v>
      </c>
      <c r="F840" s="635"/>
      <c r="G840" s="3241">
        <f t="shared" si="126"/>
        <v>1</v>
      </c>
      <c r="H840" s="635"/>
      <c r="I840" s="3241">
        <f t="shared" si="127"/>
        <v>1</v>
      </c>
      <c r="J840" s="635"/>
      <c r="K840" s="3241">
        <f t="shared" si="128"/>
        <v>1</v>
      </c>
      <c r="L840" s="635"/>
      <c r="M840" s="3241">
        <f t="shared" si="129"/>
        <v>1</v>
      </c>
      <c r="N840" s="635"/>
      <c r="O840" s="3241">
        <f t="shared" si="130"/>
        <v>1</v>
      </c>
      <c r="P840" s="635"/>
      <c r="Q840" s="3241">
        <f t="shared" si="131"/>
        <v>1</v>
      </c>
      <c r="R840" s="3241">
        <f t="shared" ca="1" si="132"/>
        <v>5145</v>
      </c>
      <c r="S840" s="905">
        <f t="shared" ca="1" si="133"/>
        <v>17</v>
      </c>
    </row>
    <row r="841" spans="1:19">
      <c r="A841" s="3227" t="s">
        <v>4834</v>
      </c>
      <c r="B841" s="3228">
        <v>33.04</v>
      </c>
      <c r="C841" s="3241">
        <f t="shared" si="134"/>
        <v>1</v>
      </c>
      <c r="D841" s="3239" t="s">
        <v>4330</v>
      </c>
      <c r="E841" s="3241">
        <f t="shared" si="125"/>
        <v>1.02</v>
      </c>
      <c r="F841" s="635"/>
      <c r="G841" s="3241">
        <f t="shared" si="126"/>
        <v>1</v>
      </c>
      <c r="H841" s="635"/>
      <c r="I841" s="3241">
        <f t="shared" si="127"/>
        <v>1</v>
      </c>
      <c r="J841" s="635"/>
      <c r="K841" s="3241">
        <f t="shared" si="128"/>
        <v>1</v>
      </c>
      <c r="L841" s="635"/>
      <c r="M841" s="3241">
        <f t="shared" si="129"/>
        <v>1</v>
      </c>
      <c r="N841" s="635"/>
      <c r="O841" s="3241">
        <f t="shared" si="130"/>
        <v>1</v>
      </c>
      <c r="P841" s="635"/>
      <c r="Q841" s="3241">
        <f t="shared" si="131"/>
        <v>1</v>
      </c>
      <c r="R841" s="3241">
        <f t="shared" ca="1" si="132"/>
        <v>5145</v>
      </c>
      <c r="S841" s="905">
        <f t="shared" ca="1" si="133"/>
        <v>17</v>
      </c>
    </row>
    <row r="842" spans="1:19">
      <c r="A842" s="3227" t="s">
        <v>6001</v>
      </c>
      <c r="B842" s="3228">
        <v>34.46</v>
      </c>
      <c r="C842" s="3241">
        <f t="shared" si="134"/>
        <v>1</v>
      </c>
      <c r="D842" s="3237" t="s">
        <v>5487</v>
      </c>
      <c r="E842" s="3241">
        <f t="shared" si="125"/>
        <v>1.02</v>
      </c>
      <c r="F842" s="635"/>
      <c r="G842" s="3241">
        <f t="shared" si="126"/>
        <v>1</v>
      </c>
      <c r="H842" s="635"/>
      <c r="I842" s="3241">
        <f t="shared" si="127"/>
        <v>1</v>
      </c>
      <c r="J842" s="635"/>
      <c r="K842" s="3241">
        <f t="shared" si="128"/>
        <v>1</v>
      </c>
      <c r="L842" s="635"/>
      <c r="M842" s="3241">
        <f t="shared" si="129"/>
        <v>1</v>
      </c>
      <c r="N842" s="635"/>
      <c r="O842" s="3241">
        <f t="shared" si="130"/>
        <v>1</v>
      </c>
      <c r="P842" s="635"/>
      <c r="Q842" s="3241">
        <f t="shared" si="131"/>
        <v>1</v>
      </c>
      <c r="R842" s="3241">
        <f t="shared" ca="1" si="132"/>
        <v>5145</v>
      </c>
      <c r="S842" s="905">
        <f t="shared" ca="1" si="133"/>
        <v>18</v>
      </c>
    </row>
    <row r="843" spans="1:19">
      <c r="A843" s="3227" t="s">
        <v>4836</v>
      </c>
      <c r="B843" s="3228">
        <v>34.46</v>
      </c>
      <c r="C843" s="3241">
        <f t="shared" si="134"/>
        <v>1</v>
      </c>
      <c r="D843" s="3239" t="s">
        <v>4330</v>
      </c>
      <c r="E843" s="3241">
        <f t="shared" si="125"/>
        <v>1.02</v>
      </c>
      <c r="F843" s="635"/>
      <c r="G843" s="3241">
        <f t="shared" si="126"/>
        <v>1</v>
      </c>
      <c r="H843" s="635"/>
      <c r="I843" s="3241">
        <f t="shared" si="127"/>
        <v>1</v>
      </c>
      <c r="J843" s="635"/>
      <c r="K843" s="3241">
        <f t="shared" si="128"/>
        <v>1</v>
      </c>
      <c r="L843" s="635"/>
      <c r="M843" s="3241">
        <f t="shared" si="129"/>
        <v>1</v>
      </c>
      <c r="N843" s="635"/>
      <c r="O843" s="3241">
        <f t="shared" si="130"/>
        <v>1</v>
      </c>
      <c r="P843" s="635"/>
      <c r="Q843" s="3241">
        <f t="shared" si="131"/>
        <v>1</v>
      </c>
      <c r="R843" s="3241">
        <f t="shared" ca="1" si="132"/>
        <v>5145</v>
      </c>
      <c r="S843" s="905">
        <f t="shared" ca="1" si="133"/>
        <v>18</v>
      </c>
    </row>
    <row r="844" spans="1:19">
      <c r="A844" s="3227" t="s">
        <v>6003</v>
      </c>
      <c r="B844" s="3228">
        <v>34.46</v>
      </c>
      <c r="C844" s="3241">
        <f t="shared" si="134"/>
        <v>1</v>
      </c>
      <c r="D844" s="3237" t="s">
        <v>5487</v>
      </c>
      <c r="E844" s="3241">
        <f t="shared" si="125"/>
        <v>1.02</v>
      </c>
      <c r="F844" s="635"/>
      <c r="G844" s="3241">
        <f t="shared" si="126"/>
        <v>1</v>
      </c>
      <c r="H844" s="635"/>
      <c r="I844" s="3241">
        <f t="shared" si="127"/>
        <v>1</v>
      </c>
      <c r="J844" s="635"/>
      <c r="K844" s="3241">
        <f t="shared" si="128"/>
        <v>1</v>
      </c>
      <c r="L844" s="635"/>
      <c r="M844" s="3241">
        <f t="shared" si="129"/>
        <v>1</v>
      </c>
      <c r="N844" s="635"/>
      <c r="O844" s="3241">
        <f t="shared" si="130"/>
        <v>1</v>
      </c>
      <c r="P844" s="635"/>
      <c r="Q844" s="3241">
        <f t="shared" si="131"/>
        <v>1</v>
      </c>
      <c r="R844" s="3241">
        <f t="shared" ca="1" si="132"/>
        <v>5145</v>
      </c>
      <c r="S844" s="905">
        <f t="shared" ca="1" si="133"/>
        <v>18</v>
      </c>
    </row>
    <row r="845" spans="1:19">
      <c r="A845" s="3227" t="s">
        <v>4838</v>
      </c>
      <c r="B845" s="3228">
        <v>34.46</v>
      </c>
      <c r="C845" s="3241">
        <f t="shared" si="134"/>
        <v>1</v>
      </c>
      <c r="D845" s="3239" t="s">
        <v>4330</v>
      </c>
      <c r="E845" s="3241">
        <f t="shared" ref="E845:E908" si="135">(SUMIF($5:$5,D845,$6:$6)-SUMIF($5:$5,$D$24,$6:$6)+100)/100</f>
        <v>1.02</v>
      </c>
      <c r="F845" s="635"/>
      <c r="G845" s="3241">
        <f t="shared" ref="G845:G908" si="136">(SUMIF($7:$7,F845,$8:$8)-SUMIF($7:$7,$F$24,$8:$8)+100)/100</f>
        <v>1</v>
      </c>
      <c r="H845" s="635"/>
      <c r="I845" s="3241">
        <f t="shared" ref="I845:I908" si="137">(SUMIF($9:$9,H845,$10:$10)-SUMIF($9:$9,$H$24,$10:$10)+100)/100</f>
        <v>1</v>
      </c>
      <c r="J845" s="635"/>
      <c r="K845" s="3241">
        <f t="shared" ref="K845:K908" si="138">(SUMIF($11:$11,J845,$12:$12)-SUMIF($11:$11,$J$24,$12:$12)+100)/100</f>
        <v>1</v>
      </c>
      <c r="L845" s="635"/>
      <c r="M845" s="3241">
        <f t="shared" ref="M845:M908" si="139">(SUMIF($13:$13,L845,$14:$14)-SUMIF($13:$13,$L$24,$14:$14)+100)/100</f>
        <v>1</v>
      </c>
      <c r="N845" s="635"/>
      <c r="O845" s="3241">
        <f t="shared" ref="O845:O908" si="140">(SUMIF($15:$15,N845,$16:$16)-SUMIF($15:$15,$N$24,$16:$16)+100)/100</f>
        <v>1</v>
      </c>
      <c r="P845" s="635"/>
      <c r="Q845" s="3241">
        <f t="shared" ref="Q845:Q908" si="141">(SUMIF($17:$17,P845,$18:$18)-SUMIF($17:$17,$P$24,$18:$18)+100)/100</f>
        <v>1</v>
      </c>
      <c r="R845" s="3241">
        <f t="shared" ref="R845:R908" ca="1" si="142">IF(B845="",0,ROUND($R$24*C845*E845*G845*I845*K845*M845*O845*Q845,0))</f>
        <v>5145</v>
      </c>
      <c r="S845" s="905">
        <f t="shared" ref="S845:S908" ca="1" si="143">ROUND(R845*B845/10000,0)</f>
        <v>18</v>
      </c>
    </row>
    <row r="846" spans="1:19">
      <c r="A846" s="3227" t="s">
        <v>6005</v>
      </c>
      <c r="B846" s="3228">
        <v>34.46</v>
      </c>
      <c r="C846" s="3241">
        <f t="shared" si="134"/>
        <v>1</v>
      </c>
      <c r="D846" s="3237" t="s">
        <v>5487</v>
      </c>
      <c r="E846" s="3241">
        <f t="shared" si="135"/>
        <v>1.02</v>
      </c>
      <c r="F846" s="635"/>
      <c r="G846" s="3241">
        <f t="shared" si="136"/>
        <v>1</v>
      </c>
      <c r="H846" s="635"/>
      <c r="I846" s="3241">
        <f t="shared" si="137"/>
        <v>1</v>
      </c>
      <c r="J846" s="635"/>
      <c r="K846" s="3241">
        <f t="shared" si="138"/>
        <v>1</v>
      </c>
      <c r="L846" s="635"/>
      <c r="M846" s="3241">
        <f t="shared" si="139"/>
        <v>1</v>
      </c>
      <c r="N846" s="635"/>
      <c r="O846" s="3241">
        <f t="shared" si="140"/>
        <v>1</v>
      </c>
      <c r="P846" s="635"/>
      <c r="Q846" s="3241">
        <f t="shared" si="141"/>
        <v>1</v>
      </c>
      <c r="R846" s="3241">
        <f t="shared" ca="1" si="142"/>
        <v>5145</v>
      </c>
      <c r="S846" s="905">
        <f t="shared" ca="1" si="143"/>
        <v>18</v>
      </c>
    </row>
    <row r="847" spans="1:19">
      <c r="A847" s="3227" t="s">
        <v>4840</v>
      </c>
      <c r="B847" s="3228">
        <v>34.46</v>
      </c>
      <c r="C847" s="3241">
        <f t="shared" si="134"/>
        <v>1</v>
      </c>
      <c r="D847" s="3237" t="s">
        <v>4322</v>
      </c>
      <c r="E847" s="3241">
        <f t="shared" si="135"/>
        <v>1.02</v>
      </c>
      <c r="F847" s="635"/>
      <c r="G847" s="3241">
        <f t="shared" si="136"/>
        <v>1</v>
      </c>
      <c r="H847" s="635"/>
      <c r="I847" s="3241">
        <f t="shared" si="137"/>
        <v>1</v>
      </c>
      <c r="J847" s="635"/>
      <c r="K847" s="3241">
        <f t="shared" si="138"/>
        <v>1</v>
      </c>
      <c r="L847" s="635"/>
      <c r="M847" s="3241">
        <f t="shared" si="139"/>
        <v>1</v>
      </c>
      <c r="N847" s="635"/>
      <c r="O847" s="3241">
        <f t="shared" si="140"/>
        <v>1</v>
      </c>
      <c r="P847" s="635"/>
      <c r="Q847" s="3241">
        <f t="shared" si="141"/>
        <v>1</v>
      </c>
      <c r="R847" s="3241">
        <f t="shared" ca="1" si="142"/>
        <v>5145</v>
      </c>
      <c r="S847" s="905">
        <f t="shared" ca="1" si="143"/>
        <v>18</v>
      </c>
    </row>
    <row r="848" spans="1:19">
      <c r="A848" s="3227" t="s">
        <v>6007</v>
      </c>
      <c r="B848" s="3228">
        <v>33.75</v>
      </c>
      <c r="C848" s="3241">
        <f t="shared" si="134"/>
        <v>1</v>
      </c>
      <c r="D848" s="3237" t="s">
        <v>5487</v>
      </c>
      <c r="E848" s="3241">
        <f t="shared" si="135"/>
        <v>1.02</v>
      </c>
      <c r="F848" s="635"/>
      <c r="G848" s="3241">
        <f t="shared" si="136"/>
        <v>1</v>
      </c>
      <c r="H848" s="635"/>
      <c r="I848" s="3241">
        <f t="shared" si="137"/>
        <v>1</v>
      </c>
      <c r="J848" s="635"/>
      <c r="K848" s="3241">
        <f t="shared" si="138"/>
        <v>1</v>
      </c>
      <c r="L848" s="635"/>
      <c r="M848" s="3241">
        <f t="shared" si="139"/>
        <v>1</v>
      </c>
      <c r="N848" s="635"/>
      <c r="O848" s="3241">
        <f t="shared" si="140"/>
        <v>1</v>
      </c>
      <c r="P848" s="635"/>
      <c r="Q848" s="3241">
        <f t="shared" si="141"/>
        <v>1</v>
      </c>
      <c r="R848" s="3241">
        <f t="shared" ca="1" si="142"/>
        <v>5145</v>
      </c>
      <c r="S848" s="905">
        <f t="shared" ca="1" si="143"/>
        <v>17</v>
      </c>
    </row>
    <row r="849" spans="1:19">
      <c r="A849" s="3227" t="s">
        <v>4842</v>
      </c>
      <c r="B849" s="3228">
        <v>33.75</v>
      </c>
      <c r="C849" s="3241">
        <f t="shared" si="134"/>
        <v>1</v>
      </c>
      <c r="D849" s="3237" t="s">
        <v>4322</v>
      </c>
      <c r="E849" s="3241">
        <f t="shared" si="135"/>
        <v>1.02</v>
      </c>
      <c r="F849" s="635"/>
      <c r="G849" s="3241">
        <f t="shared" si="136"/>
        <v>1</v>
      </c>
      <c r="H849" s="635"/>
      <c r="I849" s="3241">
        <f t="shared" si="137"/>
        <v>1</v>
      </c>
      <c r="J849" s="635"/>
      <c r="K849" s="3241">
        <f t="shared" si="138"/>
        <v>1</v>
      </c>
      <c r="L849" s="635"/>
      <c r="M849" s="3241">
        <f t="shared" si="139"/>
        <v>1</v>
      </c>
      <c r="N849" s="635"/>
      <c r="O849" s="3241">
        <f t="shared" si="140"/>
        <v>1</v>
      </c>
      <c r="P849" s="635"/>
      <c r="Q849" s="3241">
        <f t="shared" si="141"/>
        <v>1</v>
      </c>
      <c r="R849" s="3241">
        <f t="shared" ca="1" si="142"/>
        <v>5145</v>
      </c>
      <c r="S849" s="905">
        <f t="shared" ca="1" si="143"/>
        <v>17</v>
      </c>
    </row>
    <row r="850" spans="1:19">
      <c r="A850" s="3227" t="s">
        <v>6009</v>
      </c>
      <c r="B850" s="3228">
        <v>33.75</v>
      </c>
      <c r="C850" s="3241">
        <f t="shared" si="134"/>
        <v>1</v>
      </c>
      <c r="D850" s="3237" t="s">
        <v>5487</v>
      </c>
      <c r="E850" s="3241">
        <f t="shared" si="135"/>
        <v>1.02</v>
      </c>
      <c r="F850" s="635"/>
      <c r="G850" s="3241">
        <f t="shared" si="136"/>
        <v>1</v>
      </c>
      <c r="H850" s="635"/>
      <c r="I850" s="3241">
        <f t="shared" si="137"/>
        <v>1</v>
      </c>
      <c r="J850" s="635"/>
      <c r="K850" s="3241">
        <f t="shared" si="138"/>
        <v>1</v>
      </c>
      <c r="L850" s="635"/>
      <c r="M850" s="3241">
        <f t="shared" si="139"/>
        <v>1</v>
      </c>
      <c r="N850" s="635"/>
      <c r="O850" s="3241">
        <f t="shared" si="140"/>
        <v>1</v>
      </c>
      <c r="P850" s="635"/>
      <c r="Q850" s="3241">
        <f t="shared" si="141"/>
        <v>1</v>
      </c>
      <c r="R850" s="3241">
        <f t="shared" ca="1" si="142"/>
        <v>5145</v>
      </c>
      <c r="S850" s="905">
        <f t="shared" ca="1" si="143"/>
        <v>17</v>
      </c>
    </row>
    <row r="851" spans="1:19">
      <c r="A851" s="3227" t="s">
        <v>4845</v>
      </c>
      <c r="B851" s="3228">
        <v>35.07</v>
      </c>
      <c r="C851" s="3241">
        <f t="shared" si="134"/>
        <v>1</v>
      </c>
      <c r="D851" s="3237" t="s">
        <v>4009</v>
      </c>
      <c r="E851" s="3241">
        <f t="shared" si="135"/>
        <v>1</v>
      </c>
      <c r="F851" s="635"/>
      <c r="G851" s="3241">
        <f t="shared" si="136"/>
        <v>1</v>
      </c>
      <c r="H851" s="635"/>
      <c r="I851" s="3241">
        <f t="shared" si="137"/>
        <v>1</v>
      </c>
      <c r="J851" s="635"/>
      <c r="K851" s="3241">
        <f t="shared" si="138"/>
        <v>1</v>
      </c>
      <c r="L851" s="635"/>
      <c r="M851" s="3241">
        <f t="shared" si="139"/>
        <v>1</v>
      </c>
      <c r="N851" s="635"/>
      <c r="O851" s="3241">
        <f t="shared" si="140"/>
        <v>1</v>
      </c>
      <c r="P851" s="635"/>
      <c r="Q851" s="3241">
        <f t="shared" si="141"/>
        <v>1</v>
      </c>
      <c r="R851" s="3241">
        <f t="shared" ca="1" si="142"/>
        <v>5044</v>
      </c>
      <c r="S851" s="905">
        <f t="shared" ca="1" si="143"/>
        <v>18</v>
      </c>
    </row>
    <row r="852" spans="1:19">
      <c r="A852" s="3227" t="s">
        <v>6012</v>
      </c>
      <c r="B852" s="3228">
        <v>35.07</v>
      </c>
      <c r="C852" s="3241">
        <f t="shared" si="134"/>
        <v>1</v>
      </c>
      <c r="D852" s="3237" t="s">
        <v>5171</v>
      </c>
      <c r="E852" s="3241">
        <f t="shared" si="135"/>
        <v>1</v>
      </c>
      <c r="F852" s="635"/>
      <c r="G852" s="3241">
        <f t="shared" si="136"/>
        <v>1</v>
      </c>
      <c r="H852" s="635"/>
      <c r="I852" s="3241">
        <f t="shared" si="137"/>
        <v>1</v>
      </c>
      <c r="J852" s="635"/>
      <c r="K852" s="3241">
        <f t="shared" si="138"/>
        <v>1</v>
      </c>
      <c r="L852" s="635"/>
      <c r="M852" s="3241">
        <f t="shared" si="139"/>
        <v>1</v>
      </c>
      <c r="N852" s="635"/>
      <c r="O852" s="3241">
        <f t="shared" si="140"/>
        <v>1</v>
      </c>
      <c r="P852" s="635"/>
      <c r="Q852" s="3241">
        <f t="shared" si="141"/>
        <v>1</v>
      </c>
      <c r="R852" s="3241">
        <f t="shared" ca="1" si="142"/>
        <v>5044</v>
      </c>
      <c r="S852" s="905">
        <f t="shared" ca="1" si="143"/>
        <v>18</v>
      </c>
    </row>
    <row r="853" spans="1:19">
      <c r="A853" s="3227" t="s">
        <v>4847</v>
      </c>
      <c r="B853" s="3228">
        <v>35.07</v>
      </c>
      <c r="C853" s="3241">
        <f t="shared" si="134"/>
        <v>1</v>
      </c>
      <c r="D853" s="3237" t="s">
        <v>4009</v>
      </c>
      <c r="E853" s="3241">
        <f t="shared" si="135"/>
        <v>1</v>
      </c>
      <c r="F853" s="635"/>
      <c r="G853" s="3241">
        <f t="shared" si="136"/>
        <v>1</v>
      </c>
      <c r="H853" s="635"/>
      <c r="I853" s="3241">
        <f t="shared" si="137"/>
        <v>1</v>
      </c>
      <c r="J853" s="635"/>
      <c r="K853" s="3241">
        <f t="shared" si="138"/>
        <v>1</v>
      </c>
      <c r="L853" s="635"/>
      <c r="M853" s="3241">
        <f t="shared" si="139"/>
        <v>1</v>
      </c>
      <c r="N853" s="635"/>
      <c r="O853" s="3241">
        <f t="shared" si="140"/>
        <v>1</v>
      </c>
      <c r="P853" s="635"/>
      <c r="Q853" s="3241">
        <f t="shared" si="141"/>
        <v>1</v>
      </c>
      <c r="R853" s="3241">
        <f t="shared" ca="1" si="142"/>
        <v>5044</v>
      </c>
      <c r="S853" s="905">
        <f t="shared" ca="1" si="143"/>
        <v>18</v>
      </c>
    </row>
    <row r="854" spans="1:19">
      <c r="A854" s="3227" t="s">
        <v>6014</v>
      </c>
      <c r="B854" s="3228">
        <v>35.07</v>
      </c>
      <c r="C854" s="3241">
        <f t="shared" si="134"/>
        <v>1</v>
      </c>
      <c r="D854" s="3237" t="s">
        <v>5171</v>
      </c>
      <c r="E854" s="3241">
        <f t="shared" si="135"/>
        <v>1</v>
      </c>
      <c r="F854" s="635"/>
      <c r="G854" s="3241">
        <f t="shared" si="136"/>
        <v>1</v>
      </c>
      <c r="H854" s="635"/>
      <c r="I854" s="3241">
        <f t="shared" si="137"/>
        <v>1</v>
      </c>
      <c r="J854" s="635"/>
      <c r="K854" s="3241">
        <f t="shared" si="138"/>
        <v>1</v>
      </c>
      <c r="L854" s="635"/>
      <c r="M854" s="3241">
        <f t="shared" si="139"/>
        <v>1</v>
      </c>
      <c r="N854" s="635"/>
      <c r="O854" s="3241">
        <f t="shared" si="140"/>
        <v>1</v>
      </c>
      <c r="P854" s="635"/>
      <c r="Q854" s="3241">
        <f t="shared" si="141"/>
        <v>1</v>
      </c>
      <c r="R854" s="3241">
        <f t="shared" ca="1" si="142"/>
        <v>5044</v>
      </c>
      <c r="S854" s="905">
        <f t="shared" ca="1" si="143"/>
        <v>18</v>
      </c>
    </row>
    <row r="855" spans="1:19">
      <c r="A855" s="3227" t="s">
        <v>4849</v>
      </c>
      <c r="B855" s="3228">
        <v>35.07</v>
      </c>
      <c r="C855" s="3241">
        <f t="shared" si="134"/>
        <v>1</v>
      </c>
      <c r="D855" s="3237" t="s">
        <v>4009</v>
      </c>
      <c r="E855" s="3241">
        <f t="shared" si="135"/>
        <v>1</v>
      </c>
      <c r="F855" s="635"/>
      <c r="G855" s="3241">
        <f t="shared" si="136"/>
        <v>1</v>
      </c>
      <c r="H855" s="635"/>
      <c r="I855" s="3241">
        <f t="shared" si="137"/>
        <v>1</v>
      </c>
      <c r="J855" s="635"/>
      <c r="K855" s="3241">
        <f t="shared" si="138"/>
        <v>1</v>
      </c>
      <c r="L855" s="635"/>
      <c r="M855" s="3241">
        <f t="shared" si="139"/>
        <v>1</v>
      </c>
      <c r="N855" s="635"/>
      <c r="O855" s="3241">
        <f t="shared" si="140"/>
        <v>1</v>
      </c>
      <c r="P855" s="635"/>
      <c r="Q855" s="3241">
        <f t="shared" si="141"/>
        <v>1</v>
      </c>
      <c r="R855" s="3241">
        <f t="shared" ca="1" si="142"/>
        <v>5044</v>
      </c>
      <c r="S855" s="905">
        <f t="shared" ca="1" si="143"/>
        <v>18</v>
      </c>
    </row>
    <row r="856" spans="1:19">
      <c r="A856" s="3227" t="s">
        <v>6016</v>
      </c>
      <c r="B856" s="3228">
        <v>35.07</v>
      </c>
      <c r="C856" s="3241">
        <f t="shared" si="134"/>
        <v>1</v>
      </c>
      <c r="D856" s="3237" t="s">
        <v>5171</v>
      </c>
      <c r="E856" s="3241">
        <f t="shared" si="135"/>
        <v>1</v>
      </c>
      <c r="F856" s="635"/>
      <c r="G856" s="3241">
        <f t="shared" si="136"/>
        <v>1</v>
      </c>
      <c r="H856" s="635"/>
      <c r="I856" s="3241">
        <f t="shared" si="137"/>
        <v>1</v>
      </c>
      <c r="J856" s="635"/>
      <c r="K856" s="3241">
        <f t="shared" si="138"/>
        <v>1</v>
      </c>
      <c r="L856" s="635"/>
      <c r="M856" s="3241">
        <f t="shared" si="139"/>
        <v>1</v>
      </c>
      <c r="N856" s="635"/>
      <c r="O856" s="3241">
        <f t="shared" si="140"/>
        <v>1</v>
      </c>
      <c r="P856" s="635"/>
      <c r="Q856" s="3241">
        <f t="shared" si="141"/>
        <v>1</v>
      </c>
      <c r="R856" s="3241">
        <f t="shared" ca="1" si="142"/>
        <v>5044</v>
      </c>
      <c r="S856" s="905">
        <f t="shared" ca="1" si="143"/>
        <v>18</v>
      </c>
    </row>
    <row r="857" spans="1:19">
      <c r="A857" s="3227" t="s">
        <v>4851</v>
      </c>
      <c r="B857" s="3228">
        <v>35.07</v>
      </c>
      <c r="C857" s="3241">
        <f t="shared" si="134"/>
        <v>1</v>
      </c>
      <c r="D857" s="3237" t="s">
        <v>4009</v>
      </c>
      <c r="E857" s="3241">
        <f t="shared" si="135"/>
        <v>1</v>
      </c>
      <c r="F857" s="635"/>
      <c r="G857" s="3241">
        <f t="shared" si="136"/>
        <v>1</v>
      </c>
      <c r="H857" s="635"/>
      <c r="I857" s="3241">
        <f t="shared" si="137"/>
        <v>1</v>
      </c>
      <c r="J857" s="635"/>
      <c r="K857" s="3241">
        <f t="shared" si="138"/>
        <v>1</v>
      </c>
      <c r="L857" s="635"/>
      <c r="M857" s="3241">
        <f t="shared" si="139"/>
        <v>1</v>
      </c>
      <c r="N857" s="635"/>
      <c r="O857" s="3241">
        <f t="shared" si="140"/>
        <v>1</v>
      </c>
      <c r="P857" s="635"/>
      <c r="Q857" s="3241">
        <f t="shared" si="141"/>
        <v>1</v>
      </c>
      <c r="R857" s="3241">
        <f t="shared" ca="1" si="142"/>
        <v>5044</v>
      </c>
      <c r="S857" s="905">
        <f t="shared" ca="1" si="143"/>
        <v>18</v>
      </c>
    </row>
    <row r="858" spans="1:19">
      <c r="A858" s="3227" t="s">
        <v>6018</v>
      </c>
      <c r="B858" s="3228">
        <v>35.07</v>
      </c>
      <c r="C858" s="3241">
        <f t="shared" ref="C858:C921" si="144">IF(B858="",1,(LOOKUP(B858,$3:$3,$4:$4)-LOOKUP($B$24,$3:$3,$4:$4)+100)/100)</f>
        <v>1</v>
      </c>
      <c r="D858" s="3237" t="s">
        <v>5171</v>
      </c>
      <c r="E858" s="3241">
        <f t="shared" si="135"/>
        <v>1</v>
      </c>
      <c r="F858" s="635"/>
      <c r="G858" s="3241">
        <f t="shared" si="136"/>
        <v>1</v>
      </c>
      <c r="H858" s="635"/>
      <c r="I858" s="3241">
        <f t="shared" si="137"/>
        <v>1</v>
      </c>
      <c r="J858" s="635"/>
      <c r="K858" s="3241">
        <f t="shared" si="138"/>
        <v>1</v>
      </c>
      <c r="L858" s="635"/>
      <c r="M858" s="3241">
        <f t="shared" si="139"/>
        <v>1</v>
      </c>
      <c r="N858" s="635"/>
      <c r="O858" s="3241">
        <f t="shared" si="140"/>
        <v>1</v>
      </c>
      <c r="P858" s="635"/>
      <c r="Q858" s="3241">
        <f t="shared" si="141"/>
        <v>1</v>
      </c>
      <c r="R858" s="3241">
        <f t="shared" ca="1" si="142"/>
        <v>5044</v>
      </c>
      <c r="S858" s="905">
        <f t="shared" ca="1" si="143"/>
        <v>18</v>
      </c>
    </row>
    <row r="859" spans="1:19">
      <c r="A859" s="3227" t="s">
        <v>4853</v>
      </c>
      <c r="B859" s="3228">
        <v>35.07</v>
      </c>
      <c r="C859" s="3241">
        <f t="shared" si="144"/>
        <v>1</v>
      </c>
      <c r="D859" s="3237" t="s">
        <v>4009</v>
      </c>
      <c r="E859" s="3241">
        <f t="shared" si="135"/>
        <v>1</v>
      </c>
      <c r="F859" s="635"/>
      <c r="G859" s="3241">
        <f t="shared" si="136"/>
        <v>1</v>
      </c>
      <c r="H859" s="635"/>
      <c r="I859" s="3241">
        <f t="shared" si="137"/>
        <v>1</v>
      </c>
      <c r="J859" s="635"/>
      <c r="K859" s="3241">
        <f t="shared" si="138"/>
        <v>1</v>
      </c>
      <c r="L859" s="635"/>
      <c r="M859" s="3241">
        <f t="shared" si="139"/>
        <v>1</v>
      </c>
      <c r="N859" s="635"/>
      <c r="O859" s="3241">
        <f t="shared" si="140"/>
        <v>1</v>
      </c>
      <c r="P859" s="635"/>
      <c r="Q859" s="3241">
        <f t="shared" si="141"/>
        <v>1</v>
      </c>
      <c r="R859" s="3241">
        <f t="shared" ca="1" si="142"/>
        <v>5044</v>
      </c>
      <c r="S859" s="905">
        <f t="shared" ca="1" si="143"/>
        <v>18</v>
      </c>
    </row>
    <row r="860" spans="1:19">
      <c r="A860" s="3227" t="s">
        <v>6020</v>
      </c>
      <c r="B860" s="3233">
        <v>35.799999999999997</v>
      </c>
      <c r="C860" s="3241">
        <f t="shared" si="144"/>
        <v>1</v>
      </c>
      <c r="D860" s="3237" t="s">
        <v>5171</v>
      </c>
      <c r="E860" s="3241">
        <f t="shared" si="135"/>
        <v>1</v>
      </c>
      <c r="F860" s="635"/>
      <c r="G860" s="3241">
        <f t="shared" si="136"/>
        <v>1</v>
      </c>
      <c r="H860" s="635"/>
      <c r="I860" s="3241">
        <f t="shared" si="137"/>
        <v>1</v>
      </c>
      <c r="J860" s="635"/>
      <c r="K860" s="3241">
        <f t="shared" si="138"/>
        <v>1</v>
      </c>
      <c r="L860" s="635"/>
      <c r="M860" s="3241">
        <f t="shared" si="139"/>
        <v>1</v>
      </c>
      <c r="N860" s="635"/>
      <c r="O860" s="3241">
        <f t="shared" si="140"/>
        <v>1</v>
      </c>
      <c r="P860" s="635"/>
      <c r="Q860" s="3241">
        <f t="shared" si="141"/>
        <v>1</v>
      </c>
      <c r="R860" s="3241">
        <f t="shared" ca="1" si="142"/>
        <v>5044</v>
      </c>
      <c r="S860" s="905">
        <f t="shared" ca="1" si="143"/>
        <v>18</v>
      </c>
    </row>
    <row r="861" spans="1:19">
      <c r="A861" s="3227" t="s">
        <v>4855</v>
      </c>
      <c r="B861" s="3233">
        <v>35.799999999999997</v>
      </c>
      <c r="C861" s="3241">
        <f t="shared" si="144"/>
        <v>1</v>
      </c>
      <c r="D861" s="3239" t="s">
        <v>4591</v>
      </c>
      <c r="E861" s="3241">
        <f t="shared" si="135"/>
        <v>1</v>
      </c>
      <c r="F861" s="635"/>
      <c r="G861" s="3241">
        <f t="shared" si="136"/>
        <v>1</v>
      </c>
      <c r="H861" s="635"/>
      <c r="I861" s="3241">
        <f t="shared" si="137"/>
        <v>1</v>
      </c>
      <c r="J861" s="635"/>
      <c r="K861" s="3241">
        <f t="shared" si="138"/>
        <v>1</v>
      </c>
      <c r="L861" s="635"/>
      <c r="M861" s="3241">
        <f t="shared" si="139"/>
        <v>1</v>
      </c>
      <c r="N861" s="635"/>
      <c r="O861" s="3241">
        <f t="shared" si="140"/>
        <v>1</v>
      </c>
      <c r="P861" s="635"/>
      <c r="Q861" s="3241">
        <f t="shared" si="141"/>
        <v>1</v>
      </c>
      <c r="R861" s="3241">
        <f t="shared" ca="1" si="142"/>
        <v>5044</v>
      </c>
      <c r="S861" s="905">
        <f t="shared" ca="1" si="143"/>
        <v>18</v>
      </c>
    </row>
    <row r="862" spans="1:19">
      <c r="A862" s="3227" t="s">
        <v>6022</v>
      </c>
      <c r="B862" s="3233">
        <v>35.799999999999997</v>
      </c>
      <c r="C862" s="3241">
        <f t="shared" si="144"/>
        <v>1</v>
      </c>
      <c r="D862" s="3237" t="s">
        <v>5171</v>
      </c>
      <c r="E862" s="3241">
        <f t="shared" si="135"/>
        <v>1</v>
      </c>
      <c r="F862" s="635"/>
      <c r="G862" s="3241">
        <f t="shared" si="136"/>
        <v>1</v>
      </c>
      <c r="H862" s="635"/>
      <c r="I862" s="3241">
        <f t="shared" si="137"/>
        <v>1</v>
      </c>
      <c r="J862" s="635"/>
      <c r="K862" s="3241">
        <f t="shared" si="138"/>
        <v>1</v>
      </c>
      <c r="L862" s="635"/>
      <c r="M862" s="3241">
        <f t="shared" si="139"/>
        <v>1</v>
      </c>
      <c r="N862" s="635"/>
      <c r="O862" s="3241">
        <f t="shared" si="140"/>
        <v>1</v>
      </c>
      <c r="P862" s="635"/>
      <c r="Q862" s="3241">
        <f t="shared" si="141"/>
        <v>1</v>
      </c>
      <c r="R862" s="3241">
        <f t="shared" ca="1" si="142"/>
        <v>5044</v>
      </c>
      <c r="S862" s="905">
        <f t="shared" ca="1" si="143"/>
        <v>18</v>
      </c>
    </row>
    <row r="863" spans="1:19">
      <c r="A863" s="3227" t="s">
        <v>4857</v>
      </c>
      <c r="B863" s="3228">
        <v>33.630000000000003</v>
      </c>
      <c r="C863" s="3241">
        <f t="shared" si="144"/>
        <v>1</v>
      </c>
      <c r="D863" s="3237" t="s">
        <v>4009</v>
      </c>
      <c r="E863" s="3241">
        <f t="shared" si="135"/>
        <v>1</v>
      </c>
      <c r="F863" s="635"/>
      <c r="G863" s="3241">
        <f t="shared" si="136"/>
        <v>1</v>
      </c>
      <c r="H863" s="635"/>
      <c r="I863" s="3241">
        <f t="shared" si="137"/>
        <v>1</v>
      </c>
      <c r="J863" s="635"/>
      <c r="K863" s="3241">
        <f t="shared" si="138"/>
        <v>1</v>
      </c>
      <c r="L863" s="635"/>
      <c r="M863" s="3241">
        <f t="shared" si="139"/>
        <v>1</v>
      </c>
      <c r="N863" s="635"/>
      <c r="O863" s="3241">
        <f t="shared" si="140"/>
        <v>1</v>
      </c>
      <c r="P863" s="635"/>
      <c r="Q863" s="3241">
        <f t="shared" si="141"/>
        <v>1</v>
      </c>
      <c r="R863" s="3241">
        <f t="shared" ca="1" si="142"/>
        <v>5044</v>
      </c>
      <c r="S863" s="905">
        <f t="shared" ca="1" si="143"/>
        <v>17</v>
      </c>
    </row>
    <row r="864" spans="1:19">
      <c r="A864" s="3227" t="s">
        <v>6024</v>
      </c>
      <c r="B864" s="3228">
        <v>33.630000000000003</v>
      </c>
      <c r="C864" s="3241">
        <f t="shared" si="144"/>
        <v>1</v>
      </c>
      <c r="D864" s="3237" t="s">
        <v>5171</v>
      </c>
      <c r="E864" s="3241">
        <f t="shared" si="135"/>
        <v>1</v>
      </c>
      <c r="F864" s="635"/>
      <c r="G864" s="3241">
        <f t="shared" si="136"/>
        <v>1</v>
      </c>
      <c r="H864" s="635"/>
      <c r="I864" s="3241">
        <f t="shared" si="137"/>
        <v>1</v>
      </c>
      <c r="J864" s="635"/>
      <c r="K864" s="3241">
        <f t="shared" si="138"/>
        <v>1</v>
      </c>
      <c r="L864" s="635"/>
      <c r="M864" s="3241">
        <f t="shared" si="139"/>
        <v>1</v>
      </c>
      <c r="N864" s="635"/>
      <c r="O864" s="3241">
        <f t="shared" si="140"/>
        <v>1</v>
      </c>
      <c r="P864" s="635"/>
      <c r="Q864" s="3241">
        <f t="shared" si="141"/>
        <v>1</v>
      </c>
      <c r="R864" s="3241">
        <f t="shared" ca="1" si="142"/>
        <v>5044</v>
      </c>
      <c r="S864" s="905">
        <f t="shared" ca="1" si="143"/>
        <v>17</v>
      </c>
    </row>
    <row r="865" spans="1:19">
      <c r="A865" s="3227" t="s">
        <v>4859</v>
      </c>
      <c r="B865" s="3228">
        <v>33.630000000000003</v>
      </c>
      <c r="C865" s="3241">
        <f t="shared" si="144"/>
        <v>1</v>
      </c>
      <c r="D865" s="3237" t="s">
        <v>4009</v>
      </c>
      <c r="E865" s="3241">
        <f t="shared" si="135"/>
        <v>1</v>
      </c>
      <c r="F865" s="635"/>
      <c r="G865" s="3241">
        <f t="shared" si="136"/>
        <v>1</v>
      </c>
      <c r="H865" s="635"/>
      <c r="I865" s="3241">
        <f t="shared" si="137"/>
        <v>1</v>
      </c>
      <c r="J865" s="635"/>
      <c r="K865" s="3241">
        <f t="shared" si="138"/>
        <v>1</v>
      </c>
      <c r="L865" s="635"/>
      <c r="M865" s="3241">
        <f t="shared" si="139"/>
        <v>1</v>
      </c>
      <c r="N865" s="635"/>
      <c r="O865" s="3241">
        <f t="shared" si="140"/>
        <v>1</v>
      </c>
      <c r="P865" s="635"/>
      <c r="Q865" s="3241">
        <f t="shared" si="141"/>
        <v>1</v>
      </c>
      <c r="R865" s="3241">
        <f t="shared" ca="1" si="142"/>
        <v>5044</v>
      </c>
      <c r="S865" s="905">
        <f t="shared" ca="1" si="143"/>
        <v>17</v>
      </c>
    </row>
    <row r="866" spans="1:19">
      <c r="A866" s="3227" t="s">
        <v>6026</v>
      </c>
      <c r="B866" s="3228">
        <v>35.07</v>
      </c>
      <c r="C866" s="3241">
        <f t="shared" si="144"/>
        <v>1</v>
      </c>
      <c r="D866" s="3237" t="s">
        <v>5171</v>
      </c>
      <c r="E866" s="3241">
        <f t="shared" si="135"/>
        <v>1</v>
      </c>
      <c r="F866" s="635"/>
      <c r="G866" s="3241">
        <f t="shared" si="136"/>
        <v>1</v>
      </c>
      <c r="H866" s="635"/>
      <c r="I866" s="3241">
        <f t="shared" si="137"/>
        <v>1</v>
      </c>
      <c r="J866" s="635"/>
      <c r="K866" s="3241">
        <f t="shared" si="138"/>
        <v>1</v>
      </c>
      <c r="L866" s="635"/>
      <c r="M866" s="3241">
        <f t="shared" si="139"/>
        <v>1</v>
      </c>
      <c r="N866" s="635"/>
      <c r="O866" s="3241">
        <f t="shared" si="140"/>
        <v>1</v>
      </c>
      <c r="P866" s="635"/>
      <c r="Q866" s="3241">
        <f t="shared" si="141"/>
        <v>1</v>
      </c>
      <c r="R866" s="3241">
        <f t="shared" ca="1" si="142"/>
        <v>5044</v>
      </c>
      <c r="S866" s="905">
        <f t="shared" ca="1" si="143"/>
        <v>18</v>
      </c>
    </row>
    <row r="867" spans="1:19">
      <c r="A867" s="3227" t="s">
        <v>4861</v>
      </c>
      <c r="B867" s="3228">
        <v>35.07</v>
      </c>
      <c r="C867" s="3241">
        <f t="shared" si="144"/>
        <v>1</v>
      </c>
      <c r="D867" s="3237" t="s">
        <v>4009</v>
      </c>
      <c r="E867" s="3241">
        <f t="shared" si="135"/>
        <v>1</v>
      </c>
      <c r="F867" s="635"/>
      <c r="G867" s="3241">
        <f t="shared" si="136"/>
        <v>1</v>
      </c>
      <c r="H867" s="635"/>
      <c r="I867" s="3241">
        <f t="shared" si="137"/>
        <v>1</v>
      </c>
      <c r="J867" s="635"/>
      <c r="K867" s="3241">
        <f t="shared" si="138"/>
        <v>1</v>
      </c>
      <c r="L867" s="635"/>
      <c r="M867" s="3241">
        <f t="shared" si="139"/>
        <v>1</v>
      </c>
      <c r="N867" s="635"/>
      <c r="O867" s="3241">
        <f t="shared" si="140"/>
        <v>1</v>
      </c>
      <c r="P867" s="635"/>
      <c r="Q867" s="3241">
        <f t="shared" si="141"/>
        <v>1</v>
      </c>
      <c r="R867" s="3241">
        <f t="shared" ca="1" si="142"/>
        <v>5044</v>
      </c>
      <c r="S867" s="905">
        <f t="shared" ca="1" si="143"/>
        <v>18</v>
      </c>
    </row>
    <row r="868" spans="1:19">
      <c r="A868" s="3227" t="s">
        <v>6028</v>
      </c>
      <c r="B868" s="3228">
        <v>35.07</v>
      </c>
      <c r="C868" s="3241">
        <f t="shared" si="144"/>
        <v>1</v>
      </c>
      <c r="D868" s="3237" t="s">
        <v>5171</v>
      </c>
      <c r="E868" s="3241">
        <f t="shared" si="135"/>
        <v>1</v>
      </c>
      <c r="F868" s="635"/>
      <c r="G868" s="3241">
        <f t="shared" si="136"/>
        <v>1</v>
      </c>
      <c r="H868" s="635"/>
      <c r="I868" s="3241">
        <f t="shared" si="137"/>
        <v>1</v>
      </c>
      <c r="J868" s="635"/>
      <c r="K868" s="3241">
        <f t="shared" si="138"/>
        <v>1</v>
      </c>
      <c r="L868" s="635"/>
      <c r="M868" s="3241">
        <f t="shared" si="139"/>
        <v>1</v>
      </c>
      <c r="N868" s="635"/>
      <c r="O868" s="3241">
        <f t="shared" si="140"/>
        <v>1</v>
      </c>
      <c r="P868" s="635"/>
      <c r="Q868" s="3241">
        <f t="shared" si="141"/>
        <v>1</v>
      </c>
      <c r="R868" s="3241">
        <f t="shared" ca="1" si="142"/>
        <v>5044</v>
      </c>
      <c r="S868" s="905">
        <f t="shared" ca="1" si="143"/>
        <v>18</v>
      </c>
    </row>
    <row r="869" spans="1:19">
      <c r="A869" s="3227" t="s">
        <v>4863</v>
      </c>
      <c r="B869" s="3233">
        <v>35.799999999999997</v>
      </c>
      <c r="C869" s="3241">
        <f t="shared" si="144"/>
        <v>1</v>
      </c>
      <c r="D869" s="3237" t="s">
        <v>4009</v>
      </c>
      <c r="E869" s="3241">
        <f t="shared" si="135"/>
        <v>1</v>
      </c>
      <c r="F869" s="635"/>
      <c r="G869" s="3241">
        <f t="shared" si="136"/>
        <v>1</v>
      </c>
      <c r="H869" s="635"/>
      <c r="I869" s="3241">
        <f t="shared" si="137"/>
        <v>1</v>
      </c>
      <c r="J869" s="635"/>
      <c r="K869" s="3241">
        <f t="shared" si="138"/>
        <v>1</v>
      </c>
      <c r="L869" s="635"/>
      <c r="M869" s="3241">
        <f t="shared" si="139"/>
        <v>1</v>
      </c>
      <c r="N869" s="635"/>
      <c r="O869" s="3241">
        <f t="shared" si="140"/>
        <v>1</v>
      </c>
      <c r="P869" s="635"/>
      <c r="Q869" s="3241">
        <f t="shared" si="141"/>
        <v>1</v>
      </c>
      <c r="R869" s="3241">
        <f t="shared" ca="1" si="142"/>
        <v>5044</v>
      </c>
      <c r="S869" s="905">
        <f t="shared" ca="1" si="143"/>
        <v>18</v>
      </c>
    </row>
    <row r="870" spans="1:19">
      <c r="A870" s="3227" t="s">
        <v>6030</v>
      </c>
      <c r="B870" s="3233">
        <v>35.799999999999997</v>
      </c>
      <c r="C870" s="3241">
        <f t="shared" si="144"/>
        <v>1</v>
      </c>
      <c r="D870" s="3237" t="s">
        <v>5171</v>
      </c>
      <c r="E870" s="3241">
        <f t="shared" si="135"/>
        <v>1</v>
      </c>
      <c r="F870" s="635"/>
      <c r="G870" s="3241">
        <f t="shared" si="136"/>
        <v>1</v>
      </c>
      <c r="H870" s="635"/>
      <c r="I870" s="3241">
        <f t="shared" si="137"/>
        <v>1</v>
      </c>
      <c r="J870" s="635"/>
      <c r="K870" s="3241">
        <f t="shared" si="138"/>
        <v>1</v>
      </c>
      <c r="L870" s="635"/>
      <c r="M870" s="3241">
        <f t="shared" si="139"/>
        <v>1</v>
      </c>
      <c r="N870" s="635"/>
      <c r="O870" s="3241">
        <f t="shared" si="140"/>
        <v>1</v>
      </c>
      <c r="P870" s="635"/>
      <c r="Q870" s="3241">
        <f t="shared" si="141"/>
        <v>1</v>
      </c>
      <c r="R870" s="3241">
        <f t="shared" ca="1" si="142"/>
        <v>5044</v>
      </c>
      <c r="S870" s="905">
        <f t="shared" ca="1" si="143"/>
        <v>18</v>
      </c>
    </row>
    <row r="871" spans="1:19">
      <c r="A871" s="3227" t="s">
        <v>4865</v>
      </c>
      <c r="B871" s="3233">
        <v>35.799999999999997</v>
      </c>
      <c r="C871" s="3241">
        <f t="shared" si="144"/>
        <v>1</v>
      </c>
      <c r="D871" s="3239" t="s">
        <v>4591</v>
      </c>
      <c r="E871" s="3241">
        <f t="shared" si="135"/>
        <v>1</v>
      </c>
      <c r="F871" s="635"/>
      <c r="G871" s="3241">
        <f t="shared" si="136"/>
        <v>1</v>
      </c>
      <c r="H871" s="635"/>
      <c r="I871" s="3241">
        <f t="shared" si="137"/>
        <v>1</v>
      </c>
      <c r="J871" s="635"/>
      <c r="K871" s="3241">
        <f t="shared" si="138"/>
        <v>1</v>
      </c>
      <c r="L871" s="635"/>
      <c r="M871" s="3241">
        <f t="shared" si="139"/>
        <v>1</v>
      </c>
      <c r="N871" s="635"/>
      <c r="O871" s="3241">
        <f t="shared" si="140"/>
        <v>1</v>
      </c>
      <c r="P871" s="635"/>
      <c r="Q871" s="3241">
        <f t="shared" si="141"/>
        <v>1</v>
      </c>
      <c r="R871" s="3241">
        <f t="shared" ca="1" si="142"/>
        <v>5044</v>
      </c>
      <c r="S871" s="905">
        <f t="shared" ca="1" si="143"/>
        <v>18</v>
      </c>
    </row>
    <row r="872" spans="1:19">
      <c r="A872" s="3227" t="s">
        <v>6032</v>
      </c>
      <c r="B872" s="3233">
        <v>35.799999999999997</v>
      </c>
      <c r="C872" s="3241">
        <f t="shared" si="144"/>
        <v>1</v>
      </c>
      <c r="D872" s="3237" t="s">
        <v>5171</v>
      </c>
      <c r="E872" s="3241">
        <f t="shared" si="135"/>
        <v>1</v>
      </c>
      <c r="F872" s="635"/>
      <c r="G872" s="3241">
        <f t="shared" si="136"/>
        <v>1</v>
      </c>
      <c r="H872" s="635"/>
      <c r="I872" s="3241">
        <f t="shared" si="137"/>
        <v>1</v>
      </c>
      <c r="J872" s="635"/>
      <c r="K872" s="3241">
        <f t="shared" si="138"/>
        <v>1</v>
      </c>
      <c r="L872" s="635"/>
      <c r="M872" s="3241">
        <f t="shared" si="139"/>
        <v>1</v>
      </c>
      <c r="N872" s="635"/>
      <c r="O872" s="3241">
        <f t="shared" si="140"/>
        <v>1</v>
      </c>
      <c r="P872" s="635"/>
      <c r="Q872" s="3241">
        <f t="shared" si="141"/>
        <v>1</v>
      </c>
      <c r="R872" s="3241">
        <f t="shared" ca="1" si="142"/>
        <v>5044</v>
      </c>
      <c r="S872" s="905">
        <f t="shared" ca="1" si="143"/>
        <v>18</v>
      </c>
    </row>
    <row r="873" spans="1:19">
      <c r="A873" s="3227" t="s">
        <v>4867</v>
      </c>
      <c r="B873" s="3233">
        <v>35.799999999999997</v>
      </c>
      <c r="C873" s="3241">
        <f t="shared" si="144"/>
        <v>1</v>
      </c>
      <c r="D873" s="3237" t="s">
        <v>4009</v>
      </c>
      <c r="E873" s="3241">
        <f t="shared" si="135"/>
        <v>1</v>
      </c>
      <c r="F873" s="635"/>
      <c r="G873" s="3241">
        <f t="shared" si="136"/>
        <v>1</v>
      </c>
      <c r="H873" s="635"/>
      <c r="I873" s="3241">
        <f t="shared" si="137"/>
        <v>1</v>
      </c>
      <c r="J873" s="635"/>
      <c r="K873" s="3241">
        <f t="shared" si="138"/>
        <v>1</v>
      </c>
      <c r="L873" s="635"/>
      <c r="M873" s="3241">
        <f t="shared" si="139"/>
        <v>1</v>
      </c>
      <c r="N873" s="635"/>
      <c r="O873" s="3241">
        <f t="shared" si="140"/>
        <v>1</v>
      </c>
      <c r="P873" s="635"/>
      <c r="Q873" s="3241">
        <f t="shared" si="141"/>
        <v>1</v>
      </c>
      <c r="R873" s="3241">
        <f t="shared" ca="1" si="142"/>
        <v>5044</v>
      </c>
      <c r="S873" s="905">
        <f t="shared" ca="1" si="143"/>
        <v>18</v>
      </c>
    </row>
    <row r="874" spans="1:19">
      <c r="A874" s="3227" t="s">
        <v>6034</v>
      </c>
      <c r="B874" s="3233">
        <v>35.799999999999997</v>
      </c>
      <c r="C874" s="3241">
        <f t="shared" si="144"/>
        <v>1</v>
      </c>
      <c r="D874" s="3237" t="s">
        <v>5171</v>
      </c>
      <c r="E874" s="3241">
        <f t="shared" si="135"/>
        <v>1</v>
      </c>
      <c r="F874" s="635"/>
      <c r="G874" s="3241">
        <f t="shared" si="136"/>
        <v>1</v>
      </c>
      <c r="H874" s="635"/>
      <c r="I874" s="3241">
        <f t="shared" si="137"/>
        <v>1</v>
      </c>
      <c r="J874" s="635"/>
      <c r="K874" s="3241">
        <f t="shared" si="138"/>
        <v>1</v>
      </c>
      <c r="L874" s="635"/>
      <c r="M874" s="3241">
        <f t="shared" si="139"/>
        <v>1</v>
      </c>
      <c r="N874" s="635"/>
      <c r="O874" s="3241">
        <f t="shared" si="140"/>
        <v>1</v>
      </c>
      <c r="P874" s="635"/>
      <c r="Q874" s="3241">
        <f t="shared" si="141"/>
        <v>1</v>
      </c>
      <c r="R874" s="3241">
        <f t="shared" ca="1" si="142"/>
        <v>5044</v>
      </c>
      <c r="S874" s="905">
        <f t="shared" ca="1" si="143"/>
        <v>18</v>
      </c>
    </row>
    <row r="875" spans="1:19">
      <c r="A875" s="3227" t="s">
        <v>4869</v>
      </c>
      <c r="B875" s="3233">
        <v>35.799999999999997</v>
      </c>
      <c r="C875" s="3241">
        <f t="shared" si="144"/>
        <v>1</v>
      </c>
      <c r="D875" s="3237" t="s">
        <v>4009</v>
      </c>
      <c r="E875" s="3241">
        <f t="shared" si="135"/>
        <v>1</v>
      </c>
      <c r="F875" s="635"/>
      <c r="G875" s="3241">
        <f t="shared" si="136"/>
        <v>1</v>
      </c>
      <c r="H875" s="635"/>
      <c r="I875" s="3241">
        <f t="shared" si="137"/>
        <v>1</v>
      </c>
      <c r="J875" s="635"/>
      <c r="K875" s="3241">
        <f t="shared" si="138"/>
        <v>1</v>
      </c>
      <c r="L875" s="635"/>
      <c r="M875" s="3241">
        <f t="shared" si="139"/>
        <v>1</v>
      </c>
      <c r="N875" s="635"/>
      <c r="O875" s="3241">
        <f t="shared" si="140"/>
        <v>1</v>
      </c>
      <c r="P875" s="635"/>
      <c r="Q875" s="3241">
        <f t="shared" si="141"/>
        <v>1</v>
      </c>
      <c r="R875" s="3241">
        <f t="shared" ca="1" si="142"/>
        <v>5044</v>
      </c>
      <c r="S875" s="905">
        <f t="shared" ca="1" si="143"/>
        <v>18</v>
      </c>
    </row>
    <row r="876" spans="1:19">
      <c r="A876" s="3227" t="s">
        <v>6036</v>
      </c>
      <c r="B876" s="3233">
        <v>35.799999999999997</v>
      </c>
      <c r="C876" s="3241">
        <f t="shared" si="144"/>
        <v>1</v>
      </c>
      <c r="D876" s="3237" t="s">
        <v>5171</v>
      </c>
      <c r="E876" s="3241">
        <f t="shared" si="135"/>
        <v>1</v>
      </c>
      <c r="F876" s="635"/>
      <c r="G876" s="3241">
        <f t="shared" si="136"/>
        <v>1</v>
      </c>
      <c r="H876" s="635"/>
      <c r="I876" s="3241">
        <f t="shared" si="137"/>
        <v>1</v>
      </c>
      <c r="J876" s="635"/>
      <c r="K876" s="3241">
        <f t="shared" si="138"/>
        <v>1</v>
      </c>
      <c r="L876" s="635"/>
      <c r="M876" s="3241">
        <f t="shared" si="139"/>
        <v>1</v>
      </c>
      <c r="N876" s="635"/>
      <c r="O876" s="3241">
        <f t="shared" si="140"/>
        <v>1</v>
      </c>
      <c r="P876" s="635"/>
      <c r="Q876" s="3241">
        <f t="shared" si="141"/>
        <v>1</v>
      </c>
      <c r="R876" s="3241">
        <f t="shared" ca="1" si="142"/>
        <v>5044</v>
      </c>
      <c r="S876" s="905">
        <f t="shared" ca="1" si="143"/>
        <v>18</v>
      </c>
    </row>
    <row r="877" spans="1:19">
      <c r="A877" s="3227" t="s">
        <v>4871</v>
      </c>
      <c r="B877" s="3233">
        <v>35.799999999999997</v>
      </c>
      <c r="C877" s="3241">
        <f t="shared" si="144"/>
        <v>1</v>
      </c>
      <c r="D877" s="3237" t="s">
        <v>4009</v>
      </c>
      <c r="E877" s="3241">
        <f t="shared" si="135"/>
        <v>1</v>
      </c>
      <c r="F877" s="635"/>
      <c r="G877" s="3241">
        <f t="shared" si="136"/>
        <v>1</v>
      </c>
      <c r="H877" s="635"/>
      <c r="I877" s="3241">
        <f t="shared" si="137"/>
        <v>1</v>
      </c>
      <c r="J877" s="635"/>
      <c r="K877" s="3241">
        <f t="shared" si="138"/>
        <v>1</v>
      </c>
      <c r="L877" s="635"/>
      <c r="M877" s="3241">
        <f t="shared" si="139"/>
        <v>1</v>
      </c>
      <c r="N877" s="635"/>
      <c r="O877" s="3241">
        <f t="shared" si="140"/>
        <v>1</v>
      </c>
      <c r="P877" s="635"/>
      <c r="Q877" s="3241">
        <f t="shared" si="141"/>
        <v>1</v>
      </c>
      <c r="R877" s="3241">
        <f t="shared" ca="1" si="142"/>
        <v>5044</v>
      </c>
      <c r="S877" s="905">
        <f t="shared" ca="1" si="143"/>
        <v>18</v>
      </c>
    </row>
    <row r="878" spans="1:19">
      <c r="A878" s="3227" t="s">
        <v>6038</v>
      </c>
      <c r="B878" s="3233">
        <v>35.799999999999997</v>
      </c>
      <c r="C878" s="3241">
        <f t="shared" si="144"/>
        <v>1</v>
      </c>
      <c r="D878" s="3237" t="s">
        <v>5171</v>
      </c>
      <c r="E878" s="3241">
        <f t="shared" si="135"/>
        <v>1</v>
      </c>
      <c r="F878" s="635"/>
      <c r="G878" s="3241">
        <f t="shared" si="136"/>
        <v>1</v>
      </c>
      <c r="H878" s="635"/>
      <c r="I878" s="3241">
        <f t="shared" si="137"/>
        <v>1</v>
      </c>
      <c r="J878" s="635"/>
      <c r="K878" s="3241">
        <f t="shared" si="138"/>
        <v>1</v>
      </c>
      <c r="L878" s="635"/>
      <c r="M878" s="3241">
        <f t="shared" si="139"/>
        <v>1</v>
      </c>
      <c r="N878" s="635"/>
      <c r="O878" s="3241">
        <f t="shared" si="140"/>
        <v>1</v>
      </c>
      <c r="P878" s="635"/>
      <c r="Q878" s="3241">
        <f t="shared" si="141"/>
        <v>1</v>
      </c>
      <c r="R878" s="3241">
        <f t="shared" ca="1" si="142"/>
        <v>5044</v>
      </c>
      <c r="S878" s="905">
        <f t="shared" ca="1" si="143"/>
        <v>18</v>
      </c>
    </row>
    <row r="879" spans="1:19">
      <c r="A879" s="3227" t="s">
        <v>4873</v>
      </c>
      <c r="B879" s="3233">
        <v>35.799999999999997</v>
      </c>
      <c r="C879" s="3241">
        <f t="shared" si="144"/>
        <v>1</v>
      </c>
      <c r="D879" s="3237" t="s">
        <v>4009</v>
      </c>
      <c r="E879" s="3241">
        <f t="shared" si="135"/>
        <v>1</v>
      </c>
      <c r="F879" s="635"/>
      <c r="G879" s="3241">
        <f t="shared" si="136"/>
        <v>1</v>
      </c>
      <c r="H879" s="635"/>
      <c r="I879" s="3241">
        <f t="shared" si="137"/>
        <v>1</v>
      </c>
      <c r="J879" s="635"/>
      <c r="K879" s="3241">
        <f t="shared" si="138"/>
        <v>1</v>
      </c>
      <c r="L879" s="635"/>
      <c r="M879" s="3241">
        <f t="shared" si="139"/>
        <v>1</v>
      </c>
      <c r="N879" s="635"/>
      <c r="O879" s="3241">
        <f t="shared" si="140"/>
        <v>1</v>
      </c>
      <c r="P879" s="635"/>
      <c r="Q879" s="3241">
        <f t="shared" si="141"/>
        <v>1</v>
      </c>
      <c r="R879" s="3241">
        <f t="shared" ca="1" si="142"/>
        <v>5044</v>
      </c>
      <c r="S879" s="905">
        <f t="shared" ca="1" si="143"/>
        <v>18</v>
      </c>
    </row>
    <row r="880" spans="1:19">
      <c r="A880" s="3227" t="s">
        <v>6040</v>
      </c>
      <c r="B880" s="3233">
        <v>35.799999999999997</v>
      </c>
      <c r="C880" s="3241">
        <f t="shared" si="144"/>
        <v>1</v>
      </c>
      <c r="D880" s="3237" t="s">
        <v>5171</v>
      </c>
      <c r="E880" s="3241">
        <f t="shared" si="135"/>
        <v>1</v>
      </c>
      <c r="F880" s="635"/>
      <c r="G880" s="3241">
        <f t="shared" si="136"/>
        <v>1</v>
      </c>
      <c r="H880" s="635"/>
      <c r="I880" s="3241">
        <f t="shared" si="137"/>
        <v>1</v>
      </c>
      <c r="J880" s="635"/>
      <c r="K880" s="3241">
        <f t="shared" si="138"/>
        <v>1</v>
      </c>
      <c r="L880" s="635"/>
      <c r="M880" s="3241">
        <f t="shared" si="139"/>
        <v>1</v>
      </c>
      <c r="N880" s="635"/>
      <c r="O880" s="3241">
        <f t="shared" si="140"/>
        <v>1</v>
      </c>
      <c r="P880" s="635"/>
      <c r="Q880" s="3241">
        <f t="shared" si="141"/>
        <v>1</v>
      </c>
      <c r="R880" s="3241">
        <f t="shared" ca="1" si="142"/>
        <v>5044</v>
      </c>
      <c r="S880" s="905">
        <f t="shared" ca="1" si="143"/>
        <v>18</v>
      </c>
    </row>
    <row r="881" spans="1:19">
      <c r="A881" s="3227" t="s">
        <v>4875</v>
      </c>
      <c r="B881" s="3233">
        <v>35.799999999999997</v>
      </c>
      <c r="C881" s="3241">
        <f t="shared" si="144"/>
        <v>1</v>
      </c>
      <c r="D881" s="3237" t="s">
        <v>4009</v>
      </c>
      <c r="E881" s="3241">
        <f t="shared" si="135"/>
        <v>1</v>
      </c>
      <c r="F881" s="635"/>
      <c r="G881" s="3241">
        <f t="shared" si="136"/>
        <v>1</v>
      </c>
      <c r="H881" s="635"/>
      <c r="I881" s="3241">
        <f t="shared" si="137"/>
        <v>1</v>
      </c>
      <c r="J881" s="635"/>
      <c r="K881" s="3241">
        <f t="shared" si="138"/>
        <v>1</v>
      </c>
      <c r="L881" s="635"/>
      <c r="M881" s="3241">
        <f t="shared" si="139"/>
        <v>1</v>
      </c>
      <c r="N881" s="635"/>
      <c r="O881" s="3241">
        <f t="shared" si="140"/>
        <v>1</v>
      </c>
      <c r="P881" s="635"/>
      <c r="Q881" s="3241">
        <f t="shared" si="141"/>
        <v>1</v>
      </c>
      <c r="R881" s="3241">
        <f t="shared" ca="1" si="142"/>
        <v>5044</v>
      </c>
      <c r="S881" s="905">
        <f t="shared" ca="1" si="143"/>
        <v>18</v>
      </c>
    </row>
    <row r="882" spans="1:19">
      <c r="A882" s="3227" t="s">
        <v>6042</v>
      </c>
      <c r="B882" s="3233">
        <v>35.799999999999997</v>
      </c>
      <c r="C882" s="3241">
        <f t="shared" si="144"/>
        <v>1</v>
      </c>
      <c r="D882" s="3237" t="s">
        <v>5171</v>
      </c>
      <c r="E882" s="3241">
        <f t="shared" si="135"/>
        <v>1</v>
      </c>
      <c r="F882" s="635"/>
      <c r="G882" s="3241">
        <f t="shared" si="136"/>
        <v>1</v>
      </c>
      <c r="H882" s="635"/>
      <c r="I882" s="3241">
        <f t="shared" si="137"/>
        <v>1</v>
      </c>
      <c r="J882" s="635"/>
      <c r="K882" s="3241">
        <f t="shared" si="138"/>
        <v>1</v>
      </c>
      <c r="L882" s="635"/>
      <c r="M882" s="3241">
        <f t="shared" si="139"/>
        <v>1</v>
      </c>
      <c r="N882" s="635"/>
      <c r="O882" s="3241">
        <f t="shared" si="140"/>
        <v>1</v>
      </c>
      <c r="P882" s="635"/>
      <c r="Q882" s="3241">
        <f t="shared" si="141"/>
        <v>1</v>
      </c>
      <c r="R882" s="3241">
        <f t="shared" ca="1" si="142"/>
        <v>5044</v>
      </c>
      <c r="S882" s="905">
        <f t="shared" ca="1" si="143"/>
        <v>18</v>
      </c>
    </row>
    <row r="883" spans="1:19">
      <c r="A883" s="3227" t="s">
        <v>4877</v>
      </c>
      <c r="B883" s="3228">
        <v>35.07</v>
      </c>
      <c r="C883" s="3241">
        <f t="shared" si="144"/>
        <v>1</v>
      </c>
      <c r="D883" s="3239" t="s">
        <v>4591</v>
      </c>
      <c r="E883" s="3241">
        <f t="shared" si="135"/>
        <v>1</v>
      </c>
      <c r="F883" s="635"/>
      <c r="G883" s="3241">
        <f t="shared" si="136"/>
        <v>1</v>
      </c>
      <c r="H883" s="635"/>
      <c r="I883" s="3241">
        <f t="shared" si="137"/>
        <v>1</v>
      </c>
      <c r="J883" s="635"/>
      <c r="K883" s="3241">
        <f t="shared" si="138"/>
        <v>1</v>
      </c>
      <c r="L883" s="635"/>
      <c r="M883" s="3241">
        <f t="shared" si="139"/>
        <v>1</v>
      </c>
      <c r="N883" s="635"/>
      <c r="O883" s="3241">
        <f t="shared" si="140"/>
        <v>1</v>
      </c>
      <c r="P883" s="635"/>
      <c r="Q883" s="3241">
        <f t="shared" si="141"/>
        <v>1</v>
      </c>
      <c r="R883" s="3241">
        <f t="shared" ca="1" si="142"/>
        <v>5044</v>
      </c>
      <c r="S883" s="905">
        <f t="shared" ca="1" si="143"/>
        <v>18</v>
      </c>
    </row>
    <row r="884" spans="1:19">
      <c r="A884" s="3227" t="s">
        <v>6044</v>
      </c>
      <c r="B884" s="3228">
        <v>35.07</v>
      </c>
      <c r="C884" s="3241">
        <f t="shared" si="144"/>
        <v>1</v>
      </c>
      <c r="D884" s="3239" t="s">
        <v>5756</v>
      </c>
      <c r="E884" s="3241">
        <f t="shared" si="135"/>
        <v>1</v>
      </c>
      <c r="F884" s="635"/>
      <c r="G884" s="3241">
        <f t="shared" si="136"/>
        <v>1</v>
      </c>
      <c r="H884" s="635"/>
      <c r="I884" s="3241">
        <f t="shared" si="137"/>
        <v>1</v>
      </c>
      <c r="J884" s="635"/>
      <c r="K884" s="3241">
        <f t="shared" si="138"/>
        <v>1</v>
      </c>
      <c r="L884" s="635"/>
      <c r="M884" s="3241">
        <f t="shared" si="139"/>
        <v>1</v>
      </c>
      <c r="N884" s="635"/>
      <c r="O884" s="3241">
        <f t="shared" si="140"/>
        <v>1</v>
      </c>
      <c r="P884" s="635"/>
      <c r="Q884" s="3241">
        <f t="shared" si="141"/>
        <v>1</v>
      </c>
      <c r="R884" s="3241">
        <f t="shared" ca="1" si="142"/>
        <v>5044</v>
      </c>
      <c r="S884" s="905">
        <f t="shared" ca="1" si="143"/>
        <v>18</v>
      </c>
    </row>
    <row r="885" spans="1:19">
      <c r="A885" s="3227" t="s">
        <v>4879</v>
      </c>
      <c r="B885" s="3228">
        <v>35.07</v>
      </c>
      <c r="C885" s="3241">
        <f t="shared" si="144"/>
        <v>1</v>
      </c>
      <c r="D885" s="3237" t="s">
        <v>4009</v>
      </c>
      <c r="E885" s="3241">
        <f t="shared" si="135"/>
        <v>1</v>
      </c>
      <c r="F885" s="635"/>
      <c r="G885" s="3241">
        <f t="shared" si="136"/>
        <v>1</v>
      </c>
      <c r="H885" s="635"/>
      <c r="I885" s="3241">
        <f t="shared" si="137"/>
        <v>1</v>
      </c>
      <c r="J885" s="635"/>
      <c r="K885" s="3241">
        <f t="shared" si="138"/>
        <v>1</v>
      </c>
      <c r="L885" s="635"/>
      <c r="M885" s="3241">
        <f t="shared" si="139"/>
        <v>1</v>
      </c>
      <c r="N885" s="635"/>
      <c r="O885" s="3241">
        <f t="shared" si="140"/>
        <v>1</v>
      </c>
      <c r="P885" s="635"/>
      <c r="Q885" s="3241">
        <f t="shared" si="141"/>
        <v>1</v>
      </c>
      <c r="R885" s="3241">
        <f t="shared" ca="1" si="142"/>
        <v>5044</v>
      </c>
      <c r="S885" s="905">
        <f t="shared" ca="1" si="143"/>
        <v>18</v>
      </c>
    </row>
    <row r="886" spans="1:19">
      <c r="A886" s="3227" t="s">
        <v>6046</v>
      </c>
      <c r="B886" s="3228">
        <v>35.07</v>
      </c>
      <c r="C886" s="3241">
        <f t="shared" si="144"/>
        <v>1</v>
      </c>
      <c r="D886" s="3237" t="s">
        <v>5171</v>
      </c>
      <c r="E886" s="3241">
        <f t="shared" si="135"/>
        <v>1</v>
      </c>
      <c r="F886" s="635"/>
      <c r="G886" s="3241">
        <f t="shared" si="136"/>
        <v>1</v>
      </c>
      <c r="H886" s="635"/>
      <c r="I886" s="3241">
        <f t="shared" si="137"/>
        <v>1</v>
      </c>
      <c r="J886" s="635"/>
      <c r="K886" s="3241">
        <f t="shared" si="138"/>
        <v>1</v>
      </c>
      <c r="L886" s="635"/>
      <c r="M886" s="3241">
        <f t="shared" si="139"/>
        <v>1</v>
      </c>
      <c r="N886" s="635"/>
      <c r="O886" s="3241">
        <f t="shared" si="140"/>
        <v>1</v>
      </c>
      <c r="P886" s="635"/>
      <c r="Q886" s="3241">
        <f t="shared" si="141"/>
        <v>1</v>
      </c>
      <c r="R886" s="3241">
        <f t="shared" ca="1" si="142"/>
        <v>5044</v>
      </c>
      <c r="S886" s="905">
        <f t="shared" ca="1" si="143"/>
        <v>18</v>
      </c>
    </row>
    <row r="887" spans="1:19">
      <c r="A887" s="3227" t="s">
        <v>4881</v>
      </c>
      <c r="B887" s="3228">
        <v>35.07</v>
      </c>
      <c r="C887" s="3241">
        <f t="shared" si="144"/>
        <v>1</v>
      </c>
      <c r="D887" s="3237" t="s">
        <v>4009</v>
      </c>
      <c r="E887" s="3241">
        <f t="shared" si="135"/>
        <v>1</v>
      </c>
      <c r="F887" s="635"/>
      <c r="G887" s="3241">
        <f t="shared" si="136"/>
        <v>1</v>
      </c>
      <c r="H887" s="635"/>
      <c r="I887" s="3241">
        <f t="shared" si="137"/>
        <v>1</v>
      </c>
      <c r="J887" s="635"/>
      <c r="K887" s="3241">
        <f t="shared" si="138"/>
        <v>1</v>
      </c>
      <c r="L887" s="635"/>
      <c r="M887" s="3241">
        <f t="shared" si="139"/>
        <v>1</v>
      </c>
      <c r="N887" s="635"/>
      <c r="O887" s="3241">
        <f t="shared" si="140"/>
        <v>1</v>
      </c>
      <c r="P887" s="635"/>
      <c r="Q887" s="3241">
        <f t="shared" si="141"/>
        <v>1</v>
      </c>
      <c r="R887" s="3241">
        <f t="shared" ca="1" si="142"/>
        <v>5044</v>
      </c>
      <c r="S887" s="905">
        <f t="shared" ca="1" si="143"/>
        <v>18</v>
      </c>
    </row>
    <row r="888" spans="1:19">
      <c r="A888" s="3227" t="s">
        <v>6048</v>
      </c>
      <c r="B888" s="3228">
        <v>35.07</v>
      </c>
      <c r="C888" s="3241">
        <f t="shared" si="144"/>
        <v>1</v>
      </c>
      <c r="D888" s="3237" t="s">
        <v>5171</v>
      </c>
      <c r="E888" s="3241">
        <f t="shared" si="135"/>
        <v>1</v>
      </c>
      <c r="F888" s="635"/>
      <c r="G888" s="3241">
        <f t="shared" si="136"/>
        <v>1</v>
      </c>
      <c r="H888" s="635"/>
      <c r="I888" s="3241">
        <f t="shared" si="137"/>
        <v>1</v>
      </c>
      <c r="J888" s="635"/>
      <c r="K888" s="3241">
        <f t="shared" si="138"/>
        <v>1</v>
      </c>
      <c r="L888" s="635"/>
      <c r="M888" s="3241">
        <f t="shared" si="139"/>
        <v>1</v>
      </c>
      <c r="N888" s="635"/>
      <c r="O888" s="3241">
        <f t="shared" si="140"/>
        <v>1</v>
      </c>
      <c r="P888" s="635"/>
      <c r="Q888" s="3241">
        <f t="shared" si="141"/>
        <v>1</v>
      </c>
      <c r="R888" s="3241">
        <f t="shared" ca="1" si="142"/>
        <v>5044</v>
      </c>
      <c r="S888" s="905">
        <f t="shared" ca="1" si="143"/>
        <v>18</v>
      </c>
    </row>
    <row r="889" spans="1:19">
      <c r="A889" s="3227" t="s">
        <v>4883</v>
      </c>
      <c r="B889" s="3228">
        <v>35.07</v>
      </c>
      <c r="C889" s="3241">
        <f t="shared" si="144"/>
        <v>1</v>
      </c>
      <c r="D889" s="3237" t="s">
        <v>4009</v>
      </c>
      <c r="E889" s="3241">
        <f t="shared" si="135"/>
        <v>1</v>
      </c>
      <c r="F889" s="635"/>
      <c r="G889" s="3241">
        <f t="shared" si="136"/>
        <v>1</v>
      </c>
      <c r="H889" s="635"/>
      <c r="I889" s="3241">
        <f t="shared" si="137"/>
        <v>1</v>
      </c>
      <c r="J889" s="635"/>
      <c r="K889" s="3241">
        <f t="shared" si="138"/>
        <v>1</v>
      </c>
      <c r="L889" s="635"/>
      <c r="M889" s="3241">
        <f t="shared" si="139"/>
        <v>1</v>
      </c>
      <c r="N889" s="635"/>
      <c r="O889" s="3241">
        <f t="shared" si="140"/>
        <v>1</v>
      </c>
      <c r="P889" s="635"/>
      <c r="Q889" s="3241">
        <f t="shared" si="141"/>
        <v>1</v>
      </c>
      <c r="R889" s="3241">
        <f t="shared" ca="1" si="142"/>
        <v>5044</v>
      </c>
      <c r="S889" s="905">
        <f t="shared" ca="1" si="143"/>
        <v>18</v>
      </c>
    </row>
    <row r="890" spans="1:19">
      <c r="A890" s="3227" t="s">
        <v>6050</v>
      </c>
      <c r="B890" s="3228">
        <v>35.07</v>
      </c>
      <c r="C890" s="3241">
        <f t="shared" si="144"/>
        <v>1</v>
      </c>
      <c r="D890" s="3237" t="s">
        <v>5171</v>
      </c>
      <c r="E890" s="3241">
        <f t="shared" si="135"/>
        <v>1</v>
      </c>
      <c r="F890" s="635"/>
      <c r="G890" s="3241">
        <f t="shared" si="136"/>
        <v>1</v>
      </c>
      <c r="H890" s="635"/>
      <c r="I890" s="3241">
        <f t="shared" si="137"/>
        <v>1</v>
      </c>
      <c r="J890" s="635"/>
      <c r="K890" s="3241">
        <f t="shared" si="138"/>
        <v>1</v>
      </c>
      <c r="L890" s="635"/>
      <c r="M890" s="3241">
        <f t="shared" si="139"/>
        <v>1</v>
      </c>
      <c r="N890" s="635"/>
      <c r="O890" s="3241">
        <f t="shared" si="140"/>
        <v>1</v>
      </c>
      <c r="P890" s="635"/>
      <c r="Q890" s="3241">
        <f t="shared" si="141"/>
        <v>1</v>
      </c>
      <c r="R890" s="3241">
        <f t="shared" ca="1" si="142"/>
        <v>5044</v>
      </c>
      <c r="S890" s="905">
        <f t="shared" ca="1" si="143"/>
        <v>18</v>
      </c>
    </row>
    <row r="891" spans="1:19">
      <c r="A891" s="3227" t="s">
        <v>4885</v>
      </c>
      <c r="B891" s="3233">
        <v>35.799999999999997</v>
      </c>
      <c r="C891" s="3241">
        <f t="shared" si="144"/>
        <v>1</v>
      </c>
      <c r="D891" s="3237" t="s">
        <v>4009</v>
      </c>
      <c r="E891" s="3241">
        <f t="shared" si="135"/>
        <v>1</v>
      </c>
      <c r="F891" s="635"/>
      <c r="G891" s="3241">
        <f t="shared" si="136"/>
        <v>1</v>
      </c>
      <c r="H891" s="635"/>
      <c r="I891" s="3241">
        <f t="shared" si="137"/>
        <v>1</v>
      </c>
      <c r="J891" s="635"/>
      <c r="K891" s="3241">
        <f t="shared" si="138"/>
        <v>1</v>
      </c>
      <c r="L891" s="635"/>
      <c r="M891" s="3241">
        <f t="shared" si="139"/>
        <v>1</v>
      </c>
      <c r="N891" s="635"/>
      <c r="O891" s="3241">
        <f t="shared" si="140"/>
        <v>1</v>
      </c>
      <c r="P891" s="635"/>
      <c r="Q891" s="3241">
        <f t="shared" si="141"/>
        <v>1</v>
      </c>
      <c r="R891" s="3241">
        <f t="shared" ca="1" si="142"/>
        <v>5044</v>
      </c>
      <c r="S891" s="905">
        <f t="shared" ca="1" si="143"/>
        <v>18</v>
      </c>
    </row>
    <row r="892" spans="1:19">
      <c r="A892" s="3227" t="s">
        <v>6052</v>
      </c>
      <c r="B892" s="3233">
        <v>35.799999999999997</v>
      </c>
      <c r="C892" s="3241">
        <f t="shared" si="144"/>
        <v>1</v>
      </c>
      <c r="D892" s="3237" t="s">
        <v>5171</v>
      </c>
      <c r="E892" s="3241">
        <f t="shared" si="135"/>
        <v>1</v>
      </c>
      <c r="F892" s="635"/>
      <c r="G892" s="3241">
        <f t="shared" si="136"/>
        <v>1</v>
      </c>
      <c r="H892" s="635"/>
      <c r="I892" s="3241">
        <f t="shared" si="137"/>
        <v>1</v>
      </c>
      <c r="J892" s="635"/>
      <c r="K892" s="3241">
        <f t="shared" si="138"/>
        <v>1</v>
      </c>
      <c r="L892" s="635"/>
      <c r="M892" s="3241">
        <f t="shared" si="139"/>
        <v>1</v>
      </c>
      <c r="N892" s="635"/>
      <c r="O892" s="3241">
        <f t="shared" si="140"/>
        <v>1</v>
      </c>
      <c r="P892" s="635"/>
      <c r="Q892" s="3241">
        <f t="shared" si="141"/>
        <v>1</v>
      </c>
      <c r="R892" s="3241">
        <f t="shared" ca="1" si="142"/>
        <v>5044</v>
      </c>
      <c r="S892" s="905">
        <f t="shared" ca="1" si="143"/>
        <v>18</v>
      </c>
    </row>
    <row r="893" spans="1:19">
      <c r="A893" s="3227" t="s">
        <v>4887</v>
      </c>
      <c r="B893" s="3233">
        <v>35.799999999999997</v>
      </c>
      <c r="C893" s="3241">
        <f t="shared" si="144"/>
        <v>1</v>
      </c>
      <c r="D893" s="3239" t="s">
        <v>4591</v>
      </c>
      <c r="E893" s="3241">
        <f t="shared" si="135"/>
        <v>1</v>
      </c>
      <c r="F893" s="635"/>
      <c r="G893" s="3241">
        <f t="shared" si="136"/>
        <v>1</v>
      </c>
      <c r="H893" s="635"/>
      <c r="I893" s="3241">
        <f t="shared" si="137"/>
        <v>1</v>
      </c>
      <c r="J893" s="635"/>
      <c r="K893" s="3241">
        <f t="shared" si="138"/>
        <v>1</v>
      </c>
      <c r="L893" s="635"/>
      <c r="M893" s="3241">
        <f t="shared" si="139"/>
        <v>1</v>
      </c>
      <c r="N893" s="635"/>
      <c r="O893" s="3241">
        <f t="shared" si="140"/>
        <v>1</v>
      </c>
      <c r="P893" s="635"/>
      <c r="Q893" s="3241">
        <f t="shared" si="141"/>
        <v>1</v>
      </c>
      <c r="R893" s="3241">
        <f t="shared" ca="1" si="142"/>
        <v>5044</v>
      </c>
      <c r="S893" s="905">
        <f t="shared" ca="1" si="143"/>
        <v>18</v>
      </c>
    </row>
    <row r="894" spans="1:19">
      <c r="A894" s="3227" t="s">
        <v>6054</v>
      </c>
      <c r="B894" s="3233">
        <v>35.799999999999997</v>
      </c>
      <c r="C894" s="3241">
        <f t="shared" si="144"/>
        <v>1</v>
      </c>
      <c r="D894" s="3237" t="s">
        <v>5171</v>
      </c>
      <c r="E894" s="3241">
        <f t="shared" si="135"/>
        <v>1</v>
      </c>
      <c r="F894" s="635"/>
      <c r="G894" s="3241">
        <f t="shared" si="136"/>
        <v>1</v>
      </c>
      <c r="H894" s="635"/>
      <c r="I894" s="3241">
        <f t="shared" si="137"/>
        <v>1</v>
      </c>
      <c r="J894" s="635"/>
      <c r="K894" s="3241">
        <f t="shared" si="138"/>
        <v>1</v>
      </c>
      <c r="L894" s="635"/>
      <c r="M894" s="3241">
        <f t="shared" si="139"/>
        <v>1</v>
      </c>
      <c r="N894" s="635"/>
      <c r="O894" s="3241">
        <f t="shared" si="140"/>
        <v>1</v>
      </c>
      <c r="P894" s="635"/>
      <c r="Q894" s="3241">
        <f t="shared" si="141"/>
        <v>1</v>
      </c>
      <c r="R894" s="3241">
        <f t="shared" ca="1" si="142"/>
        <v>5044</v>
      </c>
      <c r="S894" s="905">
        <f t="shared" ca="1" si="143"/>
        <v>18</v>
      </c>
    </row>
    <row r="895" spans="1:19">
      <c r="A895" s="3227" t="s">
        <v>4889</v>
      </c>
      <c r="B895" s="3233">
        <v>35.799999999999997</v>
      </c>
      <c r="C895" s="3241">
        <f t="shared" si="144"/>
        <v>1</v>
      </c>
      <c r="D895" s="3237" t="s">
        <v>4009</v>
      </c>
      <c r="E895" s="3241">
        <f t="shared" si="135"/>
        <v>1</v>
      </c>
      <c r="F895" s="635"/>
      <c r="G895" s="3241">
        <f t="shared" si="136"/>
        <v>1</v>
      </c>
      <c r="H895" s="635"/>
      <c r="I895" s="3241">
        <f t="shared" si="137"/>
        <v>1</v>
      </c>
      <c r="J895" s="635"/>
      <c r="K895" s="3241">
        <f t="shared" si="138"/>
        <v>1</v>
      </c>
      <c r="L895" s="635"/>
      <c r="M895" s="3241">
        <f t="shared" si="139"/>
        <v>1</v>
      </c>
      <c r="N895" s="635"/>
      <c r="O895" s="3241">
        <f t="shared" si="140"/>
        <v>1</v>
      </c>
      <c r="P895" s="635"/>
      <c r="Q895" s="3241">
        <f t="shared" si="141"/>
        <v>1</v>
      </c>
      <c r="R895" s="3241">
        <f t="shared" ca="1" si="142"/>
        <v>5044</v>
      </c>
      <c r="S895" s="905">
        <f t="shared" ca="1" si="143"/>
        <v>18</v>
      </c>
    </row>
    <row r="896" spans="1:19">
      <c r="A896" s="3227" t="s">
        <v>6056</v>
      </c>
      <c r="B896" s="3233">
        <v>35.799999999999997</v>
      </c>
      <c r="C896" s="3241">
        <f t="shared" si="144"/>
        <v>1</v>
      </c>
      <c r="D896" s="3237" t="s">
        <v>5171</v>
      </c>
      <c r="E896" s="3241">
        <f t="shared" si="135"/>
        <v>1</v>
      </c>
      <c r="F896" s="635"/>
      <c r="G896" s="3241">
        <f t="shared" si="136"/>
        <v>1</v>
      </c>
      <c r="H896" s="635"/>
      <c r="I896" s="3241">
        <f t="shared" si="137"/>
        <v>1</v>
      </c>
      <c r="J896" s="635"/>
      <c r="K896" s="3241">
        <f t="shared" si="138"/>
        <v>1</v>
      </c>
      <c r="L896" s="635"/>
      <c r="M896" s="3241">
        <f t="shared" si="139"/>
        <v>1</v>
      </c>
      <c r="N896" s="635"/>
      <c r="O896" s="3241">
        <f t="shared" si="140"/>
        <v>1</v>
      </c>
      <c r="P896" s="635"/>
      <c r="Q896" s="3241">
        <f t="shared" si="141"/>
        <v>1</v>
      </c>
      <c r="R896" s="3241">
        <f t="shared" ca="1" si="142"/>
        <v>5044</v>
      </c>
      <c r="S896" s="905">
        <f t="shared" ca="1" si="143"/>
        <v>18</v>
      </c>
    </row>
    <row r="897" spans="1:19">
      <c r="A897" s="3227" t="s">
        <v>4891</v>
      </c>
      <c r="B897" s="3233">
        <v>35.799999999999997</v>
      </c>
      <c r="C897" s="3241">
        <f t="shared" si="144"/>
        <v>1</v>
      </c>
      <c r="D897" s="3237" t="s">
        <v>4009</v>
      </c>
      <c r="E897" s="3241">
        <f t="shared" si="135"/>
        <v>1</v>
      </c>
      <c r="F897" s="635"/>
      <c r="G897" s="3241">
        <f t="shared" si="136"/>
        <v>1</v>
      </c>
      <c r="H897" s="635"/>
      <c r="I897" s="3241">
        <f t="shared" si="137"/>
        <v>1</v>
      </c>
      <c r="J897" s="635"/>
      <c r="K897" s="3241">
        <f t="shared" si="138"/>
        <v>1</v>
      </c>
      <c r="L897" s="635"/>
      <c r="M897" s="3241">
        <f t="shared" si="139"/>
        <v>1</v>
      </c>
      <c r="N897" s="635"/>
      <c r="O897" s="3241">
        <f t="shared" si="140"/>
        <v>1</v>
      </c>
      <c r="P897" s="635"/>
      <c r="Q897" s="3241">
        <f t="shared" si="141"/>
        <v>1</v>
      </c>
      <c r="R897" s="3241">
        <f t="shared" ca="1" si="142"/>
        <v>5044</v>
      </c>
      <c r="S897" s="905">
        <f t="shared" ca="1" si="143"/>
        <v>18</v>
      </c>
    </row>
    <row r="898" spans="1:19">
      <c r="A898" s="3227" t="s">
        <v>6058</v>
      </c>
      <c r="B898" s="3233">
        <v>35.799999999999997</v>
      </c>
      <c r="C898" s="3241">
        <f t="shared" si="144"/>
        <v>1</v>
      </c>
      <c r="D898" s="3237" t="s">
        <v>5171</v>
      </c>
      <c r="E898" s="3241">
        <f t="shared" si="135"/>
        <v>1</v>
      </c>
      <c r="F898" s="635"/>
      <c r="G898" s="3241">
        <f t="shared" si="136"/>
        <v>1</v>
      </c>
      <c r="H898" s="635"/>
      <c r="I898" s="3241">
        <f t="shared" si="137"/>
        <v>1</v>
      </c>
      <c r="J898" s="635"/>
      <c r="K898" s="3241">
        <f t="shared" si="138"/>
        <v>1</v>
      </c>
      <c r="L898" s="635"/>
      <c r="M898" s="3241">
        <f t="shared" si="139"/>
        <v>1</v>
      </c>
      <c r="N898" s="635"/>
      <c r="O898" s="3241">
        <f t="shared" si="140"/>
        <v>1</v>
      </c>
      <c r="P898" s="635"/>
      <c r="Q898" s="3241">
        <f t="shared" si="141"/>
        <v>1</v>
      </c>
      <c r="R898" s="3241">
        <f t="shared" ca="1" si="142"/>
        <v>5044</v>
      </c>
      <c r="S898" s="905">
        <f t="shared" ca="1" si="143"/>
        <v>18</v>
      </c>
    </row>
    <row r="899" spans="1:19">
      <c r="A899" s="3227" t="s">
        <v>4893</v>
      </c>
      <c r="B899" s="3233">
        <v>35.799999999999997</v>
      </c>
      <c r="C899" s="3241">
        <f t="shared" si="144"/>
        <v>1</v>
      </c>
      <c r="D899" s="3237" t="s">
        <v>4009</v>
      </c>
      <c r="E899" s="3241">
        <f t="shared" si="135"/>
        <v>1</v>
      </c>
      <c r="F899" s="635"/>
      <c r="G899" s="3241">
        <f t="shared" si="136"/>
        <v>1</v>
      </c>
      <c r="H899" s="635"/>
      <c r="I899" s="3241">
        <f t="shared" si="137"/>
        <v>1</v>
      </c>
      <c r="J899" s="635"/>
      <c r="K899" s="3241">
        <f t="shared" si="138"/>
        <v>1</v>
      </c>
      <c r="L899" s="635"/>
      <c r="M899" s="3241">
        <f t="shared" si="139"/>
        <v>1</v>
      </c>
      <c r="N899" s="635"/>
      <c r="O899" s="3241">
        <f t="shared" si="140"/>
        <v>1</v>
      </c>
      <c r="P899" s="635"/>
      <c r="Q899" s="3241">
        <f t="shared" si="141"/>
        <v>1</v>
      </c>
      <c r="R899" s="3241">
        <f t="shared" ca="1" si="142"/>
        <v>5044</v>
      </c>
      <c r="S899" s="905">
        <f t="shared" ca="1" si="143"/>
        <v>18</v>
      </c>
    </row>
    <row r="900" spans="1:19">
      <c r="A900" s="3227" t="s">
        <v>6060</v>
      </c>
      <c r="B900" s="3233">
        <v>35.799999999999997</v>
      </c>
      <c r="C900" s="3241">
        <f t="shared" si="144"/>
        <v>1</v>
      </c>
      <c r="D900" s="3237" t="s">
        <v>5171</v>
      </c>
      <c r="E900" s="3241">
        <f t="shared" si="135"/>
        <v>1</v>
      </c>
      <c r="F900" s="635"/>
      <c r="G900" s="3241">
        <f t="shared" si="136"/>
        <v>1</v>
      </c>
      <c r="H900" s="635"/>
      <c r="I900" s="3241">
        <f t="shared" si="137"/>
        <v>1</v>
      </c>
      <c r="J900" s="635"/>
      <c r="K900" s="3241">
        <f t="shared" si="138"/>
        <v>1</v>
      </c>
      <c r="L900" s="635"/>
      <c r="M900" s="3241">
        <f t="shared" si="139"/>
        <v>1</v>
      </c>
      <c r="N900" s="635"/>
      <c r="O900" s="3241">
        <f t="shared" si="140"/>
        <v>1</v>
      </c>
      <c r="P900" s="635"/>
      <c r="Q900" s="3241">
        <f t="shared" si="141"/>
        <v>1</v>
      </c>
      <c r="R900" s="3241">
        <f t="shared" ca="1" si="142"/>
        <v>5044</v>
      </c>
      <c r="S900" s="905">
        <f t="shared" ca="1" si="143"/>
        <v>18</v>
      </c>
    </row>
    <row r="901" spans="1:19">
      <c r="A901" s="3227" t="s">
        <v>4895</v>
      </c>
      <c r="B901" s="3228">
        <v>35.07</v>
      </c>
      <c r="C901" s="3241">
        <f t="shared" si="144"/>
        <v>1</v>
      </c>
      <c r="D901" s="3237" t="s">
        <v>4009</v>
      </c>
      <c r="E901" s="3241">
        <f t="shared" si="135"/>
        <v>1</v>
      </c>
      <c r="F901" s="635"/>
      <c r="G901" s="3241">
        <f t="shared" si="136"/>
        <v>1</v>
      </c>
      <c r="H901" s="635"/>
      <c r="I901" s="3241">
        <f t="shared" si="137"/>
        <v>1</v>
      </c>
      <c r="J901" s="635"/>
      <c r="K901" s="3241">
        <f t="shared" si="138"/>
        <v>1</v>
      </c>
      <c r="L901" s="635"/>
      <c r="M901" s="3241">
        <f t="shared" si="139"/>
        <v>1</v>
      </c>
      <c r="N901" s="635"/>
      <c r="O901" s="3241">
        <f t="shared" si="140"/>
        <v>1</v>
      </c>
      <c r="P901" s="635"/>
      <c r="Q901" s="3241">
        <f t="shared" si="141"/>
        <v>1</v>
      </c>
      <c r="R901" s="3241">
        <f t="shared" ca="1" si="142"/>
        <v>5044</v>
      </c>
      <c r="S901" s="905">
        <f t="shared" ca="1" si="143"/>
        <v>18</v>
      </c>
    </row>
    <row r="902" spans="1:19">
      <c r="A902" s="3227" t="s">
        <v>6062</v>
      </c>
      <c r="B902" s="3228">
        <v>35.07</v>
      </c>
      <c r="C902" s="3241">
        <f t="shared" si="144"/>
        <v>1</v>
      </c>
      <c r="D902" s="3237" t="s">
        <v>5171</v>
      </c>
      <c r="E902" s="3241">
        <f t="shared" si="135"/>
        <v>1</v>
      </c>
      <c r="F902" s="635"/>
      <c r="G902" s="3241">
        <f t="shared" si="136"/>
        <v>1</v>
      </c>
      <c r="H902" s="635"/>
      <c r="I902" s="3241">
        <f t="shared" si="137"/>
        <v>1</v>
      </c>
      <c r="J902" s="635"/>
      <c r="K902" s="3241">
        <f t="shared" si="138"/>
        <v>1</v>
      </c>
      <c r="L902" s="635"/>
      <c r="M902" s="3241">
        <f t="shared" si="139"/>
        <v>1</v>
      </c>
      <c r="N902" s="635"/>
      <c r="O902" s="3241">
        <f t="shared" si="140"/>
        <v>1</v>
      </c>
      <c r="P902" s="635"/>
      <c r="Q902" s="3241">
        <f t="shared" si="141"/>
        <v>1</v>
      </c>
      <c r="R902" s="3241">
        <f t="shared" ca="1" si="142"/>
        <v>5044</v>
      </c>
      <c r="S902" s="905">
        <f t="shared" ca="1" si="143"/>
        <v>18</v>
      </c>
    </row>
    <row r="903" spans="1:19">
      <c r="A903" s="3227" t="s">
        <v>4897</v>
      </c>
      <c r="B903" s="3228">
        <v>35.07</v>
      </c>
      <c r="C903" s="3241">
        <f t="shared" si="144"/>
        <v>1</v>
      </c>
      <c r="D903" s="3237" t="s">
        <v>4009</v>
      </c>
      <c r="E903" s="3241">
        <f t="shared" si="135"/>
        <v>1</v>
      </c>
      <c r="F903" s="635"/>
      <c r="G903" s="3241">
        <f t="shared" si="136"/>
        <v>1</v>
      </c>
      <c r="H903" s="635"/>
      <c r="I903" s="3241">
        <f t="shared" si="137"/>
        <v>1</v>
      </c>
      <c r="J903" s="635"/>
      <c r="K903" s="3241">
        <f t="shared" si="138"/>
        <v>1</v>
      </c>
      <c r="L903" s="635"/>
      <c r="M903" s="3241">
        <f t="shared" si="139"/>
        <v>1</v>
      </c>
      <c r="N903" s="635"/>
      <c r="O903" s="3241">
        <f t="shared" si="140"/>
        <v>1</v>
      </c>
      <c r="P903" s="635"/>
      <c r="Q903" s="3241">
        <f t="shared" si="141"/>
        <v>1</v>
      </c>
      <c r="R903" s="3241">
        <f t="shared" ca="1" si="142"/>
        <v>5044</v>
      </c>
      <c r="S903" s="905">
        <f t="shared" ca="1" si="143"/>
        <v>18</v>
      </c>
    </row>
    <row r="904" spans="1:19">
      <c r="A904" s="3227" t="s">
        <v>6064</v>
      </c>
      <c r="B904" s="3233">
        <v>35.799999999999997</v>
      </c>
      <c r="C904" s="3241">
        <f t="shared" si="144"/>
        <v>1</v>
      </c>
      <c r="D904" s="3237" t="s">
        <v>5171</v>
      </c>
      <c r="E904" s="3241">
        <f t="shared" si="135"/>
        <v>1</v>
      </c>
      <c r="F904" s="635"/>
      <c r="G904" s="3241">
        <f t="shared" si="136"/>
        <v>1</v>
      </c>
      <c r="H904" s="635"/>
      <c r="I904" s="3241">
        <f t="shared" si="137"/>
        <v>1</v>
      </c>
      <c r="J904" s="635"/>
      <c r="K904" s="3241">
        <f t="shared" si="138"/>
        <v>1</v>
      </c>
      <c r="L904" s="635"/>
      <c r="M904" s="3241">
        <f t="shared" si="139"/>
        <v>1</v>
      </c>
      <c r="N904" s="635"/>
      <c r="O904" s="3241">
        <f t="shared" si="140"/>
        <v>1</v>
      </c>
      <c r="P904" s="635"/>
      <c r="Q904" s="3241">
        <f t="shared" si="141"/>
        <v>1</v>
      </c>
      <c r="R904" s="3241">
        <f t="shared" ca="1" si="142"/>
        <v>5044</v>
      </c>
      <c r="S904" s="905">
        <f t="shared" ca="1" si="143"/>
        <v>18</v>
      </c>
    </row>
    <row r="905" spans="1:19">
      <c r="A905" s="3227" t="s">
        <v>4899</v>
      </c>
      <c r="B905" s="3233">
        <v>35.799999999999997</v>
      </c>
      <c r="C905" s="3241">
        <f t="shared" si="144"/>
        <v>1</v>
      </c>
      <c r="D905" s="3237" t="s">
        <v>4009</v>
      </c>
      <c r="E905" s="3241">
        <f t="shared" si="135"/>
        <v>1</v>
      </c>
      <c r="F905" s="635"/>
      <c r="G905" s="3241">
        <f t="shared" si="136"/>
        <v>1</v>
      </c>
      <c r="H905" s="635"/>
      <c r="I905" s="3241">
        <f t="shared" si="137"/>
        <v>1</v>
      </c>
      <c r="J905" s="635"/>
      <c r="K905" s="3241">
        <f t="shared" si="138"/>
        <v>1</v>
      </c>
      <c r="L905" s="635"/>
      <c r="M905" s="3241">
        <f t="shared" si="139"/>
        <v>1</v>
      </c>
      <c r="N905" s="635"/>
      <c r="O905" s="3241">
        <f t="shared" si="140"/>
        <v>1</v>
      </c>
      <c r="P905" s="635"/>
      <c r="Q905" s="3241">
        <f t="shared" si="141"/>
        <v>1</v>
      </c>
      <c r="R905" s="3241">
        <f t="shared" ca="1" si="142"/>
        <v>5044</v>
      </c>
      <c r="S905" s="905">
        <f t="shared" ca="1" si="143"/>
        <v>18</v>
      </c>
    </row>
    <row r="906" spans="1:19">
      <c r="A906" s="3227" t="s">
        <v>6066</v>
      </c>
      <c r="B906" s="3233">
        <v>35.799999999999997</v>
      </c>
      <c r="C906" s="3241">
        <f t="shared" si="144"/>
        <v>1</v>
      </c>
      <c r="D906" s="3237" t="s">
        <v>5171</v>
      </c>
      <c r="E906" s="3241">
        <f t="shared" si="135"/>
        <v>1</v>
      </c>
      <c r="F906" s="635"/>
      <c r="G906" s="3241">
        <f t="shared" si="136"/>
        <v>1</v>
      </c>
      <c r="H906" s="635"/>
      <c r="I906" s="3241">
        <f t="shared" si="137"/>
        <v>1</v>
      </c>
      <c r="J906" s="635"/>
      <c r="K906" s="3241">
        <f t="shared" si="138"/>
        <v>1</v>
      </c>
      <c r="L906" s="635"/>
      <c r="M906" s="3241">
        <f t="shared" si="139"/>
        <v>1</v>
      </c>
      <c r="N906" s="635"/>
      <c r="O906" s="3241">
        <f t="shared" si="140"/>
        <v>1</v>
      </c>
      <c r="P906" s="635"/>
      <c r="Q906" s="3241">
        <f t="shared" si="141"/>
        <v>1</v>
      </c>
      <c r="R906" s="3241">
        <f t="shared" ca="1" si="142"/>
        <v>5044</v>
      </c>
      <c r="S906" s="905">
        <f t="shared" ca="1" si="143"/>
        <v>18</v>
      </c>
    </row>
    <row r="907" spans="1:19">
      <c r="A907" s="3227" t="s">
        <v>4901</v>
      </c>
      <c r="B907" s="3233">
        <v>35.799999999999997</v>
      </c>
      <c r="C907" s="3241">
        <f t="shared" si="144"/>
        <v>1</v>
      </c>
      <c r="D907" s="3237" t="s">
        <v>4009</v>
      </c>
      <c r="E907" s="3241">
        <f t="shared" si="135"/>
        <v>1</v>
      </c>
      <c r="F907" s="635"/>
      <c r="G907" s="3241">
        <f t="shared" si="136"/>
        <v>1</v>
      </c>
      <c r="H907" s="635"/>
      <c r="I907" s="3241">
        <f t="shared" si="137"/>
        <v>1</v>
      </c>
      <c r="J907" s="635"/>
      <c r="K907" s="3241">
        <f t="shared" si="138"/>
        <v>1</v>
      </c>
      <c r="L907" s="635"/>
      <c r="M907" s="3241">
        <f t="shared" si="139"/>
        <v>1</v>
      </c>
      <c r="N907" s="635"/>
      <c r="O907" s="3241">
        <f t="shared" si="140"/>
        <v>1</v>
      </c>
      <c r="P907" s="635"/>
      <c r="Q907" s="3241">
        <f t="shared" si="141"/>
        <v>1</v>
      </c>
      <c r="R907" s="3241">
        <f t="shared" ca="1" si="142"/>
        <v>5044</v>
      </c>
      <c r="S907" s="905">
        <f t="shared" ca="1" si="143"/>
        <v>18</v>
      </c>
    </row>
    <row r="908" spans="1:19">
      <c r="A908" s="3227" t="s">
        <v>6068</v>
      </c>
      <c r="B908" s="3233">
        <v>35.799999999999997</v>
      </c>
      <c r="C908" s="3241">
        <f t="shared" si="144"/>
        <v>1</v>
      </c>
      <c r="D908" s="3237" t="s">
        <v>5171</v>
      </c>
      <c r="E908" s="3241">
        <f t="shared" si="135"/>
        <v>1</v>
      </c>
      <c r="F908" s="635"/>
      <c r="G908" s="3241">
        <f t="shared" si="136"/>
        <v>1</v>
      </c>
      <c r="H908" s="635"/>
      <c r="I908" s="3241">
        <f t="shared" si="137"/>
        <v>1</v>
      </c>
      <c r="J908" s="635"/>
      <c r="K908" s="3241">
        <f t="shared" si="138"/>
        <v>1</v>
      </c>
      <c r="L908" s="635"/>
      <c r="M908" s="3241">
        <f t="shared" si="139"/>
        <v>1</v>
      </c>
      <c r="N908" s="635"/>
      <c r="O908" s="3241">
        <f t="shared" si="140"/>
        <v>1</v>
      </c>
      <c r="P908" s="635"/>
      <c r="Q908" s="3241">
        <f t="shared" si="141"/>
        <v>1</v>
      </c>
      <c r="R908" s="3241">
        <f t="shared" ca="1" si="142"/>
        <v>5044</v>
      </c>
      <c r="S908" s="905">
        <f t="shared" ca="1" si="143"/>
        <v>18</v>
      </c>
    </row>
    <row r="909" spans="1:19">
      <c r="A909" s="3227" t="s">
        <v>4903</v>
      </c>
      <c r="B909" s="3233">
        <v>35.799999999999997</v>
      </c>
      <c r="C909" s="3241">
        <f t="shared" si="144"/>
        <v>1</v>
      </c>
      <c r="D909" s="3237" t="s">
        <v>4009</v>
      </c>
      <c r="E909" s="3241">
        <f t="shared" ref="E909:E972" si="145">(SUMIF($5:$5,D909,$6:$6)-SUMIF($5:$5,$D$24,$6:$6)+100)/100</f>
        <v>1</v>
      </c>
      <c r="F909" s="635"/>
      <c r="G909" s="3241">
        <f t="shared" ref="G909:G972" si="146">(SUMIF($7:$7,F909,$8:$8)-SUMIF($7:$7,$F$24,$8:$8)+100)/100</f>
        <v>1</v>
      </c>
      <c r="H909" s="635"/>
      <c r="I909" s="3241">
        <f t="shared" ref="I909:I972" si="147">(SUMIF($9:$9,H909,$10:$10)-SUMIF($9:$9,$H$24,$10:$10)+100)/100</f>
        <v>1</v>
      </c>
      <c r="J909" s="635"/>
      <c r="K909" s="3241">
        <f t="shared" ref="K909:K972" si="148">(SUMIF($11:$11,J909,$12:$12)-SUMIF($11:$11,$J$24,$12:$12)+100)/100</f>
        <v>1</v>
      </c>
      <c r="L909" s="635"/>
      <c r="M909" s="3241">
        <f t="shared" ref="M909:M972" si="149">(SUMIF($13:$13,L909,$14:$14)-SUMIF($13:$13,$L$24,$14:$14)+100)/100</f>
        <v>1</v>
      </c>
      <c r="N909" s="635"/>
      <c r="O909" s="3241">
        <f t="shared" ref="O909:O972" si="150">(SUMIF($15:$15,N909,$16:$16)-SUMIF($15:$15,$N$24,$16:$16)+100)/100</f>
        <v>1</v>
      </c>
      <c r="P909" s="635"/>
      <c r="Q909" s="3241">
        <f t="shared" ref="Q909:Q972" si="151">(SUMIF($17:$17,P909,$18:$18)-SUMIF($17:$17,$P$24,$18:$18)+100)/100</f>
        <v>1</v>
      </c>
      <c r="R909" s="3241">
        <f t="shared" ref="R909:R972" ca="1" si="152">IF(B909="",0,ROUND($R$24*C909*E909*G909*I909*K909*M909*O909*Q909,0))</f>
        <v>5044</v>
      </c>
      <c r="S909" s="905">
        <f t="shared" ref="S909:S972" ca="1" si="153">ROUND(R909*B909/10000,0)</f>
        <v>18</v>
      </c>
    </row>
    <row r="910" spans="1:19">
      <c r="A910" s="3227" t="s">
        <v>6070</v>
      </c>
      <c r="B910" s="3228">
        <v>38.72</v>
      </c>
      <c r="C910" s="3241">
        <f t="shared" si="144"/>
        <v>1</v>
      </c>
      <c r="D910" s="3237" t="s">
        <v>5171</v>
      </c>
      <c r="E910" s="3241">
        <f t="shared" si="145"/>
        <v>1</v>
      </c>
      <c r="F910" s="635"/>
      <c r="G910" s="3241">
        <f t="shared" si="146"/>
        <v>1</v>
      </c>
      <c r="H910" s="635"/>
      <c r="I910" s="3241">
        <f t="shared" si="147"/>
        <v>1</v>
      </c>
      <c r="J910" s="635"/>
      <c r="K910" s="3241">
        <f t="shared" si="148"/>
        <v>1</v>
      </c>
      <c r="L910" s="635"/>
      <c r="M910" s="3241">
        <f t="shared" si="149"/>
        <v>1</v>
      </c>
      <c r="N910" s="635"/>
      <c r="O910" s="3241">
        <f t="shared" si="150"/>
        <v>1</v>
      </c>
      <c r="P910" s="635"/>
      <c r="Q910" s="3241">
        <f t="shared" si="151"/>
        <v>1</v>
      </c>
      <c r="R910" s="3241">
        <f t="shared" ca="1" si="152"/>
        <v>5044</v>
      </c>
      <c r="S910" s="905">
        <f t="shared" ca="1" si="153"/>
        <v>20</v>
      </c>
    </row>
    <row r="911" spans="1:19">
      <c r="A911" s="3227" t="s">
        <v>4905</v>
      </c>
      <c r="B911" s="3228">
        <v>38.72</v>
      </c>
      <c r="C911" s="3241">
        <f t="shared" si="144"/>
        <v>1</v>
      </c>
      <c r="D911" s="3237" t="s">
        <v>4009</v>
      </c>
      <c r="E911" s="3241">
        <f t="shared" si="145"/>
        <v>1</v>
      </c>
      <c r="F911" s="635"/>
      <c r="G911" s="3241">
        <f t="shared" si="146"/>
        <v>1</v>
      </c>
      <c r="H911" s="635"/>
      <c r="I911" s="3241">
        <f t="shared" si="147"/>
        <v>1</v>
      </c>
      <c r="J911" s="635"/>
      <c r="K911" s="3241">
        <f t="shared" si="148"/>
        <v>1</v>
      </c>
      <c r="L911" s="635"/>
      <c r="M911" s="3241">
        <f t="shared" si="149"/>
        <v>1</v>
      </c>
      <c r="N911" s="635"/>
      <c r="O911" s="3241">
        <f t="shared" si="150"/>
        <v>1</v>
      </c>
      <c r="P911" s="635"/>
      <c r="Q911" s="3241">
        <f t="shared" si="151"/>
        <v>1</v>
      </c>
      <c r="R911" s="3241">
        <f t="shared" ca="1" si="152"/>
        <v>5044</v>
      </c>
      <c r="S911" s="905">
        <f t="shared" ca="1" si="153"/>
        <v>20</v>
      </c>
    </row>
    <row r="912" spans="1:19">
      <c r="A912" s="3227" t="s">
        <v>6072</v>
      </c>
      <c r="B912" s="3228">
        <v>38.72</v>
      </c>
      <c r="C912" s="3241">
        <f t="shared" si="144"/>
        <v>1</v>
      </c>
      <c r="D912" s="3237" t="s">
        <v>5171</v>
      </c>
      <c r="E912" s="3241">
        <f t="shared" si="145"/>
        <v>1</v>
      </c>
      <c r="F912" s="635"/>
      <c r="G912" s="3241">
        <f t="shared" si="146"/>
        <v>1</v>
      </c>
      <c r="H912" s="635"/>
      <c r="I912" s="3241">
        <f t="shared" si="147"/>
        <v>1</v>
      </c>
      <c r="J912" s="635"/>
      <c r="K912" s="3241">
        <f t="shared" si="148"/>
        <v>1</v>
      </c>
      <c r="L912" s="635"/>
      <c r="M912" s="3241">
        <f t="shared" si="149"/>
        <v>1</v>
      </c>
      <c r="N912" s="635"/>
      <c r="O912" s="3241">
        <f t="shared" si="150"/>
        <v>1</v>
      </c>
      <c r="P912" s="635"/>
      <c r="Q912" s="3241">
        <f t="shared" si="151"/>
        <v>1</v>
      </c>
      <c r="R912" s="3241">
        <f t="shared" ca="1" si="152"/>
        <v>5044</v>
      </c>
      <c r="S912" s="905">
        <f t="shared" ca="1" si="153"/>
        <v>20</v>
      </c>
    </row>
    <row r="913" spans="1:19">
      <c r="A913" s="3227" t="s">
        <v>4907</v>
      </c>
      <c r="B913" s="3228">
        <v>38.72</v>
      </c>
      <c r="C913" s="3241">
        <f t="shared" si="144"/>
        <v>1</v>
      </c>
      <c r="D913" s="3237" t="s">
        <v>4009</v>
      </c>
      <c r="E913" s="3241">
        <f t="shared" si="145"/>
        <v>1</v>
      </c>
      <c r="F913" s="635"/>
      <c r="G913" s="3241">
        <f t="shared" si="146"/>
        <v>1</v>
      </c>
      <c r="H913" s="635"/>
      <c r="I913" s="3241">
        <f t="shared" si="147"/>
        <v>1</v>
      </c>
      <c r="J913" s="635"/>
      <c r="K913" s="3241">
        <f t="shared" si="148"/>
        <v>1</v>
      </c>
      <c r="L913" s="635"/>
      <c r="M913" s="3241">
        <f t="shared" si="149"/>
        <v>1</v>
      </c>
      <c r="N913" s="635"/>
      <c r="O913" s="3241">
        <f t="shared" si="150"/>
        <v>1</v>
      </c>
      <c r="P913" s="635"/>
      <c r="Q913" s="3241">
        <f t="shared" si="151"/>
        <v>1</v>
      </c>
      <c r="R913" s="3241">
        <f t="shared" ca="1" si="152"/>
        <v>5044</v>
      </c>
      <c r="S913" s="905">
        <f t="shared" ca="1" si="153"/>
        <v>20</v>
      </c>
    </row>
    <row r="914" spans="1:19">
      <c r="A914" s="3227" t="s">
        <v>6074</v>
      </c>
      <c r="B914" s="3228">
        <v>38.72</v>
      </c>
      <c r="C914" s="3241">
        <f t="shared" si="144"/>
        <v>1</v>
      </c>
      <c r="D914" s="3237" t="s">
        <v>5171</v>
      </c>
      <c r="E914" s="3241">
        <f t="shared" si="145"/>
        <v>1</v>
      </c>
      <c r="F914" s="635"/>
      <c r="G914" s="3241">
        <f t="shared" si="146"/>
        <v>1</v>
      </c>
      <c r="H914" s="635"/>
      <c r="I914" s="3241">
        <f t="shared" si="147"/>
        <v>1</v>
      </c>
      <c r="J914" s="635"/>
      <c r="K914" s="3241">
        <f t="shared" si="148"/>
        <v>1</v>
      </c>
      <c r="L914" s="635"/>
      <c r="M914" s="3241">
        <f t="shared" si="149"/>
        <v>1</v>
      </c>
      <c r="N914" s="635"/>
      <c r="O914" s="3241">
        <f t="shared" si="150"/>
        <v>1</v>
      </c>
      <c r="P914" s="635"/>
      <c r="Q914" s="3241">
        <f t="shared" si="151"/>
        <v>1</v>
      </c>
      <c r="R914" s="3241">
        <f t="shared" ca="1" si="152"/>
        <v>5044</v>
      </c>
      <c r="S914" s="905">
        <f t="shared" ca="1" si="153"/>
        <v>20</v>
      </c>
    </row>
    <row r="915" spans="1:19">
      <c r="A915" s="3227" t="s">
        <v>4909</v>
      </c>
      <c r="B915" s="3228">
        <v>38.72</v>
      </c>
      <c r="C915" s="3241">
        <f t="shared" si="144"/>
        <v>1</v>
      </c>
      <c r="D915" s="3237" t="s">
        <v>4009</v>
      </c>
      <c r="E915" s="3241">
        <f t="shared" si="145"/>
        <v>1</v>
      </c>
      <c r="F915" s="635"/>
      <c r="G915" s="3241">
        <f t="shared" si="146"/>
        <v>1</v>
      </c>
      <c r="H915" s="635"/>
      <c r="I915" s="3241">
        <f t="shared" si="147"/>
        <v>1</v>
      </c>
      <c r="J915" s="635"/>
      <c r="K915" s="3241">
        <f t="shared" si="148"/>
        <v>1</v>
      </c>
      <c r="L915" s="635"/>
      <c r="M915" s="3241">
        <f t="shared" si="149"/>
        <v>1</v>
      </c>
      <c r="N915" s="635"/>
      <c r="O915" s="3241">
        <f t="shared" si="150"/>
        <v>1</v>
      </c>
      <c r="P915" s="635"/>
      <c r="Q915" s="3241">
        <f t="shared" si="151"/>
        <v>1</v>
      </c>
      <c r="R915" s="3241">
        <f t="shared" ca="1" si="152"/>
        <v>5044</v>
      </c>
      <c r="S915" s="905">
        <f t="shared" ca="1" si="153"/>
        <v>20</v>
      </c>
    </row>
    <row r="916" spans="1:19">
      <c r="A916" s="3227" t="s">
        <v>6076</v>
      </c>
      <c r="B916" s="3228">
        <v>38.72</v>
      </c>
      <c r="C916" s="3241">
        <f t="shared" si="144"/>
        <v>1</v>
      </c>
      <c r="D916" s="3237" t="s">
        <v>5171</v>
      </c>
      <c r="E916" s="3241">
        <f t="shared" si="145"/>
        <v>1</v>
      </c>
      <c r="F916" s="635"/>
      <c r="G916" s="3241">
        <f t="shared" si="146"/>
        <v>1</v>
      </c>
      <c r="H916" s="635"/>
      <c r="I916" s="3241">
        <f t="shared" si="147"/>
        <v>1</v>
      </c>
      <c r="J916" s="635"/>
      <c r="K916" s="3241">
        <f t="shared" si="148"/>
        <v>1</v>
      </c>
      <c r="L916" s="635"/>
      <c r="M916" s="3241">
        <f t="shared" si="149"/>
        <v>1</v>
      </c>
      <c r="N916" s="635"/>
      <c r="O916" s="3241">
        <f t="shared" si="150"/>
        <v>1</v>
      </c>
      <c r="P916" s="635"/>
      <c r="Q916" s="3241">
        <f t="shared" si="151"/>
        <v>1</v>
      </c>
      <c r="R916" s="3241">
        <f t="shared" ca="1" si="152"/>
        <v>5044</v>
      </c>
      <c r="S916" s="905">
        <f t="shared" ca="1" si="153"/>
        <v>20</v>
      </c>
    </row>
    <row r="917" spans="1:19">
      <c r="A917" s="3227" t="s">
        <v>4911</v>
      </c>
      <c r="B917" s="3228">
        <v>38.72</v>
      </c>
      <c r="C917" s="3241">
        <f t="shared" si="144"/>
        <v>1</v>
      </c>
      <c r="D917" s="3239" t="s">
        <v>4591</v>
      </c>
      <c r="E917" s="3241">
        <f t="shared" si="145"/>
        <v>1</v>
      </c>
      <c r="F917" s="635"/>
      <c r="G917" s="3241">
        <f t="shared" si="146"/>
        <v>1</v>
      </c>
      <c r="H917" s="635"/>
      <c r="I917" s="3241">
        <f t="shared" si="147"/>
        <v>1</v>
      </c>
      <c r="J917" s="635"/>
      <c r="K917" s="3241">
        <f t="shared" si="148"/>
        <v>1</v>
      </c>
      <c r="L917" s="635"/>
      <c r="M917" s="3241">
        <f t="shared" si="149"/>
        <v>1</v>
      </c>
      <c r="N917" s="635"/>
      <c r="O917" s="3241">
        <f t="shared" si="150"/>
        <v>1</v>
      </c>
      <c r="P917" s="635"/>
      <c r="Q917" s="3241">
        <f t="shared" si="151"/>
        <v>1</v>
      </c>
      <c r="R917" s="3241">
        <f t="shared" ca="1" si="152"/>
        <v>5044</v>
      </c>
      <c r="S917" s="905">
        <f t="shared" ca="1" si="153"/>
        <v>20</v>
      </c>
    </row>
    <row r="918" spans="1:19">
      <c r="A918" s="3227" t="s">
        <v>6078</v>
      </c>
      <c r="B918" s="3228">
        <v>38.72</v>
      </c>
      <c r="C918" s="3241">
        <f t="shared" si="144"/>
        <v>1</v>
      </c>
      <c r="D918" s="3239" t="s">
        <v>5756</v>
      </c>
      <c r="E918" s="3241">
        <f t="shared" si="145"/>
        <v>1</v>
      </c>
      <c r="F918" s="635"/>
      <c r="G918" s="3241">
        <f t="shared" si="146"/>
        <v>1</v>
      </c>
      <c r="H918" s="635"/>
      <c r="I918" s="3241">
        <f t="shared" si="147"/>
        <v>1</v>
      </c>
      <c r="J918" s="635"/>
      <c r="K918" s="3241">
        <f t="shared" si="148"/>
        <v>1</v>
      </c>
      <c r="L918" s="635"/>
      <c r="M918" s="3241">
        <f t="shared" si="149"/>
        <v>1</v>
      </c>
      <c r="N918" s="635"/>
      <c r="O918" s="3241">
        <f t="shared" si="150"/>
        <v>1</v>
      </c>
      <c r="P918" s="635"/>
      <c r="Q918" s="3241">
        <f t="shared" si="151"/>
        <v>1</v>
      </c>
      <c r="R918" s="3241">
        <f t="shared" ca="1" si="152"/>
        <v>5044</v>
      </c>
      <c r="S918" s="905">
        <f t="shared" ca="1" si="153"/>
        <v>20</v>
      </c>
    </row>
    <row r="919" spans="1:19">
      <c r="A919" s="3227" t="s">
        <v>4913</v>
      </c>
      <c r="B919" s="3228">
        <v>38.72</v>
      </c>
      <c r="C919" s="3241">
        <f t="shared" si="144"/>
        <v>1</v>
      </c>
      <c r="D919" s="3237" t="s">
        <v>4009</v>
      </c>
      <c r="E919" s="3241">
        <f t="shared" si="145"/>
        <v>1</v>
      </c>
      <c r="F919" s="635"/>
      <c r="G919" s="3241">
        <f t="shared" si="146"/>
        <v>1</v>
      </c>
      <c r="H919" s="635"/>
      <c r="I919" s="3241">
        <f t="shared" si="147"/>
        <v>1</v>
      </c>
      <c r="J919" s="635"/>
      <c r="K919" s="3241">
        <f t="shared" si="148"/>
        <v>1</v>
      </c>
      <c r="L919" s="635"/>
      <c r="M919" s="3241">
        <f t="shared" si="149"/>
        <v>1</v>
      </c>
      <c r="N919" s="635"/>
      <c r="O919" s="3241">
        <f t="shared" si="150"/>
        <v>1</v>
      </c>
      <c r="P919" s="635"/>
      <c r="Q919" s="3241">
        <f t="shared" si="151"/>
        <v>1</v>
      </c>
      <c r="R919" s="3241">
        <f t="shared" ca="1" si="152"/>
        <v>5044</v>
      </c>
      <c r="S919" s="905">
        <f t="shared" ca="1" si="153"/>
        <v>20</v>
      </c>
    </row>
    <row r="920" spans="1:19">
      <c r="A920" s="3227" t="s">
        <v>6080</v>
      </c>
      <c r="B920" s="3228">
        <v>38.72</v>
      </c>
      <c r="C920" s="3241">
        <f t="shared" si="144"/>
        <v>1</v>
      </c>
      <c r="D920" s="3237" t="s">
        <v>5171</v>
      </c>
      <c r="E920" s="3241">
        <f t="shared" si="145"/>
        <v>1</v>
      </c>
      <c r="F920" s="635"/>
      <c r="G920" s="3241">
        <f t="shared" si="146"/>
        <v>1</v>
      </c>
      <c r="H920" s="635"/>
      <c r="I920" s="3241">
        <f t="shared" si="147"/>
        <v>1</v>
      </c>
      <c r="J920" s="635"/>
      <c r="K920" s="3241">
        <f t="shared" si="148"/>
        <v>1</v>
      </c>
      <c r="L920" s="635"/>
      <c r="M920" s="3241">
        <f t="shared" si="149"/>
        <v>1</v>
      </c>
      <c r="N920" s="635"/>
      <c r="O920" s="3241">
        <f t="shared" si="150"/>
        <v>1</v>
      </c>
      <c r="P920" s="635"/>
      <c r="Q920" s="3241">
        <f t="shared" si="151"/>
        <v>1</v>
      </c>
      <c r="R920" s="3241">
        <f t="shared" ca="1" si="152"/>
        <v>5044</v>
      </c>
      <c r="S920" s="905">
        <f t="shared" ca="1" si="153"/>
        <v>20</v>
      </c>
    </row>
    <row r="921" spans="1:19">
      <c r="A921" s="3227" t="s">
        <v>4915</v>
      </c>
      <c r="B921" s="3228">
        <v>38.72</v>
      </c>
      <c r="C921" s="3241">
        <f t="shared" si="144"/>
        <v>1</v>
      </c>
      <c r="D921" s="3237" t="s">
        <v>4009</v>
      </c>
      <c r="E921" s="3241">
        <f t="shared" si="145"/>
        <v>1</v>
      </c>
      <c r="F921" s="635"/>
      <c r="G921" s="3241">
        <f t="shared" si="146"/>
        <v>1</v>
      </c>
      <c r="H921" s="635"/>
      <c r="I921" s="3241">
        <f t="shared" si="147"/>
        <v>1</v>
      </c>
      <c r="J921" s="635"/>
      <c r="K921" s="3241">
        <f t="shared" si="148"/>
        <v>1</v>
      </c>
      <c r="L921" s="635"/>
      <c r="M921" s="3241">
        <f t="shared" si="149"/>
        <v>1</v>
      </c>
      <c r="N921" s="635"/>
      <c r="O921" s="3241">
        <f t="shared" si="150"/>
        <v>1</v>
      </c>
      <c r="P921" s="635"/>
      <c r="Q921" s="3241">
        <f t="shared" si="151"/>
        <v>1</v>
      </c>
      <c r="R921" s="3241">
        <f t="shared" ca="1" si="152"/>
        <v>5044</v>
      </c>
      <c r="S921" s="905">
        <f t="shared" ca="1" si="153"/>
        <v>20</v>
      </c>
    </row>
    <row r="922" spans="1:19">
      <c r="A922" s="3227" t="s">
        <v>6082</v>
      </c>
      <c r="B922" s="3228">
        <v>35.07</v>
      </c>
      <c r="C922" s="3241">
        <f t="shared" ref="C922:C985" si="154">IF(B922="",1,(LOOKUP(B922,$3:$3,$4:$4)-LOOKUP($B$24,$3:$3,$4:$4)+100)/100)</f>
        <v>1</v>
      </c>
      <c r="D922" s="3237" t="s">
        <v>5171</v>
      </c>
      <c r="E922" s="3241">
        <f t="shared" si="145"/>
        <v>1</v>
      </c>
      <c r="F922" s="635"/>
      <c r="G922" s="3241">
        <f t="shared" si="146"/>
        <v>1</v>
      </c>
      <c r="H922" s="635"/>
      <c r="I922" s="3241">
        <f t="shared" si="147"/>
        <v>1</v>
      </c>
      <c r="J922" s="635"/>
      <c r="K922" s="3241">
        <f t="shared" si="148"/>
        <v>1</v>
      </c>
      <c r="L922" s="635"/>
      <c r="M922" s="3241">
        <f t="shared" si="149"/>
        <v>1</v>
      </c>
      <c r="N922" s="635"/>
      <c r="O922" s="3241">
        <f t="shared" si="150"/>
        <v>1</v>
      </c>
      <c r="P922" s="635"/>
      <c r="Q922" s="3241">
        <f t="shared" si="151"/>
        <v>1</v>
      </c>
      <c r="R922" s="3241">
        <f t="shared" ca="1" si="152"/>
        <v>5044</v>
      </c>
      <c r="S922" s="905">
        <f t="shared" ca="1" si="153"/>
        <v>18</v>
      </c>
    </row>
    <row r="923" spans="1:19">
      <c r="A923" s="3227" t="s">
        <v>4917</v>
      </c>
      <c r="B923" s="3228">
        <v>35.07</v>
      </c>
      <c r="C923" s="3241">
        <f t="shared" si="154"/>
        <v>1</v>
      </c>
      <c r="D923" s="3237" t="s">
        <v>4009</v>
      </c>
      <c r="E923" s="3241">
        <f t="shared" si="145"/>
        <v>1</v>
      </c>
      <c r="F923" s="635"/>
      <c r="G923" s="3241">
        <f t="shared" si="146"/>
        <v>1</v>
      </c>
      <c r="H923" s="635"/>
      <c r="I923" s="3241">
        <f t="shared" si="147"/>
        <v>1</v>
      </c>
      <c r="J923" s="635"/>
      <c r="K923" s="3241">
        <f t="shared" si="148"/>
        <v>1</v>
      </c>
      <c r="L923" s="635"/>
      <c r="M923" s="3241">
        <f t="shared" si="149"/>
        <v>1</v>
      </c>
      <c r="N923" s="635"/>
      <c r="O923" s="3241">
        <f t="shared" si="150"/>
        <v>1</v>
      </c>
      <c r="P923" s="635"/>
      <c r="Q923" s="3241">
        <f t="shared" si="151"/>
        <v>1</v>
      </c>
      <c r="R923" s="3241">
        <f t="shared" ca="1" si="152"/>
        <v>5044</v>
      </c>
      <c r="S923" s="905">
        <f t="shared" ca="1" si="153"/>
        <v>18</v>
      </c>
    </row>
    <row r="924" spans="1:19">
      <c r="A924" s="3227" t="s">
        <v>6084</v>
      </c>
      <c r="B924" s="3228">
        <v>35.07</v>
      </c>
      <c r="C924" s="3241">
        <f t="shared" si="154"/>
        <v>1</v>
      </c>
      <c r="D924" s="3237" t="s">
        <v>5171</v>
      </c>
      <c r="E924" s="3241">
        <f t="shared" si="145"/>
        <v>1</v>
      </c>
      <c r="F924" s="635"/>
      <c r="G924" s="3241">
        <f t="shared" si="146"/>
        <v>1</v>
      </c>
      <c r="H924" s="635"/>
      <c r="I924" s="3241">
        <f t="shared" si="147"/>
        <v>1</v>
      </c>
      <c r="J924" s="635"/>
      <c r="K924" s="3241">
        <f t="shared" si="148"/>
        <v>1</v>
      </c>
      <c r="L924" s="635"/>
      <c r="M924" s="3241">
        <f t="shared" si="149"/>
        <v>1</v>
      </c>
      <c r="N924" s="635"/>
      <c r="O924" s="3241">
        <f t="shared" si="150"/>
        <v>1</v>
      </c>
      <c r="P924" s="635"/>
      <c r="Q924" s="3241">
        <f t="shared" si="151"/>
        <v>1</v>
      </c>
      <c r="R924" s="3241">
        <f t="shared" ca="1" si="152"/>
        <v>5044</v>
      </c>
      <c r="S924" s="905">
        <f t="shared" ca="1" si="153"/>
        <v>18</v>
      </c>
    </row>
    <row r="925" spans="1:19">
      <c r="A925" s="3227" t="s">
        <v>4919</v>
      </c>
      <c r="B925" s="3228">
        <v>33.630000000000003</v>
      </c>
      <c r="C925" s="3241">
        <f t="shared" si="154"/>
        <v>1</v>
      </c>
      <c r="D925" s="3237" t="s">
        <v>4009</v>
      </c>
      <c r="E925" s="3241">
        <f t="shared" si="145"/>
        <v>1</v>
      </c>
      <c r="F925" s="635"/>
      <c r="G925" s="3241">
        <f t="shared" si="146"/>
        <v>1</v>
      </c>
      <c r="H925" s="635"/>
      <c r="I925" s="3241">
        <f t="shared" si="147"/>
        <v>1</v>
      </c>
      <c r="J925" s="635"/>
      <c r="K925" s="3241">
        <f t="shared" si="148"/>
        <v>1</v>
      </c>
      <c r="L925" s="635"/>
      <c r="M925" s="3241">
        <f t="shared" si="149"/>
        <v>1</v>
      </c>
      <c r="N925" s="635"/>
      <c r="O925" s="3241">
        <f t="shared" si="150"/>
        <v>1</v>
      </c>
      <c r="P925" s="635"/>
      <c r="Q925" s="3241">
        <f t="shared" si="151"/>
        <v>1</v>
      </c>
      <c r="R925" s="3241">
        <f t="shared" ca="1" si="152"/>
        <v>5044</v>
      </c>
      <c r="S925" s="905">
        <f t="shared" ca="1" si="153"/>
        <v>17</v>
      </c>
    </row>
    <row r="926" spans="1:19">
      <c r="A926" s="3227" t="s">
        <v>6086</v>
      </c>
      <c r="B926" s="3228">
        <v>33.630000000000003</v>
      </c>
      <c r="C926" s="3241">
        <f t="shared" si="154"/>
        <v>1</v>
      </c>
      <c r="D926" s="3237" t="s">
        <v>5171</v>
      </c>
      <c r="E926" s="3241">
        <f t="shared" si="145"/>
        <v>1</v>
      </c>
      <c r="F926" s="635"/>
      <c r="G926" s="3241">
        <f t="shared" si="146"/>
        <v>1</v>
      </c>
      <c r="H926" s="635"/>
      <c r="I926" s="3241">
        <f t="shared" si="147"/>
        <v>1</v>
      </c>
      <c r="J926" s="635"/>
      <c r="K926" s="3241">
        <f t="shared" si="148"/>
        <v>1</v>
      </c>
      <c r="L926" s="635"/>
      <c r="M926" s="3241">
        <f t="shared" si="149"/>
        <v>1</v>
      </c>
      <c r="N926" s="635"/>
      <c r="O926" s="3241">
        <f t="shared" si="150"/>
        <v>1</v>
      </c>
      <c r="P926" s="635"/>
      <c r="Q926" s="3241">
        <f t="shared" si="151"/>
        <v>1</v>
      </c>
      <c r="R926" s="3241">
        <f t="shared" ca="1" si="152"/>
        <v>5044</v>
      </c>
      <c r="S926" s="905">
        <f t="shared" ca="1" si="153"/>
        <v>17</v>
      </c>
    </row>
    <row r="927" spans="1:19">
      <c r="A927" s="3227" t="s">
        <v>4921</v>
      </c>
      <c r="B927" s="3228">
        <v>33.630000000000003</v>
      </c>
      <c r="C927" s="3241">
        <f t="shared" si="154"/>
        <v>1</v>
      </c>
      <c r="D927" s="3237" t="s">
        <v>4009</v>
      </c>
      <c r="E927" s="3241">
        <f t="shared" si="145"/>
        <v>1</v>
      </c>
      <c r="F927" s="635"/>
      <c r="G927" s="3241">
        <f t="shared" si="146"/>
        <v>1</v>
      </c>
      <c r="H927" s="635"/>
      <c r="I927" s="3241">
        <f t="shared" si="147"/>
        <v>1</v>
      </c>
      <c r="J927" s="635"/>
      <c r="K927" s="3241">
        <f t="shared" si="148"/>
        <v>1</v>
      </c>
      <c r="L927" s="635"/>
      <c r="M927" s="3241">
        <f t="shared" si="149"/>
        <v>1</v>
      </c>
      <c r="N927" s="635"/>
      <c r="O927" s="3241">
        <f t="shared" si="150"/>
        <v>1</v>
      </c>
      <c r="P927" s="635"/>
      <c r="Q927" s="3241">
        <f t="shared" si="151"/>
        <v>1</v>
      </c>
      <c r="R927" s="3241">
        <f t="shared" ca="1" si="152"/>
        <v>5044</v>
      </c>
      <c r="S927" s="905">
        <f t="shared" ca="1" si="153"/>
        <v>17</v>
      </c>
    </row>
    <row r="928" spans="1:19">
      <c r="A928" s="3227" t="s">
        <v>6088</v>
      </c>
      <c r="B928" s="3228">
        <v>32.15</v>
      </c>
      <c r="C928" s="3241">
        <f t="shared" si="154"/>
        <v>1</v>
      </c>
      <c r="D928" s="3237" t="s">
        <v>5171</v>
      </c>
      <c r="E928" s="3241">
        <f t="shared" si="145"/>
        <v>1</v>
      </c>
      <c r="F928" s="635"/>
      <c r="G928" s="3241">
        <f t="shared" si="146"/>
        <v>1</v>
      </c>
      <c r="H928" s="635"/>
      <c r="I928" s="3241">
        <f t="shared" si="147"/>
        <v>1</v>
      </c>
      <c r="J928" s="635"/>
      <c r="K928" s="3241">
        <f t="shared" si="148"/>
        <v>1</v>
      </c>
      <c r="L928" s="635"/>
      <c r="M928" s="3241">
        <f t="shared" si="149"/>
        <v>1</v>
      </c>
      <c r="N928" s="635"/>
      <c r="O928" s="3241">
        <f t="shared" si="150"/>
        <v>1</v>
      </c>
      <c r="P928" s="635"/>
      <c r="Q928" s="3241">
        <f t="shared" si="151"/>
        <v>1</v>
      </c>
      <c r="R928" s="3241">
        <f t="shared" ca="1" si="152"/>
        <v>5044</v>
      </c>
      <c r="S928" s="905">
        <f t="shared" ca="1" si="153"/>
        <v>16</v>
      </c>
    </row>
    <row r="929" spans="1:19">
      <c r="A929" s="3227" t="s">
        <v>4923</v>
      </c>
      <c r="B929" s="3228">
        <v>32.15</v>
      </c>
      <c r="C929" s="3241">
        <f t="shared" si="154"/>
        <v>1</v>
      </c>
      <c r="D929" s="3237" t="s">
        <v>4009</v>
      </c>
      <c r="E929" s="3241">
        <f t="shared" si="145"/>
        <v>1</v>
      </c>
      <c r="F929" s="635"/>
      <c r="G929" s="3241">
        <f t="shared" si="146"/>
        <v>1</v>
      </c>
      <c r="H929" s="635"/>
      <c r="I929" s="3241">
        <f t="shared" si="147"/>
        <v>1</v>
      </c>
      <c r="J929" s="635"/>
      <c r="K929" s="3241">
        <f t="shared" si="148"/>
        <v>1</v>
      </c>
      <c r="L929" s="635"/>
      <c r="M929" s="3241">
        <f t="shared" si="149"/>
        <v>1</v>
      </c>
      <c r="N929" s="635"/>
      <c r="O929" s="3241">
        <f t="shared" si="150"/>
        <v>1</v>
      </c>
      <c r="P929" s="635"/>
      <c r="Q929" s="3241">
        <f t="shared" si="151"/>
        <v>1</v>
      </c>
      <c r="R929" s="3241">
        <f t="shared" ca="1" si="152"/>
        <v>5044</v>
      </c>
      <c r="S929" s="905">
        <f t="shared" ca="1" si="153"/>
        <v>16</v>
      </c>
    </row>
    <row r="930" spans="1:19">
      <c r="A930" s="3227" t="s">
        <v>6090</v>
      </c>
      <c r="B930" s="3228">
        <v>32.15</v>
      </c>
      <c r="C930" s="3241">
        <f t="shared" si="154"/>
        <v>1</v>
      </c>
      <c r="D930" s="3237" t="s">
        <v>5171</v>
      </c>
      <c r="E930" s="3241">
        <f t="shared" si="145"/>
        <v>1</v>
      </c>
      <c r="F930" s="635"/>
      <c r="G930" s="3241">
        <f t="shared" si="146"/>
        <v>1</v>
      </c>
      <c r="H930" s="635"/>
      <c r="I930" s="3241">
        <f t="shared" si="147"/>
        <v>1</v>
      </c>
      <c r="J930" s="635"/>
      <c r="K930" s="3241">
        <f t="shared" si="148"/>
        <v>1</v>
      </c>
      <c r="L930" s="635"/>
      <c r="M930" s="3241">
        <f t="shared" si="149"/>
        <v>1</v>
      </c>
      <c r="N930" s="635"/>
      <c r="O930" s="3241">
        <f t="shared" si="150"/>
        <v>1</v>
      </c>
      <c r="P930" s="635"/>
      <c r="Q930" s="3241">
        <f t="shared" si="151"/>
        <v>1</v>
      </c>
      <c r="R930" s="3241">
        <f t="shared" ca="1" si="152"/>
        <v>5044</v>
      </c>
      <c r="S930" s="905">
        <f t="shared" ca="1" si="153"/>
        <v>16</v>
      </c>
    </row>
    <row r="931" spans="1:19">
      <c r="A931" s="3227" t="s">
        <v>4925</v>
      </c>
      <c r="B931" s="3228">
        <v>36.549999999999997</v>
      </c>
      <c r="C931" s="3241">
        <f t="shared" si="154"/>
        <v>1</v>
      </c>
      <c r="D931" s="3237" t="s">
        <v>4009</v>
      </c>
      <c r="E931" s="3241">
        <f t="shared" si="145"/>
        <v>1</v>
      </c>
      <c r="F931" s="635"/>
      <c r="G931" s="3241">
        <f t="shared" si="146"/>
        <v>1</v>
      </c>
      <c r="H931" s="635"/>
      <c r="I931" s="3241">
        <f t="shared" si="147"/>
        <v>1</v>
      </c>
      <c r="J931" s="635"/>
      <c r="K931" s="3241">
        <f t="shared" si="148"/>
        <v>1</v>
      </c>
      <c r="L931" s="635"/>
      <c r="M931" s="3241">
        <f t="shared" si="149"/>
        <v>1</v>
      </c>
      <c r="N931" s="635"/>
      <c r="O931" s="3241">
        <f t="shared" si="150"/>
        <v>1</v>
      </c>
      <c r="P931" s="635"/>
      <c r="Q931" s="3241">
        <f t="shared" si="151"/>
        <v>1</v>
      </c>
      <c r="R931" s="3241">
        <f t="shared" ca="1" si="152"/>
        <v>5044</v>
      </c>
      <c r="S931" s="905">
        <f t="shared" ca="1" si="153"/>
        <v>18</v>
      </c>
    </row>
    <row r="932" spans="1:19">
      <c r="A932" s="3227" t="s">
        <v>6092</v>
      </c>
      <c r="B932" s="3228">
        <v>36.549999999999997</v>
      </c>
      <c r="C932" s="3241">
        <f t="shared" si="154"/>
        <v>1</v>
      </c>
      <c r="D932" s="3239" t="s">
        <v>5756</v>
      </c>
      <c r="E932" s="3241">
        <f t="shared" si="145"/>
        <v>1</v>
      </c>
      <c r="F932" s="635"/>
      <c r="G932" s="3241">
        <f t="shared" si="146"/>
        <v>1</v>
      </c>
      <c r="H932" s="635"/>
      <c r="I932" s="3241">
        <f t="shared" si="147"/>
        <v>1</v>
      </c>
      <c r="J932" s="635"/>
      <c r="K932" s="3241">
        <f t="shared" si="148"/>
        <v>1</v>
      </c>
      <c r="L932" s="635"/>
      <c r="M932" s="3241">
        <f t="shared" si="149"/>
        <v>1</v>
      </c>
      <c r="N932" s="635"/>
      <c r="O932" s="3241">
        <f t="shared" si="150"/>
        <v>1</v>
      </c>
      <c r="P932" s="635"/>
      <c r="Q932" s="3241">
        <f t="shared" si="151"/>
        <v>1</v>
      </c>
      <c r="R932" s="3241">
        <f t="shared" ca="1" si="152"/>
        <v>5044</v>
      </c>
      <c r="S932" s="905">
        <f t="shared" ca="1" si="153"/>
        <v>18</v>
      </c>
    </row>
    <row r="933" spans="1:19">
      <c r="A933" s="3227" t="s">
        <v>4927</v>
      </c>
      <c r="B933" s="3228">
        <v>35.07</v>
      </c>
      <c r="C933" s="3241">
        <f t="shared" si="154"/>
        <v>1</v>
      </c>
      <c r="D933" s="3237" t="s">
        <v>4009</v>
      </c>
      <c r="E933" s="3241">
        <f t="shared" si="145"/>
        <v>1</v>
      </c>
      <c r="F933" s="635"/>
      <c r="G933" s="3241">
        <f t="shared" si="146"/>
        <v>1</v>
      </c>
      <c r="H933" s="635"/>
      <c r="I933" s="3241">
        <f t="shared" si="147"/>
        <v>1</v>
      </c>
      <c r="J933" s="635"/>
      <c r="K933" s="3241">
        <f t="shared" si="148"/>
        <v>1</v>
      </c>
      <c r="L933" s="635"/>
      <c r="M933" s="3241">
        <f t="shared" si="149"/>
        <v>1</v>
      </c>
      <c r="N933" s="635"/>
      <c r="O933" s="3241">
        <f t="shared" si="150"/>
        <v>1</v>
      </c>
      <c r="P933" s="635"/>
      <c r="Q933" s="3241">
        <f t="shared" si="151"/>
        <v>1</v>
      </c>
      <c r="R933" s="3241">
        <f t="shared" ca="1" si="152"/>
        <v>5044</v>
      </c>
      <c r="S933" s="905">
        <f t="shared" ca="1" si="153"/>
        <v>18</v>
      </c>
    </row>
    <row r="934" spans="1:19">
      <c r="A934" s="3227" t="s">
        <v>6094</v>
      </c>
      <c r="B934" s="3228">
        <v>35.07</v>
      </c>
      <c r="C934" s="3241">
        <f t="shared" si="154"/>
        <v>1</v>
      </c>
      <c r="D934" s="3237" t="s">
        <v>5171</v>
      </c>
      <c r="E934" s="3241">
        <f t="shared" si="145"/>
        <v>1</v>
      </c>
      <c r="F934" s="635"/>
      <c r="G934" s="3241">
        <f t="shared" si="146"/>
        <v>1</v>
      </c>
      <c r="H934" s="635"/>
      <c r="I934" s="3241">
        <f t="shared" si="147"/>
        <v>1</v>
      </c>
      <c r="J934" s="635"/>
      <c r="K934" s="3241">
        <f t="shared" si="148"/>
        <v>1</v>
      </c>
      <c r="L934" s="635"/>
      <c r="M934" s="3241">
        <f t="shared" si="149"/>
        <v>1</v>
      </c>
      <c r="N934" s="635"/>
      <c r="O934" s="3241">
        <f t="shared" si="150"/>
        <v>1</v>
      </c>
      <c r="P934" s="635"/>
      <c r="Q934" s="3241">
        <f t="shared" si="151"/>
        <v>1</v>
      </c>
      <c r="R934" s="3241">
        <f t="shared" ca="1" si="152"/>
        <v>5044</v>
      </c>
      <c r="S934" s="905">
        <f t="shared" ca="1" si="153"/>
        <v>18</v>
      </c>
    </row>
    <row r="935" spans="1:19">
      <c r="A935" s="3227" t="s">
        <v>4929</v>
      </c>
      <c r="B935" s="3228">
        <v>35.07</v>
      </c>
      <c r="C935" s="3241">
        <f t="shared" si="154"/>
        <v>1</v>
      </c>
      <c r="D935" s="3237" t="s">
        <v>4009</v>
      </c>
      <c r="E935" s="3241">
        <f t="shared" si="145"/>
        <v>1</v>
      </c>
      <c r="F935" s="635"/>
      <c r="G935" s="3241">
        <f t="shared" si="146"/>
        <v>1</v>
      </c>
      <c r="H935" s="635"/>
      <c r="I935" s="3241">
        <f t="shared" si="147"/>
        <v>1</v>
      </c>
      <c r="J935" s="635"/>
      <c r="K935" s="3241">
        <f t="shared" si="148"/>
        <v>1</v>
      </c>
      <c r="L935" s="635"/>
      <c r="M935" s="3241">
        <f t="shared" si="149"/>
        <v>1</v>
      </c>
      <c r="N935" s="635"/>
      <c r="O935" s="3241">
        <f t="shared" si="150"/>
        <v>1</v>
      </c>
      <c r="P935" s="635"/>
      <c r="Q935" s="3241">
        <f t="shared" si="151"/>
        <v>1</v>
      </c>
      <c r="R935" s="3241">
        <f t="shared" ca="1" si="152"/>
        <v>5044</v>
      </c>
      <c r="S935" s="905">
        <f t="shared" ca="1" si="153"/>
        <v>18</v>
      </c>
    </row>
    <row r="936" spans="1:19">
      <c r="A936" s="3227" t="s">
        <v>6096</v>
      </c>
      <c r="B936" s="3228">
        <v>34.35</v>
      </c>
      <c r="C936" s="3241">
        <f t="shared" si="154"/>
        <v>1</v>
      </c>
      <c r="D936" s="3237" t="s">
        <v>5171</v>
      </c>
      <c r="E936" s="3241">
        <f t="shared" si="145"/>
        <v>1</v>
      </c>
      <c r="F936" s="635"/>
      <c r="G936" s="3241">
        <f t="shared" si="146"/>
        <v>1</v>
      </c>
      <c r="H936" s="635"/>
      <c r="I936" s="3241">
        <f t="shared" si="147"/>
        <v>1</v>
      </c>
      <c r="J936" s="635"/>
      <c r="K936" s="3241">
        <f t="shared" si="148"/>
        <v>1</v>
      </c>
      <c r="L936" s="635"/>
      <c r="M936" s="3241">
        <f t="shared" si="149"/>
        <v>1</v>
      </c>
      <c r="N936" s="635"/>
      <c r="O936" s="3241">
        <f t="shared" si="150"/>
        <v>1</v>
      </c>
      <c r="P936" s="635"/>
      <c r="Q936" s="3241">
        <f t="shared" si="151"/>
        <v>1</v>
      </c>
      <c r="R936" s="3241">
        <f t="shared" ca="1" si="152"/>
        <v>5044</v>
      </c>
      <c r="S936" s="905">
        <f t="shared" ca="1" si="153"/>
        <v>17</v>
      </c>
    </row>
    <row r="937" spans="1:19">
      <c r="A937" s="3227" t="s">
        <v>4931</v>
      </c>
      <c r="B937" s="3228">
        <v>35.07</v>
      </c>
      <c r="C937" s="3241">
        <f t="shared" si="154"/>
        <v>1</v>
      </c>
      <c r="D937" s="3237" t="s">
        <v>4009</v>
      </c>
      <c r="E937" s="3241">
        <f t="shared" si="145"/>
        <v>1</v>
      </c>
      <c r="F937" s="635"/>
      <c r="G937" s="3241">
        <f t="shared" si="146"/>
        <v>1</v>
      </c>
      <c r="H937" s="635"/>
      <c r="I937" s="3241">
        <f t="shared" si="147"/>
        <v>1</v>
      </c>
      <c r="J937" s="635"/>
      <c r="K937" s="3241">
        <f t="shared" si="148"/>
        <v>1</v>
      </c>
      <c r="L937" s="635"/>
      <c r="M937" s="3241">
        <f t="shared" si="149"/>
        <v>1</v>
      </c>
      <c r="N937" s="635"/>
      <c r="O937" s="3241">
        <f t="shared" si="150"/>
        <v>1</v>
      </c>
      <c r="P937" s="635"/>
      <c r="Q937" s="3241">
        <f t="shared" si="151"/>
        <v>1</v>
      </c>
      <c r="R937" s="3241">
        <f t="shared" ca="1" si="152"/>
        <v>5044</v>
      </c>
      <c r="S937" s="905">
        <f t="shared" ca="1" si="153"/>
        <v>18</v>
      </c>
    </row>
    <row r="938" spans="1:19">
      <c r="A938" s="3227" t="s">
        <v>6098</v>
      </c>
      <c r="B938" s="3228">
        <v>35.07</v>
      </c>
      <c r="C938" s="3241">
        <f t="shared" si="154"/>
        <v>1</v>
      </c>
      <c r="D938" s="3239" t="s">
        <v>5756</v>
      </c>
      <c r="E938" s="3241">
        <f t="shared" si="145"/>
        <v>1</v>
      </c>
      <c r="F938" s="635"/>
      <c r="G938" s="3241">
        <f t="shared" si="146"/>
        <v>1</v>
      </c>
      <c r="H938" s="635"/>
      <c r="I938" s="3241">
        <f t="shared" si="147"/>
        <v>1</v>
      </c>
      <c r="J938" s="635"/>
      <c r="K938" s="3241">
        <f t="shared" si="148"/>
        <v>1</v>
      </c>
      <c r="L938" s="635"/>
      <c r="M938" s="3241">
        <f t="shared" si="149"/>
        <v>1</v>
      </c>
      <c r="N938" s="635"/>
      <c r="O938" s="3241">
        <f t="shared" si="150"/>
        <v>1</v>
      </c>
      <c r="P938" s="635"/>
      <c r="Q938" s="3241">
        <f t="shared" si="151"/>
        <v>1</v>
      </c>
      <c r="R938" s="3241">
        <f t="shared" ca="1" si="152"/>
        <v>5044</v>
      </c>
      <c r="S938" s="905">
        <f t="shared" ca="1" si="153"/>
        <v>18</v>
      </c>
    </row>
    <row r="939" spans="1:19">
      <c r="A939" s="3227" t="s">
        <v>4933</v>
      </c>
      <c r="B939" s="3228">
        <v>35.07</v>
      </c>
      <c r="C939" s="3241">
        <f t="shared" si="154"/>
        <v>1</v>
      </c>
      <c r="D939" s="3237" t="s">
        <v>4009</v>
      </c>
      <c r="E939" s="3241">
        <f t="shared" si="145"/>
        <v>1</v>
      </c>
      <c r="F939" s="635"/>
      <c r="G939" s="3241">
        <f t="shared" si="146"/>
        <v>1</v>
      </c>
      <c r="H939" s="635"/>
      <c r="I939" s="3241">
        <f t="shared" si="147"/>
        <v>1</v>
      </c>
      <c r="J939" s="635"/>
      <c r="K939" s="3241">
        <f t="shared" si="148"/>
        <v>1</v>
      </c>
      <c r="L939" s="635"/>
      <c r="M939" s="3241">
        <f t="shared" si="149"/>
        <v>1</v>
      </c>
      <c r="N939" s="635"/>
      <c r="O939" s="3241">
        <f t="shared" si="150"/>
        <v>1</v>
      </c>
      <c r="P939" s="635"/>
      <c r="Q939" s="3241">
        <f t="shared" si="151"/>
        <v>1</v>
      </c>
      <c r="R939" s="3241">
        <f t="shared" ca="1" si="152"/>
        <v>5044</v>
      </c>
      <c r="S939" s="905">
        <f t="shared" ca="1" si="153"/>
        <v>18</v>
      </c>
    </row>
    <row r="940" spans="1:19">
      <c r="A940" s="3227" t="s">
        <v>6100</v>
      </c>
      <c r="B940" s="3228">
        <v>38.72</v>
      </c>
      <c r="C940" s="3241">
        <f t="shared" si="154"/>
        <v>1</v>
      </c>
      <c r="D940" s="3237" t="s">
        <v>5171</v>
      </c>
      <c r="E940" s="3241">
        <f t="shared" si="145"/>
        <v>1</v>
      </c>
      <c r="F940" s="635"/>
      <c r="G940" s="3241">
        <f t="shared" si="146"/>
        <v>1</v>
      </c>
      <c r="H940" s="635"/>
      <c r="I940" s="3241">
        <f t="shared" si="147"/>
        <v>1</v>
      </c>
      <c r="J940" s="635"/>
      <c r="K940" s="3241">
        <f t="shared" si="148"/>
        <v>1</v>
      </c>
      <c r="L940" s="635"/>
      <c r="M940" s="3241">
        <f t="shared" si="149"/>
        <v>1</v>
      </c>
      <c r="N940" s="635"/>
      <c r="O940" s="3241">
        <f t="shared" si="150"/>
        <v>1</v>
      </c>
      <c r="P940" s="635"/>
      <c r="Q940" s="3241">
        <f t="shared" si="151"/>
        <v>1</v>
      </c>
      <c r="R940" s="3241">
        <f t="shared" ca="1" si="152"/>
        <v>5044</v>
      </c>
      <c r="S940" s="905">
        <f t="shared" ca="1" si="153"/>
        <v>20</v>
      </c>
    </row>
    <row r="941" spans="1:19">
      <c r="A941" s="3227" t="s">
        <v>4935</v>
      </c>
      <c r="B941" s="3228">
        <v>38.72</v>
      </c>
      <c r="C941" s="3241">
        <f t="shared" si="154"/>
        <v>1</v>
      </c>
      <c r="D941" s="3237" t="s">
        <v>4009</v>
      </c>
      <c r="E941" s="3241">
        <f t="shared" si="145"/>
        <v>1</v>
      </c>
      <c r="F941" s="635"/>
      <c r="G941" s="3241">
        <f t="shared" si="146"/>
        <v>1</v>
      </c>
      <c r="H941" s="635"/>
      <c r="I941" s="3241">
        <f t="shared" si="147"/>
        <v>1</v>
      </c>
      <c r="J941" s="635"/>
      <c r="K941" s="3241">
        <f t="shared" si="148"/>
        <v>1</v>
      </c>
      <c r="L941" s="635"/>
      <c r="M941" s="3241">
        <f t="shared" si="149"/>
        <v>1</v>
      </c>
      <c r="N941" s="635"/>
      <c r="O941" s="3241">
        <f t="shared" si="150"/>
        <v>1</v>
      </c>
      <c r="P941" s="635"/>
      <c r="Q941" s="3241">
        <f t="shared" si="151"/>
        <v>1</v>
      </c>
      <c r="R941" s="3241">
        <f t="shared" ca="1" si="152"/>
        <v>5044</v>
      </c>
      <c r="S941" s="905">
        <f t="shared" ca="1" si="153"/>
        <v>20</v>
      </c>
    </row>
    <row r="942" spans="1:19">
      <c r="A942" s="3227" t="s">
        <v>6102</v>
      </c>
      <c r="B942" s="3228">
        <v>36.549999999999997</v>
      </c>
      <c r="C942" s="3241">
        <f t="shared" si="154"/>
        <v>1</v>
      </c>
      <c r="D942" s="3237" t="s">
        <v>5171</v>
      </c>
      <c r="E942" s="3241">
        <f t="shared" si="145"/>
        <v>1</v>
      </c>
      <c r="F942" s="635"/>
      <c r="G942" s="3241">
        <f t="shared" si="146"/>
        <v>1</v>
      </c>
      <c r="H942" s="635"/>
      <c r="I942" s="3241">
        <f t="shared" si="147"/>
        <v>1</v>
      </c>
      <c r="J942" s="635"/>
      <c r="K942" s="3241">
        <f t="shared" si="148"/>
        <v>1</v>
      </c>
      <c r="L942" s="635"/>
      <c r="M942" s="3241">
        <f t="shared" si="149"/>
        <v>1</v>
      </c>
      <c r="N942" s="635"/>
      <c r="O942" s="3241">
        <f t="shared" si="150"/>
        <v>1</v>
      </c>
      <c r="P942" s="635"/>
      <c r="Q942" s="3241">
        <f t="shared" si="151"/>
        <v>1</v>
      </c>
      <c r="R942" s="3241">
        <f t="shared" ca="1" si="152"/>
        <v>5044</v>
      </c>
      <c r="S942" s="905">
        <f t="shared" ca="1" si="153"/>
        <v>18</v>
      </c>
    </row>
    <row r="943" spans="1:19">
      <c r="A943" s="3227" t="s">
        <v>4937</v>
      </c>
      <c r="B943" s="3228">
        <v>36.549999999999997</v>
      </c>
      <c r="C943" s="3241">
        <f t="shared" si="154"/>
        <v>1</v>
      </c>
      <c r="D943" s="3237" t="s">
        <v>4009</v>
      </c>
      <c r="E943" s="3241">
        <f t="shared" si="145"/>
        <v>1</v>
      </c>
      <c r="F943" s="635"/>
      <c r="G943" s="3241">
        <f t="shared" si="146"/>
        <v>1</v>
      </c>
      <c r="H943" s="635"/>
      <c r="I943" s="3241">
        <f t="shared" si="147"/>
        <v>1</v>
      </c>
      <c r="J943" s="635"/>
      <c r="K943" s="3241">
        <f t="shared" si="148"/>
        <v>1</v>
      </c>
      <c r="L943" s="635"/>
      <c r="M943" s="3241">
        <f t="shared" si="149"/>
        <v>1</v>
      </c>
      <c r="N943" s="635"/>
      <c r="O943" s="3241">
        <f t="shared" si="150"/>
        <v>1</v>
      </c>
      <c r="P943" s="635"/>
      <c r="Q943" s="3241">
        <f t="shared" si="151"/>
        <v>1</v>
      </c>
      <c r="R943" s="3241">
        <f t="shared" ca="1" si="152"/>
        <v>5044</v>
      </c>
      <c r="S943" s="905">
        <f t="shared" ca="1" si="153"/>
        <v>18</v>
      </c>
    </row>
    <row r="944" spans="1:19">
      <c r="A944" s="3227" t="s">
        <v>6104</v>
      </c>
      <c r="B944" s="3228">
        <v>35.07</v>
      </c>
      <c r="C944" s="3241">
        <f t="shared" si="154"/>
        <v>1</v>
      </c>
      <c r="D944" s="3237" t="s">
        <v>5171</v>
      </c>
      <c r="E944" s="3241">
        <f t="shared" si="145"/>
        <v>1</v>
      </c>
      <c r="F944" s="635"/>
      <c r="G944" s="3241">
        <f t="shared" si="146"/>
        <v>1</v>
      </c>
      <c r="H944" s="635"/>
      <c r="I944" s="3241">
        <f t="shared" si="147"/>
        <v>1</v>
      </c>
      <c r="J944" s="635"/>
      <c r="K944" s="3241">
        <f t="shared" si="148"/>
        <v>1</v>
      </c>
      <c r="L944" s="635"/>
      <c r="M944" s="3241">
        <f t="shared" si="149"/>
        <v>1</v>
      </c>
      <c r="N944" s="635"/>
      <c r="O944" s="3241">
        <f t="shared" si="150"/>
        <v>1</v>
      </c>
      <c r="P944" s="635"/>
      <c r="Q944" s="3241">
        <f t="shared" si="151"/>
        <v>1</v>
      </c>
      <c r="R944" s="3241">
        <f t="shared" ca="1" si="152"/>
        <v>5044</v>
      </c>
      <c r="S944" s="905">
        <f t="shared" ca="1" si="153"/>
        <v>18</v>
      </c>
    </row>
    <row r="945" spans="1:19">
      <c r="A945" s="3227" t="s">
        <v>4939</v>
      </c>
      <c r="B945" s="3228">
        <v>35.07</v>
      </c>
      <c r="C945" s="3241">
        <f t="shared" si="154"/>
        <v>1</v>
      </c>
      <c r="D945" s="3237" t="s">
        <v>4009</v>
      </c>
      <c r="E945" s="3241">
        <f t="shared" si="145"/>
        <v>1</v>
      </c>
      <c r="F945" s="635"/>
      <c r="G945" s="3241">
        <f t="shared" si="146"/>
        <v>1</v>
      </c>
      <c r="H945" s="635"/>
      <c r="I945" s="3241">
        <f t="shared" si="147"/>
        <v>1</v>
      </c>
      <c r="J945" s="635"/>
      <c r="K945" s="3241">
        <f t="shared" si="148"/>
        <v>1</v>
      </c>
      <c r="L945" s="635"/>
      <c r="M945" s="3241">
        <f t="shared" si="149"/>
        <v>1</v>
      </c>
      <c r="N945" s="635"/>
      <c r="O945" s="3241">
        <f t="shared" si="150"/>
        <v>1</v>
      </c>
      <c r="P945" s="635"/>
      <c r="Q945" s="3241">
        <f t="shared" si="151"/>
        <v>1</v>
      </c>
      <c r="R945" s="3241">
        <f t="shared" ca="1" si="152"/>
        <v>5044</v>
      </c>
      <c r="S945" s="905">
        <f t="shared" ca="1" si="153"/>
        <v>18</v>
      </c>
    </row>
    <row r="946" spans="1:19">
      <c r="A946" s="3227" t="s">
        <v>6106</v>
      </c>
      <c r="B946" s="3228">
        <v>35.07</v>
      </c>
      <c r="C946" s="3241">
        <f t="shared" si="154"/>
        <v>1</v>
      </c>
      <c r="D946" s="3237" t="s">
        <v>5171</v>
      </c>
      <c r="E946" s="3241">
        <f t="shared" si="145"/>
        <v>1</v>
      </c>
      <c r="F946" s="635"/>
      <c r="G946" s="3241">
        <f t="shared" si="146"/>
        <v>1</v>
      </c>
      <c r="H946" s="635"/>
      <c r="I946" s="3241">
        <f t="shared" si="147"/>
        <v>1</v>
      </c>
      <c r="J946" s="635"/>
      <c r="K946" s="3241">
        <f t="shared" si="148"/>
        <v>1</v>
      </c>
      <c r="L946" s="635"/>
      <c r="M946" s="3241">
        <f t="shared" si="149"/>
        <v>1</v>
      </c>
      <c r="N946" s="635"/>
      <c r="O946" s="3241">
        <f t="shared" si="150"/>
        <v>1</v>
      </c>
      <c r="P946" s="635"/>
      <c r="Q946" s="3241">
        <f t="shared" si="151"/>
        <v>1</v>
      </c>
      <c r="R946" s="3241">
        <f t="shared" ca="1" si="152"/>
        <v>5044</v>
      </c>
      <c r="S946" s="905">
        <f t="shared" ca="1" si="153"/>
        <v>18</v>
      </c>
    </row>
    <row r="947" spans="1:19">
      <c r="A947" s="3227" t="s">
        <v>4941</v>
      </c>
      <c r="B947" s="3228">
        <v>36.549999999999997</v>
      </c>
      <c r="C947" s="3241">
        <f t="shared" si="154"/>
        <v>1</v>
      </c>
      <c r="D947" s="3237" t="s">
        <v>4009</v>
      </c>
      <c r="E947" s="3241">
        <f t="shared" si="145"/>
        <v>1</v>
      </c>
      <c r="F947" s="635"/>
      <c r="G947" s="3241">
        <f t="shared" si="146"/>
        <v>1</v>
      </c>
      <c r="H947" s="635"/>
      <c r="I947" s="3241">
        <f t="shared" si="147"/>
        <v>1</v>
      </c>
      <c r="J947" s="635"/>
      <c r="K947" s="3241">
        <f t="shared" si="148"/>
        <v>1</v>
      </c>
      <c r="L947" s="635"/>
      <c r="M947" s="3241">
        <f t="shared" si="149"/>
        <v>1</v>
      </c>
      <c r="N947" s="635"/>
      <c r="O947" s="3241">
        <f t="shared" si="150"/>
        <v>1</v>
      </c>
      <c r="P947" s="635"/>
      <c r="Q947" s="3241">
        <f t="shared" si="151"/>
        <v>1</v>
      </c>
      <c r="R947" s="3241">
        <f t="shared" ca="1" si="152"/>
        <v>5044</v>
      </c>
      <c r="S947" s="905">
        <f t="shared" ca="1" si="153"/>
        <v>18</v>
      </c>
    </row>
    <row r="948" spans="1:19">
      <c r="A948" s="3227" t="s">
        <v>6108</v>
      </c>
      <c r="B948" s="3228">
        <v>36.549999999999997</v>
      </c>
      <c r="C948" s="3241">
        <f t="shared" si="154"/>
        <v>1</v>
      </c>
      <c r="D948" s="3237" t="s">
        <v>5171</v>
      </c>
      <c r="E948" s="3241">
        <f t="shared" si="145"/>
        <v>1</v>
      </c>
      <c r="F948" s="635"/>
      <c r="G948" s="3241">
        <f t="shared" si="146"/>
        <v>1</v>
      </c>
      <c r="H948" s="635"/>
      <c r="I948" s="3241">
        <f t="shared" si="147"/>
        <v>1</v>
      </c>
      <c r="J948" s="635"/>
      <c r="K948" s="3241">
        <f t="shared" si="148"/>
        <v>1</v>
      </c>
      <c r="L948" s="635"/>
      <c r="M948" s="3241">
        <f t="shared" si="149"/>
        <v>1</v>
      </c>
      <c r="N948" s="635"/>
      <c r="O948" s="3241">
        <f t="shared" si="150"/>
        <v>1</v>
      </c>
      <c r="P948" s="635"/>
      <c r="Q948" s="3241">
        <f t="shared" si="151"/>
        <v>1</v>
      </c>
      <c r="R948" s="3241">
        <f t="shared" ca="1" si="152"/>
        <v>5044</v>
      </c>
      <c r="S948" s="905">
        <f t="shared" ca="1" si="153"/>
        <v>18</v>
      </c>
    </row>
    <row r="949" spans="1:19">
      <c r="A949" s="3227" t="s">
        <v>4943</v>
      </c>
      <c r="B949" s="3228">
        <v>35.07</v>
      </c>
      <c r="C949" s="3241">
        <f t="shared" si="154"/>
        <v>1</v>
      </c>
      <c r="D949" s="3237" t="s">
        <v>4009</v>
      </c>
      <c r="E949" s="3241">
        <f t="shared" si="145"/>
        <v>1</v>
      </c>
      <c r="F949" s="635"/>
      <c r="G949" s="3241">
        <f t="shared" si="146"/>
        <v>1</v>
      </c>
      <c r="H949" s="635"/>
      <c r="I949" s="3241">
        <f t="shared" si="147"/>
        <v>1</v>
      </c>
      <c r="J949" s="635"/>
      <c r="K949" s="3241">
        <f t="shared" si="148"/>
        <v>1</v>
      </c>
      <c r="L949" s="635"/>
      <c r="M949" s="3241">
        <f t="shared" si="149"/>
        <v>1</v>
      </c>
      <c r="N949" s="635"/>
      <c r="O949" s="3241">
        <f t="shared" si="150"/>
        <v>1</v>
      </c>
      <c r="P949" s="635"/>
      <c r="Q949" s="3241">
        <f t="shared" si="151"/>
        <v>1</v>
      </c>
      <c r="R949" s="3241">
        <f t="shared" ca="1" si="152"/>
        <v>5044</v>
      </c>
      <c r="S949" s="905">
        <f t="shared" ca="1" si="153"/>
        <v>18</v>
      </c>
    </row>
    <row r="950" spans="1:19">
      <c r="A950" s="3227" t="s">
        <v>6110</v>
      </c>
      <c r="B950" s="3228">
        <v>33.630000000000003</v>
      </c>
      <c r="C950" s="3241">
        <f t="shared" si="154"/>
        <v>1</v>
      </c>
      <c r="D950" s="3237" t="s">
        <v>5171</v>
      </c>
      <c r="E950" s="3241">
        <f t="shared" si="145"/>
        <v>1</v>
      </c>
      <c r="F950" s="635"/>
      <c r="G950" s="3241">
        <f t="shared" si="146"/>
        <v>1</v>
      </c>
      <c r="H950" s="635"/>
      <c r="I950" s="3241">
        <f t="shared" si="147"/>
        <v>1</v>
      </c>
      <c r="J950" s="635"/>
      <c r="K950" s="3241">
        <f t="shared" si="148"/>
        <v>1</v>
      </c>
      <c r="L950" s="635"/>
      <c r="M950" s="3241">
        <f t="shared" si="149"/>
        <v>1</v>
      </c>
      <c r="N950" s="635"/>
      <c r="O950" s="3241">
        <f t="shared" si="150"/>
        <v>1</v>
      </c>
      <c r="P950" s="635"/>
      <c r="Q950" s="3241">
        <f t="shared" si="151"/>
        <v>1</v>
      </c>
      <c r="R950" s="3241">
        <f t="shared" ca="1" si="152"/>
        <v>5044</v>
      </c>
      <c r="S950" s="905">
        <f t="shared" ca="1" si="153"/>
        <v>17</v>
      </c>
    </row>
    <row r="951" spans="1:19">
      <c r="A951" s="3227" t="s">
        <v>4945</v>
      </c>
      <c r="B951" s="3228">
        <v>33.630000000000003</v>
      </c>
      <c r="C951" s="3241">
        <f t="shared" si="154"/>
        <v>1</v>
      </c>
      <c r="D951" s="3237" t="s">
        <v>4009</v>
      </c>
      <c r="E951" s="3241">
        <f t="shared" si="145"/>
        <v>1</v>
      </c>
      <c r="F951" s="635"/>
      <c r="G951" s="3241">
        <f t="shared" si="146"/>
        <v>1</v>
      </c>
      <c r="H951" s="635"/>
      <c r="I951" s="3241">
        <f t="shared" si="147"/>
        <v>1</v>
      </c>
      <c r="J951" s="635"/>
      <c r="K951" s="3241">
        <f t="shared" si="148"/>
        <v>1</v>
      </c>
      <c r="L951" s="635"/>
      <c r="M951" s="3241">
        <f t="shared" si="149"/>
        <v>1</v>
      </c>
      <c r="N951" s="635"/>
      <c r="O951" s="3241">
        <f t="shared" si="150"/>
        <v>1</v>
      </c>
      <c r="P951" s="635"/>
      <c r="Q951" s="3241">
        <f t="shared" si="151"/>
        <v>1</v>
      </c>
      <c r="R951" s="3241">
        <f t="shared" ca="1" si="152"/>
        <v>5044</v>
      </c>
      <c r="S951" s="905">
        <f t="shared" ca="1" si="153"/>
        <v>17</v>
      </c>
    </row>
    <row r="952" spans="1:19">
      <c r="A952" s="3227" t="s">
        <v>6112</v>
      </c>
      <c r="B952" s="3228">
        <v>36.549999999999997</v>
      </c>
      <c r="C952" s="3241">
        <f t="shared" si="154"/>
        <v>1</v>
      </c>
      <c r="D952" s="3239" t="s">
        <v>5756</v>
      </c>
      <c r="E952" s="3241">
        <f t="shared" si="145"/>
        <v>1</v>
      </c>
      <c r="F952" s="635"/>
      <c r="G952" s="3241">
        <f t="shared" si="146"/>
        <v>1</v>
      </c>
      <c r="H952" s="635"/>
      <c r="I952" s="3241">
        <f t="shared" si="147"/>
        <v>1</v>
      </c>
      <c r="J952" s="635"/>
      <c r="K952" s="3241">
        <f t="shared" si="148"/>
        <v>1</v>
      </c>
      <c r="L952" s="635"/>
      <c r="M952" s="3241">
        <f t="shared" si="149"/>
        <v>1</v>
      </c>
      <c r="N952" s="635"/>
      <c r="O952" s="3241">
        <f t="shared" si="150"/>
        <v>1</v>
      </c>
      <c r="P952" s="635"/>
      <c r="Q952" s="3241">
        <f t="shared" si="151"/>
        <v>1</v>
      </c>
      <c r="R952" s="3241">
        <f t="shared" ca="1" si="152"/>
        <v>5044</v>
      </c>
      <c r="S952" s="905">
        <f t="shared" ca="1" si="153"/>
        <v>18</v>
      </c>
    </row>
    <row r="953" spans="1:19">
      <c r="A953" s="3227" t="s">
        <v>4947</v>
      </c>
      <c r="B953" s="3228">
        <v>36.549999999999997</v>
      </c>
      <c r="C953" s="3241">
        <f t="shared" si="154"/>
        <v>1</v>
      </c>
      <c r="D953" s="3237" t="s">
        <v>4009</v>
      </c>
      <c r="E953" s="3241">
        <f t="shared" si="145"/>
        <v>1</v>
      </c>
      <c r="F953" s="635"/>
      <c r="G953" s="3241">
        <f t="shared" si="146"/>
        <v>1</v>
      </c>
      <c r="H953" s="635"/>
      <c r="I953" s="3241">
        <f t="shared" si="147"/>
        <v>1</v>
      </c>
      <c r="J953" s="635"/>
      <c r="K953" s="3241">
        <f t="shared" si="148"/>
        <v>1</v>
      </c>
      <c r="L953" s="635"/>
      <c r="M953" s="3241">
        <f t="shared" si="149"/>
        <v>1</v>
      </c>
      <c r="N953" s="635"/>
      <c r="O953" s="3241">
        <f t="shared" si="150"/>
        <v>1</v>
      </c>
      <c r="P953" s="635"/>
      <c r="Q953" s="3241">
        <f t="shared" si="151"/>
        <v>1</v>
      </c>
      <c r="R953" s="3241">
        <f t="shared" ca="1" si="152"/>
        <v>5044</v>
      </c>
      <c r="S953" s="905">
        <f t="shared" ca="1" si="153"/>
        <v>18</v>
      </c>
    </row>
    <row r="954" spans="1:19">
      <c r="A954" s="3227" t="s">
        <v>6114</v>
      </c>
      <c r="B954" s="3228">
        <v>37.270000000000003</v>
      </c>
      <c r="C954" s="3241">
        <f t="shared" si="154"/>
        <v>1</v>
      </c>
      <c r="D954" s="3237" t="s">
        <v>5171</v>
      </c>
      <c r="E954" s="3241">
        <f t="shared" si="145"/>
        <v>1</v>
      </c>
      <c r="F954" s="635"/>
      <c r="G954" s="3241">
        <f t="shared" si="146"/>
        <v>1</v>
      </c>
      <c r="H954" s="635"/>
      <c r="I954" s="3241">
        <f t="shared" si="147"/>
        <v>1</v>
      </c>
      <c r="J954" s="635"/>
      <c r="K954" s="3241">
        <f t="shared" si="148"/>
        <v>1</v>
      </c>
      <c r="L954" s="635"/>
      <c r="M954" s="3241">
        <f t="shared" si="149"/>
        <v>1</v>
      </c>
      <c r="N954" s="635"/>
      <c r="O954" s="3241">
        <f t="shared" si="150"/>
        <v>1</v>
      </c>
      <c r="P954" s="635"/>
      <c r="Q954" s="3241">
        <f t="shared" si="151"/>
        <v>1</v>
      </c>
      <c r="R954" s="3241">
        <f t="shared" ca="1" si="152"/>
        <v>5044</v>
      </c>
      <c r="S954" s="905">
        <f t="shared" ca="1" si="153"/>
        <v>19</v>
      </c>
    </row>
    <row r="955" spans="1:19">
      <c r="A955" s="3227" t="s">
        <v>4949</v>
      </c>
      <c r="B955" s="3228">
        <v>37.270000000000003</v>
      </c>
      <c r="C955" s="3241">
        <f t="shared" si="154"/>
        <v>1</v>
      </c>
      <c r="D955" s="3237" t="s">
        <v>4009</v>
      </c>
      <c r="E955" s="3241">
        <f t="shared" si="145"/>
        <v>1</v>
      </c>
      <c r="F955" s="635"/>
      <c r="G955" s="3241">
        <f t="shared" si="146"/>
        <v>1</v>
      </c>
      <c r="H955" s="635"/>
      <c r="I955" s="3241">
        <f t="shared" si="147"/>
        <v>1</v>
      </c>
      <c r="J955" s="635"/>
      <c r="K955" s="3241">
        <f t="shared" si="148"/>
        <v>1</v>
      </c>
      <c r="L955" s="635"/>
      <c r="M955" s="3241">
        <f t="shared" si="149"/>
        <v>1</v>
      </c>
      <c r="N955" s="635"/>
      <c r="O955" s="3241">
        <f t="shared" si="150"/>
        <v>1</v>
      </c>
      <c r="P955" s="635"/>
      <c r="Q955" s="3241">
        <f t="shared" si="151"/>
        <v>1</v>
      </c>
      <c r="R955" s="3241">
        <f t="shared" ca="1" si="152"/>
        <v>5044</v>
      </c>
      <c r="S955" s="905">
        <f t="shared" ca="1" si="153"/>
        <v>19</v>
      </c>
    </row>
    <row r="956" spans="1:19">
      <c r="A956" s="3227" t="s">
        <v>6116</v>
      </c>
      <c r="B956" s="3228">
        <v>37.270000000000003</v>
      </c>
      <c r="C956" s="3241">
        <f t="shared" si="154"/>
        <v>1</v>
      </c>
      <c r="D956" s="3239" t="s">
        <v>5756</v>
      </c>
      <c r="E956" s="3241">
        <f t="shared" si="145"/>
        <v>1</v>
      </c>
      <c r="F956" s="635"/>
      <c r="G956" s="3241">
        <f t="shared" si="146"/>
        <v>1</v>
      </c>
      <c r="H956" s="635"/>
      <c r="I956" s="3241">
        <f t="shared" si="147"/>
        <v>1</v>
      </c>
      <c r="J956" s="635"/>
      <c r="K956" s="3241">
        <f t="shared" si="148"/>
        <v>1</v>
      </c>
      <c r="L956" s="635"/>
      <c r="M956" s="3241">
        <f t="shared" si="149"/>
        <v>1</v>
      </c>
      <c r="N956" s="635"/>
      <c r="O956" s="3241">
        <f t="shared" si="150"/>
        <v>1</v>
      </c>
      <c r="P956" s="635"/>
      <c r="Q956" s="3241">
        <f t="shared" si="151"/>
        <v>1</v>
      </c>
      <c r="R956" s="3241">
        <f t="shared" ca="1" si="152"/>
        <v>5044</v>
      </c>
      <c r="S956" s="905">
        <f t="shared" ca="1" si="153"/>
        <v>19</v>
      </c>
    </row>
    <row r="957" spans="1:19">
      <c r="A957" s="3227" t="s">
        <v>4951</v>
      </c>
      <c r="B957" s="3228">
        <v>37.270000000000003</v>
      </c>
      <c r="C957" s="3241">
        <f t="shared" si="154"/>
        <v>1</v>
      </c>
      <c r="D957" s="3237" t="s">
        <v>4009</v>
      </c>
      <c r="E957" s="3241">
        <f t="shared" si="145"/>
        <v>1</v>
      </c>
      <c r="F957" s="635"/>
      <c r="G957" s="3241">
        <f t="shared" si="146"/>
        <v>1</v>
      </c>
      <c r="H957" s="635"/>
      <c r="I957" s="3241">
        <f t="shared" si="147"/>
        <v>1</v>
      </c>
      <c r="J957" s="635"/>
      <c r="K957" s="3241">
        <f t="shared" si="148"/>
        <v>1</v>
      </c>
      <c r="L957" s="635"/>
      <c r="M957" s="3241">
        <f t="shared" si="149"/>
        <v>1</v>
      </c>
      <c r="N957" s="635"/>
      <c r="O957" s="3241">
        <f t="shared" si="150"/>
        <v>1</v>
      </c>
      <c r="P957" s="635"/>
      <c r="Q957" s="3241">
        <f t="shared" si="151"/>
        <v>1</v>
      </c>
      <c r="R957" s="3241">
        <f t="shared" ca="1" si="152"/>
        <v>5044</v>
      </c>
      <c r="S957" s="905">
        <f t="shared" ca="1" si="153"/>
        <v>19</v>
      </c>
    </row>
    <row r="958" spans="1:19">
      <c r="A958" s="3227" t="s">
        <v>6118</v>
      </c>
      <c r="B958" s="3228">
        <v>37.270000000000003</v>
      </c>
      <c r="C958" s="3241">
        <f t="shared" si="154"/>
        <v>1</v>
      </c>
      <c r="D958" s="3237" t="s">
        <v>5171</v>
      </c>
      <c r="E958" s="3241">
        <f t="shared" si="145"/>
        <v>1</v>
      </c>
      <c r="F958" s="635"/>
      <c r="G958" s="3241">
        <f t="shared" si="146"/>
        <v>1</v>
      </c>
      <c r="H958" s="635"/>
      <c r="I958" s="3241">
        <f t="shared" si="147"/>
        <v>1</v>
      </c>
      <c r="J958" s="635"/>
      <c r="K958" s="3241">
        <f t="shared" si="148"/>
        <v>1</v>
      </c>
      <c r="L958" s="635"/>
      <c r="M958" s="3241">
        <f t="shared" si="149"/>
        <v>1</v>
      </c>
      <c r="N958" s="635"/>
      <c r="O958" s="3241">
        <f t="shared" si="150"/>
        <v>1</v>
      </c>
      <c r="P958" s="635"/>
      <c r="Q958" s="3241">
        <f t="shared" si="151"/>
        <v>1</v>
      </c>
      <c r="R958" s="3241">
        <f t="shared" ca="1" si="152"/>
        <v>5044</v>
      </c>
      <c r="S958" s="905">
        <f t="shared" ca="1" si="153"/>
        <v>19</v>
      </c>
    </row>
    <row r="959" spans="1:19">
      <c r="A959" s="3227" t="s">
        <v>4953</v>
      </c>
      <c r="B959" s="3228">
        <v>37.270000000000003</v>
      </c>
      <c r="C959" s="3241">
        <f t="shared" si="154"/>
        <v>1</v>
      </c>
      <c r="D959" s="3237" t="s">
        <v>4009</v>
      </c>
      <c r="E959" s="3241">
        <f t="shared" si="145"/>
        <v>1</v>
      </c>
      <c r="F959" s="635"/>
      <c r="G959" s="3241">
        <f t="shared" si="146"/>
        <v>1</v>
      </c>
      <c r="H959" s="635"/>
      <c r="I959" s="3241">
        <f t="shared" si="147"/>
        <v>1</v>
      </c>
      <c r="J959" s="635"/>
      <c r="K959" s="3241">
        <f t="shared" si="148"/>
        <v>1</v>
      </c>
      <c r="L959" s="635"/>
      <c r="M959" s="3241">
        <f t="shared" si="149"/>
        <v>1</v>
      </c>
      <c r="N959" s="635"/>
      <c r="O959" s="3241">
        <f t="shared" si="150"/>
        <v>1</v>
      </c>
      <c r="P959" s="635"/>
      <c r="Q959" s="3241">
        <f t="shared" si="151"/>
        <v>1</v>
      </c>
      <c r="R959" s="3241">
        <f t="shared" ca="1" si="152"/>
        <v>5044</v>
      </c>
      <c r="S959" s="905">
        <f t="shared" ca="1" si="153"/>
        <v>19</v>
      </c>
    </row>
    <row r="960" spans="1:19">
      <c r="A960" s="3227" t="s">
        <v>6120</v>
      </c>
      <c r="B960" s="3228">
        <v>35.07</v>
      </c>
      <c r="C960" s="3241">
        <f t="shared" si="154"/>
        <v>1</v>
      </c>
      <c r="D960" s="3237" t="s">
        <v>5171</v>
      </c>
      <c r="E960" s="3241">
        <f t="shared" si="145"/>
        <v>1</v>
      </c>
      <c r="F960" s="635"/>
      <c r="G960" s="3241">
        <f t="shared" si="146"/>
        <v>1</v>
      </c>
      <c r="H960" s="635"/>
      <c r="I960" s="3241">
        <f t="shared" si="147"/>
        <v>1</v>
      </c>
      <c r="J960" s="635"/>
      <c r="K960" s="3241">
        <f t="shared" si="148"/>
        <v>1</v>
      </c>
      <c r="L960" s="635"/>
      <c r="M960" s="3241">
        <f t="shared" si="149"/>
        <v>1</v>
      </c>
      <c r="N960" s="635"/>
      <c r="O960" s="3241">
        <f t="shared" si="150"/>
        <v>1</v>
      </c>
      <c r="P960" s="635"/>
      <c r="Q960" s="3241">
        <f t="shared" si="151"/>
        <v>1</v>
      </c>
      <c r="R960" s="3241">
        <f t="shared" ca="1" si="152"/>
        <v>5044</v>
      </c>
      <c r="S960" s="905">
        <f t="shared" ca="1" si="153"/>
        <v>18</v>
      </c>
    </row>
    <row r="961" spans="1:19">
      <c r="A961" s="3227" t="s">
        <v>4955</v>
      </c>
      <c r="B961" s="3228">
        <v>35.07</v>
      </c>
      <c r="C961" s="3241">
        <f t="shared" si="154"/>
        <v>1</v>
      </c>
      <c r="D961" s="3237" t="s">
        <v>4009</v>
      </c>
      <c r="E961" s="3241">
        <f t="shared" si="145"/>
        <v>1</v>
      </c>
      <c r="F961" s="635"/>
      <c r="G961" s="3241">
        <f t="shared" si="146"/>
        <v>1</v>
      </c>
      <c r="H961" s="635"/>
      <c r="I961" s="3241">
        <f t="shared" si="147"/>
        <v>1</v>
      </c>
      <c r="J961" s="635"/>
      <c r="K961" s="3241">
        <f t="shared" si="148"/>
        <v>1</v>
      </c>
      <c r="L961" s="635"/>
      <c r="M961" s="3241">
        <f t="shared" si="149"/>
        <v>1</v>
      </c>
      <c r="N961" s="635"/>
      <c r="O961" s="3241">
        <f t="shared" si="150"/>
        <v>1</v>
      </c>
      <c r="P961" s="635"/>
      <c r="Q961" s="3241">
        <f t="shared" si="151"/>
        <v>1</v>
      </c>
      <c r="R961" s="3241">
        <f t="shared" ca="1" si="152"/>
        <v>5044</v>
      </c>
      <c r="S961" s="905">
        <f t="shared" ca="1" si="153"/>
        <v>18</v>
      </c>
    </row>
    <row r="962" spans="1:19">
      <c r="A962" s="3227" t="s">
        <v>6122</v>
      </c>
      <c r="B962" s="3228">
        <v>38.72</v>
      </c>
      <c r="C962" s="3241">
        <f t="shared" si="154"/>
        <v>1</v>
      </c>
      <c r="D962" s="3237" t="s">
        <v>5171</v>
      </c>
      <c r="E962" s="3241">
        <f t="shared" si="145"/>
        <v>1</v>
      </c>
      <c r="F962" s="635"/>
      <c r="G962" s="3241">
        <f t="shared" si="146"/>
        <v>1</v>
      </c>
      <c r="H962" s="635"/>
      <c r="I962" s="3241">
        <f t="shared" si="147"/>
        <v>1</v>
      </c>
      <c r="J962" s="635"/>
      <c r="K962" s="3241">
        <f t="shared" si="148"/>
        <v>1</v>
      </c>
      <c r="L962" s="635"/>
      <c r="M962" s="3241">
        <f t="shared" si="149"/>
        <v>1</v>
      </c>
      <c r="N962" s="635"/>
      <c r="O962" s="3241">
        <f t="shared" si="150"/>
        <v>1</v>
      </c>
      <c r="P962" s="635"/>
      <c r="Q962" s="3241">
        <f t="shared" si="151"/>
        <v>1</v>
      </c>
      <c r="R962" s="3241">
        <f t="shared" ca="1" si="152"/>
        <v>5044</v>
      </c>
      <c r="S962" s="905">
        <f t="shared" ca="1" si="153"/>
        <v>20</v>
      </c>
    </row>
    <row r="963" spans="1:19">
      <c r="A963" s="3227" t="s">
        <v>4957</v>
      </c>
      <c r="B963" s="3228">
        <v>38.72</v>
      </c>
      <c r="C963" s="3241">
        <f t="shared" si="154"/>
        <v>1</v>
      </c>
      <c r="D963" s="3237" t="s">
        <v>4009</v>
      </c>
      <c r="E963" s="3241">
        <f t="shared" si="145"/>
        <v>1</v>
      </c>
      <c r="F963" s="635"/>
      <c r="G963" s="3241">
        <f t="shared" si="146"/>
        <v>1</v>
      </c>
      <c r="H963" s="635"/>
      <c r="I963" s="3241">
        <f t="shared" si="147"/>
        <v>1</v>
      </c>
      <c r="J963" s="635"/>
      <c r="K963" s="3241">
        <f t="shared" si="148"/>
        <v>1</v>
      </c>
      <c r="L963" s="635"/>
      <c r="M963" s="3241">
        <f t="shared" si="149"/>
        <v>1</v>
      </c>
      <c r="N963" s="635"/>
      <c r="O963" s="3241">
        <f t="shared" si="150"/>
        <v>1</v>
      </c>
      <c r="P963" s="635"/>
      <c r="Q963" s="3241">
        <f t="shared" si="151"/>
        <v>1</v>
      </c>
      <c r="R963" s="3241">
        <f t="shared" ca="1" si="152"/>
        <v>5044</v>
      </c>
      <c r="S963" s="905">
        <f t="shared" ca="1" si="153"/>
        <v>20</v>
      </c>
    </row>
    <row r="964" spans="1:19">
      <c r="A964" s="3227" t="s">
        <v>6124</v>
      </c>
      <c r="B964" s="3233">
        <v>35.799999999999997</v>
      </c>
      <c r="C964" s="3241">
        <f t="shared" si="154"/>
        <v>1</v>
      </c>
      <c r="D964" s="3237" t="s">
        <v>5171</v>
      </c>
      <c r="E964" s="3241">
        <f t="shared" si="145"/>
        <v>1</v>
      </c>
      <c r="F964" s="635"/>
      <c r="G964" s="3241">
        <f t="shared" si="146"/>
        <v>1</v>
      </c>
      <c r="H964" s="635"/>
      <c r="I964" s="3241">
        <f t="shared" si="147"/>
        <v>1</v>
      </c>
      <c r="J964" s="635"/>
      <c r="K964" s="3241">
        <f t="shared" si="148"/>
        <v>1</v>
      </c>
      <c r="L964" s="635"/>
      <c r="M964" s="3241">
        <f t="shared" si="149"/>
        <v>1</v>
      </c>
      <c r="N964" s="635"/>
      <c r="O964" s="3241">
        <f t="shared" si="150"/>
        <v>1</v>
      </c>
      <c r="P964" s="635"/>
      <c r="Q964" s="3241">
        <f t="shared" si="151"/>
        <v>1</v>
      </c>
      <c r="R964" s="3241">
        <f t="shared" ca="1" si="152"/>
        <v>5044</v>
      </c>
      <c r="S964" s="905">
        <f t="shared" ca="1" si="153"/>
        <v>18</v>
      </c>
    </row>
    <row r="965" spans="1:19">
      <c r="A965" s="3227" t="s">
        <v>4959</v>
      </c>
      <c r="B965" s="3233">
        <v>35.799999999999997</v>
      </c>
      <c r="C965" s="3241">
        <f t="shared" si="154"/>
        <v>1</v>
      </c>
      <c r="D965" s="3237" t="s">
        <v>4009</v>
      </c>
      <c r="E965" s="3241">
        <f t="shared" si="145"/>
        <v>1</v>
      </c>
      <c r="F965" s="635"/>
      <c r="G965" s="3241">
        <f t="shared" si="146"/>
        <v>1</v>
      </c>
      <c r="H965" s="635"/>
      <c r="I965" s="3241">
        <f t="shared" si="147"/>
        <v>1</v>
      </c>
      <c r="J965" s="635"/>
      <c r="K965" s="3241">
        <f t="shared" si="148"/>
        <v>1</v>
      </c>
      <c r="L965" s="635"/>
      <c r="M965" s="3241">
        <f t="shared" si="149"/>
        <v>1</v>
      </c>
      <c r="N965" s="635"/>
      <c r="O965" s="3241">
        <f t="shared" si="150"/>
        <v>1</v>
      </c>
      <c r="P965" s="635"/>
      <c r="Q965" s="3241">
        <f t="shared" si="151"/>
        <v>1</v>
      </c>
      <c r="R965" s="3241">
        <f t="shared" ca="1" si="152"/>
        <v>5044</v>
      </c>
      <c r="S965" s="905">
        <f t="shared" ca="1" si="153"/>
        <v>18</v>
      </c>
    </row>
    <row r="966" spans="1:19">
      <c r="A966" s="3227" t="s">
        <v>6126</v>
      </c>
      <c r="B966" s="3233">
        <v>35.799999999999997</v>
      </c>
      <c r="C966" s="3241">
        <f t="shared" si="154"/>
        <v>1</v>
      </c>
      <c r="D966" s="3237" t="s">
        <v>5171</v>
      </c>
      <c r="E966" s="3241">
        <f t="shared" si="145"/>
        <v>1</v>
      </c>
      <c r="F966" s="635"/>
      <c r="G966" s="3241">
        <f t="shared" si="146"/>
        <v>1</v>
      </c>
      <c r="H966" s="635"/>
      <c r="I966" s="3241">
        <f t="shared" si="147"/>
        <v>1</v>
      </c>
      <c r="J966" s="635"/>
      <c r="K966" s="3241">
        <f t="shared" si="148"/>
        <v>1</v>
      </c>
      <c r="L966" s="635"/>
      <c r="M966" s="3241">
        <f t="shared" si="149"/>
        <v>1</v>
      </c>
      <c r="N966" s="635"/>
      <c r="O966" s="3241">
        <f t="shared" si="150"/>
        <v>1</v>
      </c>
      <c r="P966" s="635"/>
      <c r="Q966" s="3241">
        <f t="shared" si="151"/>
        <v>1</v>
      </c>
      <c r="R966" s="3241">
        <f t="shared" ca="1" si="152"/>
        <v>5044</v>
      </c>
      <c r="S966" s="905">
        <f t="shared" ca="1" si="153"/>
        <v>18</v>
      </c>
    </row>
    <row r="967" spans="1:19">
      <c r="A967" s="3227" t="s">
        <v>4961</v>
      </c>
      <c r="B967" s="3233">
        <v>35.799999999999997</v>
      </c>
      <c r="C967" s="3241">
        <f t="shared" si="154"/>
        <v>1</v>
      </c>
      <c r="D967" s="3237" t="s">
        <v>4009</v>
      </c>
      <c r="E967" s="3241">
        <f t="shared" si="145"/>
        <v>1</v>
      </c>
      <c r="F967" s="635"/>
      <c r="G967" s="3241">
        <f t="shared" si="146"/>
        <v>1</v>
      </c>
      <c r="H967" s="635"/>
      <c r="I967" s="3241">
        <f t="shared" si="147"/>
        <v>1</v>
      </c>
      <c r="J967" s="635"/>
      <c r="K967" s="3241">
        <f t="shared" si="148"/>
        <v>1</v>
      </c>
      <c r="L967" s="635"/>
      <c r="M967" s="3241">
        <f t="shared" si="149"/>
        <v>1</v>
      </c>
      <c r="N967" s="635"/>
      <c r="O967" s="3241">
        <f t="shared" si="150"/>
        <v>1</v>
      </c>
      <c r="P967" s="635"/>
      <c r="Q967" s="3241">
        <f t="shared" si="151"/>
        <v>1</v>
      </c>
      <c r="R967" s="3241">
        <f t="shared" ca="1" si="152"/>
        <v>5044</v>
      </c>
      <c r="S967" s="905">
        <f t="shared" ca="1" si="153"/>
        <v>18</v>
      </c>
    </row>
    <row r="968" spans="1:19">
      <c r="A968" s="3227" t="s">
        <v>6128</v>
      </c>
      <c r="B968" s="3228">
        <v>35.07</v>
      </c>
      <c r="C968" s="3241">
        <f t="shared" si="154"/>
        <v>1</v>
      </c>
      <c r="D968" s="3237" t="s">
        <v>5171</v>
      </c>
      <c r="E968" s="3241">
        <f t="shared" si="145"/>
        <v>1</v>
      </c>
      <c r="F968" s="635"/>
      <c r="G968" s="3241">
        <f t="shared" si="146"/>
        <v>1</v>
      </c>
      <c r="H968" s="635"/>
      <c r="I968" s="3241">
        <f t="shared" si="147"/>
        <v>1</v>
      </c>
      <c r="J968" s="635"/>
      <c r="K968" s="3241">
        <f t="shared" si="148"/>
        <v>1</v>
      </c>
      <c r="L968" s="635"/>
      <c r="M968" s="3241">
        <f t="shared" si="149"/>
        <v>1</v>
      </c>
      <c r="N968" s="635"/>
      <c r="O968" s="3241">
        <f t="shared" si="150"/>
        <v>1</v>
      </c>
      <c r="P968" s="635"/>
      <c r="Q968" s="3241">
        <f t="shared" si="151"/>
        <v>1</v>
      </c>
      <c r="R968" s="3241">
        <f t="shared" ca="1" si="152"/>
        <v>5044</v>
      </c>
      <c r="S968" s="905">
        <f t="shared" ca="1" si="153"/>
        <v>18</v>
      </c>
    </row>
    <row r="969" spans="1:19">
      <c r="A969" s="3227" t="s">
        <v>4963</v>
      </c>
      <c r="B969" s="3228">
        <v>35.07</v>
      </c>
      <c r="C969" s="3241">
        <f t="shared" si="154"/>
        <v>1</v>
      </c>
      <c r="D969" s="3237" t="s">
        <v>4009</v>
      </c>
      <c r="E969" s="3241">
        <f t="shared" si="145"/>
        <v>1</v>
      </c>
      <c r="F969" s="635"/>
      <c r="G969" s="3241">
        <f t="shared" si="146"/>
        <v>1</v>
      </c>
      <c r="H969" s="635"/>
      <c r="I969" s="3241">
        <f t="shared" si="147"/>
        <v>1</v>
      </c>
      <c r="J969" s="635"/>
      <c r="K969" s="3241">
        <f t="shared" si="148"/>
        <v>1</v>
      </c>
      <c r="L969" s="635"/>
      <c r="M969" s="3241">
        <f t="shared" si="149"/>
        <v>1</v>
      </c>
      <c r="N969" s="635"/>
      <c r="O969" s="3241">
        <f t="shared" si="150"/>
        <v>1</v>
      </c>
      <c r="P969" s="635"/>
      <c r="Q969" s="3241">
        <f t="shared" si="151"/>
        <v>1</v>
      </c>
      <c r="R969" s="3241">
        <f t="shared" ca="1" si="152"/>
        <v>5044</v>
      </c>
      <c r="S969" s="905">
        <f t="shared" ca="1" si="153"/>
        <v>18</v>
      </c>
    </row>
    <row r="970" spans="1:19">
      <c r="A970" s="3227" t="s">
        <v>6130</v>
      </c>
      <c r="B970" s="3228">
        <v>35.07</v>
      </c>
      <c r="C970" s="3241">
        <f t="shared" si="154"/>
        <v>1</v>
      </c>
      <c r="D970" s="3237" t="s">
        <v>5171</v>
      </c>
      <c r="E970" s="3241">
        <f t="shared" si="145"/>
        <v>1</v>
      </c>
      <c r="F970" s="635"/>
      <c r="G970" s="3241">
        <f t="shared" si="146"/>
        <v>1</v>
      </c>
      <c r="H970" s="635"/>
      <c r="I970" s="3241">
        <f t="shared" si="147"/>
        <v>1</v>
      </c>
      <c r="J970" s="635"/>
      <c r="K970" s="3241">
        <f t="shared" si="148"/>
        <v>1</v>
      </c>
      <c r="L970" s="635"/>
      <c r="M970" s="3241">
        <f t="shared" si="149"/>
        <v>1</v>
      </c>
      <c r="N970" s="635"/>
      <c r="O970" s="3241">
        <f t="shared" si="150"/>
        <v>1</v>
      </c>
      <c r="P970" s="635"/>
      <c r="Q970" s="3241">
        <f t="shared" si="151"/>
        <v>1</v>
      </c>
      <c r="R970" s="3241">
        <f t="shared" ca="1" si="152"/>
        <v>5044</v>
      </c>
      <c r="S970" s="905">
        <f t="shared" ca="1" si="153"/>
        <v>18</v>
      </c>
    </row>
    <row r="971" spans="1:19">
      <c r="A971" s="3227" t="s">
        <v>4965</v>
      </c>
      <c r="B971" s="3233">
        <v>35.799999999999997</v>
      </c>
      <c r="C971" s="3241">
        <f t="shared" si="154"/>
        <v>1</v>
      </c>
      <c r="D971" s="3237" t="s">
        <v>4009</v>
      </c>
      <c r="E971" s="3241">
        <f t="shared" si="145"/>
        <v>1</v>
      </c>
      <c r="F971" s="635"/>
      <c r="G971" s="3241">
        <f t="shared" si="146"/>
        <v>1</v>
      </c>
      <c r="H971" s="635"/>
      <c r="I971" s="3241">
        <f t="shared" si="147"/>
        <v>1</v>
      </c>
      <c r="J971" s="635"/>
      <c r="K971" s="3241">
        <f t="shared" si="148"/>
        <v>1</v>
      </c>
      <c r="L971" s="635"/>
      <c r="M971" s="3241">
        <f t="shared" si="149"/>
        <v>1</v>
      </c>
      <c r="N971" s="635"/>
      <c r="O971" s="3241">
        <f t="shared" si="150"/>
        <v>1</v>
      </c>
      <c r="P971" s="635"/>
      <c r="Q971" s="3241">
        <f t="shared" si="151"/>
        <v>1</v>
      </c>
      <c r="R971" s="3241">
        <f t="shared" ca="1" si="152"/>
        <v>5044</v>
      </c>
      <c r="S971" s="905">
        <f t="shared" ca="1" si="153"/>
        <v>18</v>
      </c>
    </row>
    <row r="972" spans="1:19">
      <c r="A972" s="3227" t="s">
        <v>6132</v>
      </c>
      <c r="B972" s="3233">
        <v>35.799999999999997</v>
      </c>
      <c r="C972" s="3241">
        <f t="shared" si="154"/>
        <v>1</v>
      </c>
      <c r="D972" s="3237" t="s">
        <v>5171</v>
      </c>
      <c r="E972" s="3241">
        <f t="shared" si="145"/>
        <v>1</v>
      </c>
      <c r="F972" s="635"/>
      <c r="G972" s="3241">
        <f t="shared" si="146"/>
        <v>1</v>
      </c>
      <c r="H972" s="635"/>
      <c r="I972" s="3241">
        <f t="shared" si="147"/>
        <v>1</v>
      </c>
      <c r="J972" s="635"/>
      <c r="K972" s="3241">
        <f t="shared" si="148"/>
        <v>1</v>
      </c>
      <c r="L972" s="635"/>
      <c r="M972" s="3241">
        <f t="shared" si="149"/>
        <v>1</v>
      </c>
      <c r="N972" s="635"/>
      <c r="O972" s="3241">
        <f t="shared" si="150"/>
        <v>1</v>
      </c>
      <c r="P972" s="635"/>
      <c r="Q972" s="3241">
        <f t="shared" si="151"/>
        <v>1</v>
      </c>
      <c r="R972" s="3241">
        <f t="shared" ca="1" si="152"/>
        <v>5044</v>
      </c>
      <c r="S972" s="905">
        <f t="shared" ca="1" si="153"/>
        <v>18</v>
      </c>
    </row>
    <row r="973" spans="1:19">
      <c r="A973" s="3227" t="s">
        <v>4967</v>
      </c>
      <c r="B973" s="3233">
        <v>35.799999999999997</v>
      </c>
      <c r="C973" s="3241">
        <f t="shared" si="154"/>
        <v>1</v>
      </c>
      <c r="D973" s="3237" t="s">
        <v>4009</v>
      </c>
      <c r="E973" s="3241">
        <f t="shared" ref="E973:E1036" si="155">(SUMIF($5:$5,D973,$6:$6)-SUMIF($5:$5,$D$24,$6:$6)+100)/100</f>
        <v>1</v>
      </c>
      <c r="F973" s="635"/>
      <c r="G973" s="3241">
        <f t="shared" ref="G973:G1036" si="156">(SUMIF($7:$7,F973,$8:$8)-SUMIF($7:$7,$F$24,$8:$8)+100)/100</f>
        <v>1</v>
      </c>
      <c r="H973" s="635"/>
      <c r="I973" s="3241">
        <f t="shared" ref="I973:I1036" si="157">(SUMIF($9:$9,H973,$10:$10)-SUMIF($9:$9,$H$24,$10:$10)+100)/100</f>
        <v>1</v>
      </c>
      <c r="J973" s="635"/>
      <c r="K973" s="3241">
        <f t="shared" ref="K973:K1036" si="158">(SUMIF($11:$11,J973,$12:$12)-SUMIF($11:$11,$J$24,$12:$12)+100)/100</f>
        <v>1</v>
      </c>
      <c r="L973" s="635"/>
      <c r="M973" s="3241">
        <f t="shared" ref="M973:M1036" si="159">(SUMIF($13:$13,L973,$14:$14)-SUMIF($13:$13,$L$24,$14:$14)+100)/100</f>
        <v>1</v>
      </c>
      <c r="N973" s="635"/>
      <c r="O973" s="3241">
        <f t="shared" ref="O973:O1036" si="160">(SUMIF($15:$15,N973,$16:$16)-SUMIF($15:$15,$N$24,$16:$16)+100)/100</f>
        <v>1</v>
      </c>
      <c r="P973" s="635"/>
      <c r="Q973" s="3241">
        <f t="shared" ref="Q973:Q1036" si="161">(SUMIF($17:$17,P973,$18:$18)-SUMIF($17:$17,$P$24,$18:$18)+100)/100</f>
        <v>1</v>
      </c>
      <c r="R973" s="3241">
        <f t="shared" ref="R973:R1036" ca="1" si="162">IF(B973="",0,ROUND($R$24*C973*E973*G973*I973*K973*M973*O973*Q973,0))</f>
        <v>5044</v>
      </c>
      <c r="S973" s="905">
        <f t="shared" ref="S973:S1036" ca="1" si="163">ROUND(R973*B973/10000,0)</f>
        <v>18</v>
      </c>
    </row>
    <row r="974" spans="1:19">
      <c r="A974" s="3227" t="s">
        <v>6134</v>
      </c>
      <c r="B974" s="3233">
        <v>35.799999999999997</v>
      </c>
      <c r="C974" s="3241">
        <f t="shared" si="154"/>
        <v>1</v>
      </c>
      <c r="D974" s="3237" t="s">
        <v>5171</v>
      </c>
      <c r="E974" s="3241">
        <f t="shared" si="155"/>
        <v>1</v>
      </c>
      <c r="F974" s="635"/>
      <c r="G974" s="3241">
        <f t="shared" si="156"/>
        <v>1</v>
      </c>
      <c r="H974" s="635"/>
      <c r="I974" s="3241">
        <f t="shared" si="157"/>
        <v>1</v>
      </c>
      <c r="J974" s="635"/>
      <c r="K974" s="3241">
        <f t="shared" si="158"/>
        <v>1</v>
      </c>
      <c r="L974" s="635"/>
      <c r="M974" s="3241">
        <f t="shared" si="159"/>
        <v>1</v>
      </c>
      <c r="N974" s="635"/>
      <c r="O974" s="3241">
        <f t="shared" si="160"/>
        <v>1</v>
      </c>
      <c r="P974" s="635"/>
      <c r="Q974" s="3241">
        <f t="shared" si="161"/>
        <v>1</v>
      </c>
      <c r="R974" s="3241">
        <f t="shared" ca="1" si="162"/>
        <v>5044</v>
      </c>
      <c r="S974" s="905">
        <f t="shared" ca="1" si="163"/>
        <v>18</v>
      </c>
    </row>
    <row r="975" spans="1:19">
      <c r="A975" s="3227" t="s">
        <v>4969</v>
      </c>
      <c r="B975" s="3233">
        <v>35.799999999999997</v>
      </c>
      <c r="C975" s="3241">
        <f t="shared" si="154"/>
        <v>1</v>
      </c>
      <c r="D975" s="3237" t="s">
        <v>4009</v>
      </c>
      <c r="E975" s="3241">
        <f t="shared" si="155"/>
        <v>1</v>
      </c>
      <c r="F975" s="635"/>
      <c r="G975" s="3241">
        <f t="shared" si="156"/>
        <v>1</v>
      </c>
      <c r="H975" s="635"/>
      <c r="I975" s="3241">
        <f t="shared" si="157"/>
        <v>1</v>
      </c>
      <c r="J975" s="635"/>
      <c r="K975" s="3241">
        <f t="shared" si="158"/>
        <v>1</v>
      </c>
      <c r="L975" s="635"/>
      <c r="M975" s="3241">
        <f t="shared" si="159"/>
        <v>1</v>
      </c>
      <c r="N975" s="635"/>
      <c r="O975" s="3241">
        <f t="shared" si="160"/>
        <v>1</v>
      </c>
      <c r="P975" s="635"/>
      <c r="Q975" s="3241">
        <f t="shared" si="161"/>
        <v>1</v>
      </c>
      <c r="R975" s="3241">
        <f t="shared" ca="1" si="162"/>
        <v>5044</v>
      </c>
      <c r="S975" s="905">
        <f t="shared" ca="1" si="163"/>
        <v>18</v>
      </c>
    </row>
    <row r="976" spans="1:19">
      <c r="A976" s="3227" t="s">
        <v>6136</v>
      </c>
      <c r="B976" s="3233">
        <v>35.799999999999997</v>
      </c>
      <c r="C976" s="3241">
        <f t="shared" si="154"/>
        <v>1</v>
      </c>
      <c r="D976" s="3237" t="s">
        <v>5171</v>
      </c>
      <c r="E976" s="3241">
        <f t="shared" si="155"/>
        <v>1</v>
      </c>
      <c r="F976" s="635"/>
      <c r="G976" s="3241">
        <f t="shared" si="156"/>
        <v>1</v>
      </c>
      <c r="H976" s="635"/>
      <c r="I976" s="3241">
        <f t="shared" si="157"/>
        <v>1</v>
      </c>
      <c r="J976" s="635"/>
      <c r="K976" s="3241">
        <f t="shared" si="158"/>
        <v>1</v>
      </c>
      <c r="L976" s="635"/>
      <c r="M976" s="3241">
        <f t="shared" si="159"/>
        <v>1</v>
      </c>
      <c r="N976" s="635"/>
      <c r="O976" s="3241">
        <f t="shared" si="160"/>
        <v>1</v>
      </c>
      <c r="P976" s="635"/>
      <c r="Q976" s="3241">
        <f t="shared" si="161"/>
        <v>1</v>
      </c>
      <c r="R976" s="3241">
        <f t="shared" ca="1" si="162"/>
        <v>5044</v>
      </c>
      <c r="S976" s="905">
        <f t="shared" ca="1" si="163"/>
        <v>18</v>
      </c>
    </row>
    <row r="977" spans="1:19">
      <c r="A977" s="3227" t="s">
        <v>4971</v>
      </c>
      <c r="B977" s="3233">
        <v>35.799999999999997</v>
      </c>
      <c r="C977" s="3241">
        <f t="shared" si="154"/>
        <v>1</v>
      </c>
      <c r="D977" s="3239" t="s">
        <v>4591</v>
      </c>
      <c r="E977" s="3241">
        <f t="shared" si="155"/>
        <v>1</v>
      </c>
      <c r="F977" s="635"/>
      <c r="G977" s="3241">
        <f t="shared" si="156"/>
        <v>1</v>
      </c>
      <c r="H977" s="635"/>
      <c r="I977" s="3241">
        <f t="shared" si="157"/>
        <v>1</v>
      </c>
      <c r="J977" s="635"/>
      <c r="K977" s="3241">
        <f t="shared" si="158"/>
        <v>1</v>
      </c>
      <c r="L977" s="635"/>
      <c r="M977" s="3241">
        <f t="shared" si="159"/>
        <v>1</v>
      </c>
      <c r="N977" s="635"/>
      <c r="O977" s="3241">
        <f t="shared" si="160"/>
        <v>1</v>
      </c>
      <c r="P977" s="635"/>
      <c r="Q977" s="3241">
        <f t="shared" si="161"/>
        <v>1</v>
      </c>
      <c r="R977" s="3241">
        <f t="shared" ca="1" si="162"/>
        <v>5044</v>
      </c>
      <c r="S977" s="905">
        <f t="shared" ca="1" si="163"/>
        <v>18</v>
      </c>
    </row>
    <row r="978" spans="1:19">
      <c r="A978" s="3227" t="s">
        <v>6138</v>
      </c>
      <c r="B978" s="3233">
        <v>35.799999999999997</v>
      </c>
      <c r="C978" s="3241">
        <f t="shared" si="154"/>
        <v>1</v>
      </c>
      <c r="D978" s="3237" t="s">
        <v>5171</v>
      </c>
      <c r="E978" s="3241">
        <f t="shared" si="155"/>
        <v>1</v>
      </c>
      <c r="F978" s="635"/>
      <c r="G978" s="3241">
        <f t="shared" si="156"/>
        <v>1</v>
      </c>
      <c r="H978" s="635"/>
      <c r="I978" s="3241">
        <f t="shared" si="157"/>
        <v>1</v>
      </c>
      <c r="J978" s="635"/>
      <c r="K978" s="3241">
        <f t="shared" si="158"/>
        <v>1</v>
      </c>
      <c r="L978" s="635"/>
      <c r="M978" s="3241">
        <f t="shared" si="159"/>
        <v>1</v>
      </c>
      <c r="N978" s="635"/>
      <c r="O978" s="3241">
        <f t="shared" si="160"/>
        <v>1</v>
      </c>
      <c r="P978" s="635"/>
      <c r="Q978" s="3241">
        <f t="shared" si="161"/>
        <v>1</v>
      </c>
      <c r="R978" s="3241">
        <f t="shared" ca="1" si="162"/>
        <v>5044</v>
      </c>
      <c r="S978" s="905">
        <f t="shared" ca="1" si="163"/>
        <v>18</v>
      </c>
    </row>
    <row r="979" spans="1:19">
      <c r="A979" s="3227" t="s">
        <v>4973</v>
      </c>
      <c r="B979" s="3233">
        <v>35.799999999999997</v>
      </c>
      <c r="C979" s="3241">
        <f t="shared" si="154"/>
        <v>1</v>
      </c>
      <c r="D979" s="3237" t="s">
        <v>4009</v>
      </c>
      <c r="E979" s="3241">
        <f t="shared" si="155"/>
        <v>1</v>
      </c>
      <c r="F979" s="635"/>
      <c r="G979" s="3241">
        <f t="shared" si="156"/>
        <v>1</v>
      </c>
      <c r="H979" s="635"/>
      <c r="I979" s="3241">
        <f t="shared" si="157"/>
        <v>1</v>
      </c>
      <c r="J979" s="635"/>
      <c r="K979" s="3241">
        <f t="shared" si="158"/>
        <v>1</v>
      </c>
      <c r="L979" s="635"/>
      <c r="M979" s="3241">
        <f t="shared" si="159"/>
        <v>1</v>
      </c>
      <c r="N979" s="635"/>
      <c r="O979" s="3241">
        <f t="shared" si="160"/>
        <v>1</v>
      </c>
      <c r="P979" s="635"/>
      <c r="Q979" s="3241">
        <f t="shared" si="161"/>
        <v>1</v>
      </c>
      <c r="R979" s="3241">
        <f t="shared" ca="1" si="162"/>
        <v>5044</v>
      </c>
      <c r="S979" s="905">
        <f t="shared" ca="1" si="163"/>
        <v>18</v>
      </c>
    </row>
    <row r="980" spans="1:19">
      <c r="A980" s="3227" t="s">
        <v>6140</v>
      </c>
      <c r="B980" s="3233">
        <v>35.799999999999997</v>
      </c>
      <c r="C980" s="3241">
        <f t="shared" si="154"/>
        <v>1</v>
      </c>
      <c r="D980" s="3237" t="s">
        <v>5171</v>
      </c>
      <c r="E980" s="3241">
        <f t="shared" si="155"/>
        <v>1</v>
      </c>
      <c r="F980" s="635"/>
      <c r="G980" s="3241">
        <f t="shared" si="156"/>
        <v>1</v>
      </c>
      <c r="H980" s="635"/>
      <c r="I980" s="3241">
        <f t="shared" si="157"/>
        <v>1</v>
      </c>
      <c r="J980" s="635"/>
      <c r="K980" s="3241">
        <f t="shared" si="158"/>
        <v>1</v>
      </c>
      <c r="L980" s="635"/>
      <c r="M980" s="3241">
        <f t="shared" si="159"/>
        <v>1</v>
      </c>
      <c r="N980" s="635"/>
      <c r="O980" s="3241">
        <f t="shared" si="160"/>
        <v>1</v>
      </c>
      <c r="P980" s="635"/>
      <c r="Q980" s="3241">
        <f t="shared" si="161"/>
        <v>1</v>
      </c>
      <c r="R980" s="3241">
        <f t="shared" ca="1" si="162"/>
        <v>5044</v>
      </c>
      <c r="S980" s="905">
        <f t="shared" ca="1" si="163"/>
        <v>18</v>
      </c>
    </row>
    <row r="981" spans="1:19">
      <c r="A981" s="3227" t="s">
        <v>4975</v>
      </c>
      <c r="B981" s="3228">
        <v>35.07</v>
      </c>
      <c r="C981" s="3241">
        <f t="shared" si="154"/>
        <v>1</v>
      </c>
      <c r="D981" s="3237" t="s">
        <v>4009</v>
      </c>
      <c r="E981" s="3241">
        <f t="shared" si="155"/>
        <v>1</v>
      </c>
      <c r="F981" s="635"/>
      <c r="G981" s="3241">
        <f t="shared" si="156"/>
        <v>1</v>
      </c>
      <c r="H981" s="635"/>
      <c r="I981" s="3241">
        <f t="shared" si="157"/>
        <v>1</v>
      </c>
      <c r="J981" s="635"/>
      <c r="K981" s="3241">
        <f t="shared" si="158"/>
        <v>1</v>
      </c>
      <c r="L981" s="635"/>
      <c r="M981" s="3241">
        <f t="shared" si="159"/>
        <v>1</v>
      </c>
      <c r="N981" s="635"/>
      <c r="O981" s="3241">
        <f t="shared" si="160"/>
        <v>1</v>
      </c>
      <c r="P981" s="635"/>
      <c r="Q981" s="3241">
        <f t="shared" si="161"/>
        <v>1</v>
      </c>
      <c r="R981" s="3241">
        <f t="shared" ca="1" si="162"/>
        <v>5044</v>
      </c>
      <c r="S981" s="905">
        <f t="shared" ca="1" si="163"/>
        <v>18</v>
      </c>
    </row>
    <row r="982" spans="1:19">
      <c r="A982" s="3227" t="s">
        <v>6142</v>
      </c>
      <c r="B982" s="3228">
        <v>35.07</v>
      </c>
      <c r="C982" s="3241">
        <f t="shared" si="154"/>
        <v>1</v>
      </c>
      <c r="D982" s="3237" t="s">
        <v>5171</v>
      </c>
      <c r="E982" s="3241">
        <f t="shared" si="155"/>
        <v>1</v>
      </c>
      <c r="F982" s="635"/>
      <c r="G982" s="3241">
        <f t="shared" si="156"/>
        <v>1</v>
      </c>
      <c r="H982" s="635"/>
      <c r="I982" s="3241">
        <f t="shared" si="157"/>
        <v>1</v>
      </c>
      <c r="J982" s="635"/>
      <c r="K982" s="3241">
        <f t="shared" si="158"/>
        <v>1</v>
      </c>
      <c r="L982" s="635"/>
      <c r="M982" s="3241">
        <f t="shared" si="159"/>
        <v>1</v>
      </c>
      <c r="N982" s="635"/>
      <c r="O982" s="3241">
        <f t="shared" si="160"/>
        <v>1</v>
      </c>
      <c r="P982" s="635"/>
      <c r="Q982" s="3241">
        <f t="shared" si="161"/>
        <v>1</v>
      </c>
      <c r="R982" s="3241">
        <f t="shared" ca="1" si="162"/>
        <v>5044</v>
      </c>
      <c r="S982" s="905">
        <f t="shared" ca="1" si="163"/>
        <v>18</v>
      </c>
    </row>
    <row r="983" spans="1:19">
      <c r="A983" s="3227" t="s">
        <v>4977</v>
      </c>
      <c r="B983" s="3228">
        <v>35.07</v>
      </c>
      <c r="C983" s="3241">
        <f t="shared" si="154"/>
        <v>1</v>
      </c>
      <c r="D983" s="3237" t="s">
        <v>4009</v>
      </c>
      <c r="E983" s="3241">
        <f t="shared" si="155"/>
        <v>1</v>
      </c>
      <c r="F983" s="635"/>
      <c r="G983" s="3241">
        <f t="shared" si="156"/>
        <v>1</v>
      </c>
      <c r="H983" s="635"/>
      <c r="I983" s="3241">
        <f t="shared" si="157"/>
        <v>1</v>
      </c>
      <c r="J983" s="635"/>
      <c r="K983" s="3241">
        <f t="shared" si="158"/>
        <v>1</v>
      </c>
      <c r="L983" s="635"/>
      <c r="M983" s="3241">
        <f t="shared" si="159"/>
        <v>1</v>
      </c>
      <c r="N983" s="635"/>
      <c r="O983" s="3241">
        <f t="shared" si="160"/>
        <v>1</v>
      </c>
      <c r="P983" s="635"/>
      <c r="Q983" s="3241">
        <f t="shared" si="161"/>
        <v>1</v>
      </c>
      <c r="R983" s="3241">
        <f t="shared" ca="1" si="162"/>
        <v>5044</v>
      </c>
      <c r="S983" s="905">
        <f t="shared" ca="1" si="163"/>
        <v>18</v>
      </c>
    </row>
    <row r="984" spans="1:19">
      <c r="A984" s="3227" t="s">
        <v>6144</v>
      </c>
      <c r="B984" s="3228">
        <v>35.07</v>
      </c>
      <c r="C984" s="3241">
        <f t="shared" si="154"/>
        <v>1</v>
      </c>
      <c r="D984" s="3237" t="s">
        <v>5171</v>
      </c>
      <c r="E984" s="3241">
        <f t="shared" si="155"/>
        <v>1</v>
      </c>
      <c r="F984" s="635"/>
      <c r="G984" s="3241">
        <f t="shared" si="156"/>
        <v>1</v>
      </c>
      <c r="H984" s="635"/>
      <c r="I984" s="3241">
        <f t="shared" si="157"/>
        <v>1</v>
      </c>
      <c r="J984" s="635"/>
      <c r="K984" s="3241">
        <f t="shared" si="158"/>
        <v>1</v>
      </c>
      <c r="L984" s="635"/>
      <c r="M984" s="3241">
        <f t="shared" si="159"/>
        <v>1</v>
      </c>
      <c r="N984" s="635"/>
      <c r="O984" s="3241">
        <f t="shared" si="160"/>
        <v>1</v>
      </c>
      <c r="P984" s="635"/>
      <c r="Q984" s="3241">
        <f t="shared" si="161"/>
        <v>1</v>
      </c>
      <c r="R984" s="3241">
        <f t="shared" ca="1" si="162"/>
        <v>5044</v>
      </c>
      <c r="S984" s="905">
        <f t="shared" ca="1" si="163"/>
        <v>18</v>
      </c>
    </row>
    <row r="985" spans="1:19">
      <c r="A985" s="3227" t="s">
        <v>4979</v>
      </c>
      <c r="B985" s="3228">
        <v>35.07</v>
      </c>
      <c r="C985" s="3241">
        <f t="shared" si="154"/>
        <v>1</v>
      </c>
      <c r="D985" s="3237" t="s">
        <v>4009</v>
      </c>
      <c r="E985" s="3241">
        <f t="shared" si="155"/>
        <v>1</v>
      </c>
      <c r="F985" s="635"/>
      <c r="G985" s="3241">
        <f t="shared" si="156"/>
        <v>1</v>
      </c>
      <c r="H985" s="635"/>
      <c r="I985" s="3241">
        <f t="shared" si="157"/>
        <v>1</v>
      </c>
      <c r="J985" s="635"/>
      <c r="K985" s="3241">
        <f t="shared" si="158"/>
        <v>1</v>
      </c>
      <c r="L985" s="635"/>
      <c r="M985" s="3241">
        <f t="shared" si="159"/>
        <v>1</v>
      </c>
      <c r="N985" s="635"/>
      <c r="O985" s="3241">
        <f t="shared" si="160"/>
        <v>1</v>
      </c>
      <c r="P985" s="635"/>
      <c r="Q985" s="3241">
        <f t="shared" si="161"/>
        <v>1</v>
      </c>
      <c r="R985" s="3241">
        <f t="shared" ca="1" si="162"/>
        <v>5044</v>
      </c>
      <c r="S985" s="905">
        <f t="shared" ca="1" si="163"/>
        <v>18</v>
      </c>
    </row>
    <row r="986" spans="1:19">
      <c r="A986" s="3227" t="s">
        <v>6146</v>
      </c>
      <c r="B986" s="3228">
        <v>35.07</v>
      </c>
      <c r="C986" s="3241">
        <f t="shared" ref="C986:C1049" si="164">IF(B986="",1,(LOOKUP(B986,$3:$3,$4:$4)-LOOKUP($B$24,$3:$3,$4:$4)+100)/100)</f>
        <v>1</v>
      </c>
      <c r="D986" s="3237" t="s">
        <v>5171</v>
      </c>
      <c r="E986" s="3241">
        <f t="shared" si="155"/>
        <v>1</v>
      </c>
      <c r="F986" s="635"/>
      <c r="G986" s="3241">
        <f t="shared" si="156"/>
        <v>1</v>
      </c>
      <c r="H986" s="635"/>
      <c r="I986" s="3241">
        <f t="shared" si="157"/>
        <v>1</v>
      </c>
      <c r="J986" s="635"/>
      <c r="K986" s="3241">
        <f t="shared" si="158"/>
        <v>1</v>
      </c>
      <c r="L986" s="635"/>
      <c r="M986" s="3241">
        <f t="shared" si="159"/>
        <v>1</v>
      </c>
      <c r="N986" s="635"/>
      <c r="O986" s="3241">
        <f t="shared" si="160"/>
        <v>1</v>
      </c>
      <c r="P986" s="635"/>
      <c r="Q986" s="3241">
        <f t="shared" si="161"/>
        <v>1</v>
      </c>
      <c r="R986" s="3241">
        <f t="shared" ca="1" si="162"/>
        <v>5044</v>
      </c>
      <c r="S986" s="905">
        <f t="shared" ca="1" si="163"/>
        <v>18</v>
      </c>
    </row>
    <row r="987" spans="1:19">
      <c r="A987" s="3227" t="s">
        <v>4981</v>
      </c>
      <c r="B987" s="3228">
        <v>35.07</v>
      </c>
      <c r="C987" s="3241">
        <f t="shared" si="164"/>
        <v>1</v>
      </c>
      <c r="D987" s="3237" t="s">
        <v>4009</v>
      </c>
      <c r="E987" s="3241">
        <f t="shared" si="155"/>
        <v>1</v>
      </c>
      <c r="F987" s="635"/>
      <c r="G987" s="3241">
        <f t="shared" si="156"/>
        <v>1</v>
      </c>
      <c r="H987" s="635"/>
      <c r="I987" s="3241">
        <f t="shared" si="157"/>
        <v>1</v>
      </c>
      <c r="J987" s="635"/>
      <c r="K987" s="3241">
        <f t="shared" si="158"/>
        <v>1</v>
      </c>
      <c r="L987" s="635"/>
      <c r="M987" s="3241">
        <f t="shared" si="159"/>
        <v>1</v>
      </c>
      <c r="N987" s="635"/>
      <c r="O987" s="3241">
        <f t="shared" si="160"/>
        <v>1</v>
      </c>
      <c r="P987" s="635"/>
      <c r="Q987" s="3241">
        <f t="shared" si="161"/>
        <v>1</v>
      </c>
      <c r="R987" s="3241">
        <f t="shared" ca="1" si="162"/>
        <v>5044</v>
      </c>
      <c r="S987" s="905">
        <f t="shared" ca="1" si="163"/>
        <v>18</v>
      </c>
    </row>
    <row r="988" spans="1:19">
      <c r="A988" s="3227" t="s">
        <v>6148</v>
      </c>
      <c r="B988" s="3228">
        <v>35.07</v>
      </c>
      <c r="C988" s="3241">
        <f t="shared" si="164"/>
        <v>1</v>
      </c>
      <c r="D988" s="3237" t="s">
        <v>5171</v>
      </c>
      <c r="E988" s="3241">
        <f t="shared" si="155"/>
        <v>1</v>
      </c>
      <c r="F988" s="635"/>
      <c r="G988" s="3241">
        <f t="shared" si="156"/>
        <v>1</v>
      </c>
      <c r="H988" s="635"/>
      <c r="I988" s="3241">
        <f t="shared" si="157"/>
        <v>1</v>
      </c>
      <c r="J988" s="635"/>
      <c r="K988" s="3241">
        <f t="shared" si="158"/>
        <v>1</v>
      </c>
      <c r="L988" s="635"/>
      <c r="M988" s="3241">
        <f t="shared" si="159"/>
        <v>1</v>
      </c>
      <c r="N988" s="635"/>
      <c r="O988" s="3241">
        <f t="shared" si="160"/>
        <v>1</v>
      </c>
      <c r="P988" s="635"/>
      <c r="Q988" s="3241">
        <f t="shared" si="161"/>
        <v>1</v>
      </c>
      <c r="R988" s="3241">
        <f t="shared" ca="1" si="162"/>
        <v>5044</v>
      </c>
      <c r="S988" s="905">
        <f t="shared" ca="1" si="163"/>
        <v>18</v>
      </c>
    </row>
    <row r="989" spans="1:19">
      <c r="A989" s="3227" t="s">
        <v>4983</v>
      </c>
      <c r="B989" s="3228">
        <v>35.07</v>
      </c>
      <c r="C989" s="3241">
        <f t="shared" si="164"/>
        <v>1</v>
      </c>
      <c r="D989" s="3237" t="s">
        <v>4009</v>
      </c>
      <c r="E989" s="3241">
        <f t="shared" si="155"/>
        <v>1</v>
      </c>
      <c r="F989" s="635"/>
      <c r="G989" s="3241">
        <f t="shared" si="156"/>
        <v>1</v>
      </c>
      <c r="H989" s="635"/>
      <c r="I989" s="3241">
        <f t="shared" si="157"/>
        <v>1</v>
      </c>
      <c r="J989" s="635"/>
      <c r="K989" s="3241">
        <f t="shared" si="158"/>
        <v>1</v>
      </c>
      <c r="L989" s="635"/>
      <c r="M989" s="3241">
        <f t="shared" si="159"/>
        <v>1</v>
      </c>
      <c r="N989" s="635"/>
      <c r="O989" s="3241">
        <f t="shared" si="160"/>
        <v>1</v>
      </c>
      <c r="P989" s="635"/>
      <c r="Q989" s="3241">
        <f t="shared" si="161"/>
        <v>1</v>
      </c>
      <c r="R989" s="3241">
        <f t="shared" ca="1" si="162"/>
        <v>5044</v>
      </c>
      <c r="S989" s="905">
        <f t="shared" ca="1" si="163"/>
        <v>18</v>
      </c>
    </row>
    <row r="990" spans="1:19">
      <c r="A990" s="3227" t="s">
        <v>6150</v>
      </c>
      <c r="B990" s="3228">
        <v>35.07</v>
      </c>
      <c r="C990" s="3241">
        <f t="shared" si="164"/>
        <v>1</v>
      </c>
      <c r="D990" s="3237" t="s">
        <v>5171</v>
      </c>
      <c r="E990" s="3241">
        <f t="shared" si="155"/>
        <v>1</v>
      </c>
      <c r="F990" s="635"/>
      <c r="G990" s="3241">
        <f t="shared" si="156"/>
        <v>1</v>
      </c>
      <c r="H990" s="635"/>
      <c r="I990" s="3241">
        <f t="shared" si="157"/>
        <v>1</v>
      </c>
      <c r="J990" s="635"/>
      <c r="K990" s="3241">
        <f t="shared" si="158"/>
        <v>1</v>
      </c>
      <c r="L990" s="635"/>
      <c r="M990" s="3241">
        <f t="shared" si="159"/>
        <v>1</v>
      </c>
      <c r="N990" s="635"/>
      <c r="O990" s="3241">
        <f t="shared" si="160"/>
        <v>1</v>
      </c>
      <c r="P990" s="635"/>
      <c r="Q990" s="3241">
        <f t="shared" si="161"/>
        <v>1</v>
      </c>
      <c r="R990" s="3241">
        <f t="shared" ca="1" si="162"/>
        <v>5044</v>
      </c>
      <c r="S990" s="905">
        <f t="shared" ca="1" si="163"/>
        <v>18</v>
      </c>
    </row>
    <row r="991" spans="1:19">
      <c r="A991" s="3227" t="s">
        <v>4985</v>
      </c>
      <c r="B991" s="3228">
        <v>35.07</v>
      </c>
      <c r="C991" s="3241">
        <f t="shared" si="164"/>
        <v>1</v>
      </c>
      <c r="D991" s="3237" t="s">
        <v>4009</v>
      </c>
      <c r="E991" s="3241">
        <f t="shared" si="155"/>
        <v>1</v>
      </c>
      <c r="F991" s="635"/>
      <c r="G991" s="3241">
        <f t="shared" si="156"/>
        <v>1</v>
      </c>
      <c r="H991" s="635"/>
      <c r="I991" s="3241">
        <f t="shared" si="157"/>
        <v>1</v>
      </c>
      <c r="J991" s="635"/>
      <c r="K991" s="3241">
        <f t="shared" si="158"/>
        <v>1</v>
      </c>
      <c r="L991" s="635"/>
      <c r="M991" s="3241">
        <f t="shared" si="159"/>
        <v>1</v>
      </c>
      <c r="N991" s="635"/>
      <c r="O991" s="3241">
        <f t="shared" si="160"/>
        <v>1</v>
      </c>
      <c r="P991" s="635"/>
      <c r="Q991" s="3241">
        <f t="shared" si="161"/>
        <v>1</v>
      </c>
      <c r="R991" s="3241">
        <f t="shared" ca="1" si="162"/>
        <v>5044</v>
      </c>
      <c r="S991" s="905">
        <f t="shared" ca="1" si="163"/>
        <v>18</v>
      </c>
    </row>
    <row r="992" spans="1:19">
      <c r="A992" s="3227" t="s">
        <v>6152</v>
      </c>
      <c r="B992" s="3228">
        <v>35.07</v>
      </c>
      <c r="C992" s="3241">
        <f t="shared" si="164"/>
        <v>1</v>
      </c>
      <c r="D992" s="3237" t="s">
        <v>5171</v>
      </c>
      <c r="E992" s="3241">
        <f t="shared" si="155"/>
        <v>1</v>
      </c>
      <c r="F992" s="635"/>
      <c r="G992" s="3241">
        <f t="shared" si="156"/>
        <v>1</v>
      </c>
      <c r="H992" s="635"/>
      <c r="I992" s="3241">
        <f t="shared" si="157"/>
        <v>1</v>
      </c>
      <c r="J992" s="635"/>
      <c r="K992" s="3241">
        <f t="shared" si="158"/>
        <v>1</v>
      </c>
      <c r="L992" s="635"/>
      <c r="M992" s="3241">
        <f t="shared" si="159"/>
        <v>1</v>
      </c>
      <c r="N992" s="635"/>
      <c r="O992" s="3241">
        <f t="shared" si="160"/>
        <v>1</v>
      </c>
      <c r="P992" s="635"/>
      <c r="Q992" s="3241">
        <f t="shared" si="161"/>
        <v>1</v>
      </c>
      <c r="R992" s="3241">
        <f t="shared" ca="1" si="162"/>
        <v>5044</v>
      </c>
      <c r="S992" s="905">
        <f t="shared" ca="1" si="163"/>
        <v>18</v>
      </c>
    </row>
    <row r="993" spans="1:19">
      <c r="A993" s="3227" t="s">
        <v>4987</v>
      </c>
      <c r="B993" s="3228">
        <v>35.07</v>
      </c>
      <c r="C993" s="3241">
        <f t="shared" si="164"/>
        <v>1</v>
      </c>
      <c r="D993" s="3237" t="s">
        <v>4009</v>
      </c>
      <c r="E993" s="3241">
        <f t="shared" si="155"/>
        <v>1</v>
      </c>
      <c r="F993" s="635"/>
      <c r="G993" s="3241">
        <f t="shared" si="156"/>
        <v>1</v>
      </c>
      <c r="H993" s="635"/>
      <c r="I993" s="3241">
        <f t="shared" si="157"/>
        <v>1</v>
      </c>
      <c r="J993" s="635"/>
      <c r="K993" s="3241">
        <f t="shared" si="158"/>
        <v>1</v>
      </c>
      <c r="L993" s="635"/>
      <c r="M993" s="3241">
        <f t="shared" si="159"/>
        <v>1</v>
      </c>
      <c r="N993" s="635"/>
      <c r="O993" s="3241">
        <f t="shared" si="160"/>
        <v>1</v>
      </c>
      <c r="P993" s="635"/>
      <c r="Q993" s="3241">
        <f t="shared" si="161"/>
        <v>1</v>
      </c>
      <c r="R993" s="3241">
        <f t="shared" ca="1" si="162"/>
        <v>5044</v>
      </c>
      <c r="S993" s="905">
        <f t="shared" ca="1" si="163"/>
        <v>18</v>
      </c>
    </row>
    <row r="994" spans="1:19">
      <c r="A994" s="3227" t="s">
        <v>6154</v>
      </c>
      <c r="B994" s="3228">
        <v>35.07</v>
      </c>
      <c r="C994" s="3241">
        <f t="shared" si="164"/>
        <v>1</v>
      </c>
      <c r="D994" s="3237" t="s">
        <v>5171</v>
      </c>
      <c r="E994" s="3241">
        <f t="shared" si="155"/>
        <v>1</v>
      </c>
      <c r="F994" s="635"/>
      <c r="G994" s="3241">
        <f t="shared" si="156"/>
        <v>1</v>
      </c>
      <c r="H994" s="635"/>
      <c r="I994" s="3241">
        <f t="shared" si="157"/>
        <v>1</v>
      </c>
      <c r="J994" s="635"/>
      <c r="K994" s="3241">
        <f t="shared" si="158"/>
        <v>1</v>
      </c>
      <c r="L994" s="635"/>
      <c r="M994" s="3241">
        <f t="shared" si="159"/>
        <v>1</v>
      </c>
      <c r="N994" s="635"/>
      <c r="O994" s="3241">
        <f t="shared" si="160"/>
        <v>1</v>
      </c>
      <c r="P994" s="635"/>
      <c r="Q994" s="3241">
        <f t="shared" si="161"/>
        <v>1</v>
      </c>
      <c r="R994" s="3241">
        <f t="shared" ca="1" si="162"/>
        <v>5044</v>
      </c>
      <c r="S994" s="905">
        <f t="shared" ca="1" si="163"/>
        <v>18</v>
      </c>
    </row>
    <row r="995" spans="1:19">
      <c r="A995" s="3227" t="s">
        <v>4989</v>
      </c>
      <c r="B995" s="3228">
        <v>35.07</v>
      </c>
      <c r="C995" s="3241">
        <f t="shared" si="164"/>
        <v>1</v>
      </c>
      <c r="D995" s="3237" t="s">
        <v>4009</v>
      </c>
      <c r="E995" s="3241">
        <f t="shared" si="155"/>
        <v>1</v>
      </c>
      <c r="F995" s="635"/>
      <c r="G995" s="3241">
        <f t="shared" si="156"/>
        <v>1</v>
      </c>
      <c r="H995" s="635"/>
      <c r="I995" s="3241">
        <f t="shared" si="157"/>
        <v>1</v>
      </c>
      <c r="J995" s="635"/>
      <c r="K995" s="3241">
        <f t="shared" si="158"/>
        <v>1</v>
      </c>
      <c r="L995" s="635"/>
      <c r="M995" s="3241">
        <f t="shared" si="159"/>
        <v>1</v>
      </c>
      <c r="N995" s="635"/>
      <c r="O995" s="3241">
        <f t="shared" si="160"/>
        <v>1</v>
      </c>
      <c r="P995" s="635"/>
      <c r="Q995" s="3241">
        <f t="shared" si="161"/>
        <v>1</v>
      </c>
      <c r="R995" s="3241">
        <f t="shared" ca="1" si="162"/>
        <v>5044</v>
      </c>
      <c r="S995" s="905">
        <f t="shared" ca="1" si="163"/>
        <v>18</v>
      </c>
    </row>
    <row r="996" spans="1:19">
      <c r="A996" s="3227" t="s">
        <v>6156</v>
      </c>
      <c r="B996" s="3228">
        <v>35.07</v>
      </c>
      <c r="C996" s="3241">
        <f t="shared" si="164"/>
        <v>1</v>
      </c>
      <c r="D996" s="3237" t="s">
        <v>5171</v>
      </c>
      <c r="E996" s="3241">
        <f t="shared" si="155"/>
        <v>1</v>
      </c>
      <c r="F996" s="635"/>
      <c r="G996" s="3241">
        <f t="shared" si="156"/>
        <v>1</v>
      </c>
      <c r="H996" s="635"/>
      <c r="I996" s="3241">
        <f t="shared" si="157"/>
        <v>1</v>
      </c>
      <c r="J996" s="635"/>
      <c r="K996" s="3241">
        <f t="shared" si="158"/>
        <v>1</v>
      </c>
      <c r="L996" s="635"/>
      <c r="M996" s="3241">
        <f t="shared" si="159"/>
        <v>1</v>
      </c>
      <c r="N996" s="635"/>
      <c r="O996" s="3241">
        <f t="shared" si="160"/>
        <v>1</v>
      </c>
      <c r="P996" s="635"/>
      <c r="Q996" s="3241">
        <f t="shared" si="161"/>
        <v>1</v>
      </c>
      <c r="R996" s="3241">
        <f t="shared" ca="1" si="162"/>
        <v>5044</v>
      </c>
      <c r="S996" s="905">
        <f t="shared" ca="1" si="163"/>
        <v>18</v>
      </c>
    </row>
    <row r="997" spans="1:19">
      <c r="A997" s="3227" t="s">
        <v>4991</v>
      </c>
      <c r="B997" s="3228">
        <v>35.07</v>
      </c>
      <c r="C997" s="3241">
        <f t="shared" si="164"/>
        <v>1</v>
      </c>
      <c r="D997" s="3237" t="s">
        <v>4009</v>
      </c>
      <c r="E997" s="3241">
        <f t="shared" si="155"/>
        <v>1</v>
      </c>
      <c r="F997" s="635"/>
      <c r="G997" s="3241">
        <f t="shared" si="156"/>
        <v>1</v>
      </c>
      <c r="H997" s="635"/>
      <c r="I997" s="3241">
        <f t="shared" si="157"/>
        <v>1</v>
      </c>
      <c r="J997" s="635"/>
      <c r="K997" s="3241">
        <f t="shared" si="158"/>
        <v>1</v>
      </c>
      <c r="L997" s="635"/>
      <c r="M997" s="3241">
        <f t="shared" si="159"/>
        <v>1</v>
      </c>
      <c r="N997" s="635"/>
      <c r="O997" s="3241">
        <f t="shared" si="160"/>
        <v>1</v>
      </c>
      <c r="P997" s="635"/>
      <c r="Q997" s="3241">
        <f t="shared" si="161"/>
        <v>1</v>
      </c>
      <c r="R997" s="3241">
        <f t="shared" ca="1" si="162"/>
        <v>5044</v>
      </c>
      <c r="S997" s="905">
        <f t="shared" ca="1" si="163"/>
        <v>18</v>
      </c>
    </row>
    <row r="998" spans="1:19">
      <c r="A998" s="3227" t="s">
        <v>6158</v>
      </c>
      <c r="B998" s="3228">
        <v>35.07</v>
      </c>
      <c r="C998" s="3241">
        <f t="shared" si="164"/>
        <v>1</v>
      </c>
      <c r="D998" s="3237" t="s">
        <v>5171</v>
      </c>
      <c r="E998" s="3241">
        <f t="shared" si="155"/>
        <v>1</v>
      </c>
      <c r="F998" s="635"/>
      <c r="G998" s="3241">
        <f t="shared" si="156"/>
        <v>1</v>
      </c>
      <c r="H998" s="635"/>
      <c r="I998" s="3241">
        <f t="shared" si="157"/>
        <v>1</v>
      </c>
      <c r="J998" s="635"/>
      <c r="K998" s="3241">
        <f t="shared" si="158"/>
        <v>1</v>
      </c>
      <c r="L998" s="635"/>
      <c r="M998" s="3241">
        <f t="shared" si="159"/>
        <v>1</v>
      </c>
      <c r="N998" s="635"/>
      <c r="O998" s="3241">
        <f t="shared" si="160"/>
        <v>1</v>
      </c>
      <c r="P998" s="635"/>
      <c r="Q998" s="3241">
        <f t="shared" si="161"/>
        <v>1</v>
      </c>
      <c r="R998" s="3241">
        <f t="shared" ca="1" si="162"/>
        <v>5044</v>
      </c>
      <c r="S998" s="905">
        <f t="shared" ca="1" si="163"/>
        <v>18</v>
      </c>
    </row>
    <row r="999" spans="1:19">
      <c r="A999" s="3227" t="s">
        <v>4993</v>
      </c>
      <c r="B999" s="3228">
        <v>35.07</v>
      </c>
      <c r="C999" s="3241">
        <f t="shared" si="164"/>
        <v>1</v>
      </c>
      <c r="D999" s="3237" t="s">
        <v>4009</v>
      </c>
      <c r="E999" s="3241">
        <f t="shared" si="155"/>
        <v>1</v>
      </c>
      <c r="F999" s="635"/>
      <c r="G999" s="3241">
        <f t="shared" si="156"/>
        <v>1</v>
      </c>
      <c r="H999" s="635"/>
      <c r="I999" s="3241">
        <f t="shared" si="157"/>
        <v>1</v>
      </c>
      <c r="J999" s="635"/>
      <c r="K999" s="3241">
        <f t="shared" si="158"/>
        <v>1</v>
      </c>
      <c r="L999" s="635"/>
      <c r="M999" s="3241">
        <f t="shared" si="159"/>
        <v>1</v>
      </c>
      <c r="N999" s="635"/>
      <c r="O999" s="3241">
        <f t="shared" si="160"/>
        <v>1</v>
      </c>
      <c r="P999" s="635"/>
      <c r="Q999" s="3241">
        <f t="shared" si="161"/>
        <v>1</v>
      </c>
      <c r="R999" s="3241">
        <f t="shared" ca="1" si="162"/>
        <v>5044</v>
      </c>
      <c r="S999" s="905">
        <f t="shared" ca="1" si="163"/>
        <v>18</v>
      </c>
    </row>
    <row r="1000" spans="1:19">
      <c r="A1000" s="3227" t="s">
        <v>6160</v>
      </c>
      <c r="B1000" s="3228">
        <v>35.07</v>
      </c>
      <c r="C1000" s="3241">
        <f t="shared" si="164"/>
        <v>1</v>
      </c>
      <c r="D1000" s="3237" t="s">
        <v>5171</v>
      </c>
      <c r="E1000" s="3241">
        <f t="shared" si="155"/>
        <v>1</v>
      </c>
      <c r="F1000" s="635"/>
      <c r="G1000" s="3241">
        <f t="shared" si="156"/>
        <v>1</v>
      </c>
      <c r="H1000" s="635"/>
      <c r="I1000" s="3241">
        <f t="shared" si="157"/>
        <v>1</v>
      </c>
      <c r="J1000" s="635"/>
      <c r="K1000" s="3241">
        <f t="shared" si="158"/>
        <v>1</v>
      </c>
      <c r="L1000" s="635"/>
      <c r="M1000" s="3241">
        <f t="shared" si="159"/>
        <v>1</v>
      </c>
      <c r="N1000" s="635"/>
      <c r="O1000" s="3241">
        <f t="shared" si="160"/>
        <v>1</v>
      </c>
      <c r="P1000" s="635"/>
      <c r="Q1000" s="3241">
        <f t="shared" si="161"/>
        <v>1</v>
      </c>
      <c r="R1000" s="3241">
        <f t="shared" ca="1" si="162"/>
        <v>5044</v>
      </c>
      <c r="S1000" s="905">
        <f t="shared" ca="1" si="163"/>
        <v>18</v>
      </c>
    </row>
    <row r="1001" spans="1:19">
      <c r="A1001" s="3227" t="s">
        <v>4995</v>
      </c>
      <c r="B1001" s="3228">
        <v>35.07</v>
      </c>
      <c r="C1001" s="3241">
        <f t="shared" si="164"/>
        <v>1</v>
      </c>
      <c r="D1001" s="3237" t="s">
        <v>4009</v>
      </c>
      <c r="E1001" s="3241">
        <f t="shared" si="155"/>
        <v>1</v>
      </c>
      <c r="F1001" s="635"/>
      <c r="G1001" s="3241">
        <f t="shared" si="156"/>
        <v>1</v>
      </c>
      <c r="H1001" s="635"/>
      <c r="I1001" s="3241">
        <f t="shared" si="157"/>
        <v>1</v>
      </c>
      <c r="J1001" s="635"/>
      <c r="K1001" s="3241">
        <f t="shared" si="158"/>
        <v>1</v>
      </c>
      <c r="L1001" s="635"/>
      <c r="M1001" s="3241">
        <f t="shared" si="159"/>
        <v>1</v>
      </c>
      <c r="N1001" s="635"/>
      <c r="O1001" s="3241">
        <f t="shared" si="160"/>
        <v>1</v>
      </c>
      <c r="P1001" s="635"/>
      <c r="Q1001" s="3241">
        <f t="shared" si="161"/>
        <v>1</v>
      </c>
      <c r="R1001" s="3241">
        <f t="shared" ca="1" si="162"/>
        <v>5044</v>
      </c>
      <c r="S1001" s="905">
        <f t="shared" ca="1" si="163"/>
        <v>18</v>
      </c>
    </row>
    <row r="1002" spans="1:19">
      <c r="A1002" s="3227" t="s">
        <v>6162</v>
      </c>
      <c r="B1002" s="3228">
        <v>35.07</v>
      </c>
      <c r="C1002" s="3241">
        <f t="shared" si="164"/>
        <v>1</v>
      </c>
      <c r="D1002" s="3237" t="s">
        <v>5171</v>
      </c>
      <c r="E1002" s="3241">
        <f t="shared" si="155"/>
        <v>1</v>
      </c>
      <c r="F1002" s="635"/>
      <c r="G1002" s="3241">
        <f t="shared" si="156"/>
        <v>1</v>
      </c>
      <c r="H1002" s="635"/>
      <c r="I1002" s="3241">
        <f t="shared" si="157"/>
        <v>1</v>
      </c>
      <c r="J1002" s="635"/>
      <c r="K1002" s="3241">
        <f t="shared" si="158"/>
        <v>1</v>
      </c>
      <c r="L1002" s="635"/>
      <c r="M1002" s="3241">
        <f t="shared" si="159"/>
        <v>1</v>
      </c>
      <c r="N1002" s="635"/>
      <c r="O1002" s="3241">
        <f t="shared" si="160"/>
        <v>1</v>
      </c>
      <c r="P1002" s="635"/>
      <c r="Q1002" s="3241">
        <f t="shared" si="161"/>
        <v>1</v>
      </c>
      <c r="R1002" s="3241">
        <f t="shared" ca="1" si="162"/>
        <v>5044</v>
      </c>
      <c r="S1002" s="905">
        <f t="shared" ca="1" si="163"/>
        <v>18</v>
      </c>
    </row>
    <row r="1003" spans="1:19">
      <c r="A1003" s="3227" t="s">
        <v>4997</v>
      </c>
      <c r="B1003" s="3228">
        <v>35.07</v>
      </c>
      <c r="C1003" s="3241">
        <f t="shared" si="164"/>
        <v>1</v>
      </c>
      <c r="D1003" s="3237" t="s">
        <v>4009</v>
      </c>
      <c r="E1003" s="3241">
        <f t="shared" si="155"/>
        <v>1</v>
      </c>
      <c r="F1003" s="635"/>
      <c r="G1003" s="3241">
        <f t="shared" si="156"/>
        <v>1</v>
      </c>
      <c r="H1003" s="635"/>
      <c r="I1003" s="3241">
        <f t="shared" si="157"/>
        <v>1</v>
      </c>
      <c r="J1003" s="635"/>
      <c r="K1003" s="3241">
        <f t="shared" si="158"/>
        <v>1</v>
      </c>
      <c r="L1003" s="635"/>
      <c r="M1003" s="3241">
        <f t="shared" si="159"/>
        <v>1</v>
      </c>
      <c r="N1003" s="635"/>
      <c r="O1003" s="3241">
        <f t="shared" si="160"/>
        <v>1</v>
      </c>
      <c r="P1003" s="635"/>
      <c r="Q1003" s="3241">
        <f t="shared" si="161"/>
        <v>1</v>
      </c>
      <c r="R1003" s="3241">
        <f t="shared" ca="1" si="162"/>
        <v>5044</v>
      </c>
      <c r="S1003" s="905">
        <f t="shared" ca="1" si="163"/>
        <v>18</v>
      </c>
    </row>
    <row r="1004" spans="1:19">
      <c r="A1004" s="3227" t="s">
        <v>6164</v>
      </c>
      <c r="B1004" s="3228">
        <v>35.07</v>
      </c>
      <c r="C1004" s="3241">
        <f t="shared" si="164"/>
        <v>1</v>
      </c>
      <c r="D1004" s="3237" t="s">
        <v>5171</v>
      </c>
      <c r="E1004" s="3241">
        <f t="shared" si="155"/>
        <v>1</v>
      </c>
      <c r="F1004" s="635"/>
      <c r="G1004" s="3241">
        <f t="shared" si="156"/>
        <v>1</v>
      </c>
      <c r="H1004" s="635"/>
      <c r="I1004" s="3241">
        <f t="shared" si="157"/>
        <v>1</v>
      </c>
      <c r="J1004" s="635"/>
      <c r="K1004" s="3241">
        <f t="shared" si="158"/>
        <v>1</v>
      </c>
      <c r="L1004" s="635"/>
      <c r="M1004" s="3241">
        <f t="shared" si="159"/>
        <v>1</v>
      </c>
      <c r="N1004" s="635"/>
      <c r="O1004" s="3241">
        <f t="shared" si="160"/>
        <v>1</v>
      </c>
      <c r="P1004" s="635"/>
      <c r="Q1004" s="3241">
        <f t="shared" si="161"/>
        <v>1</v>
      </c>
      <c r="R1004" s="3241">
        <f t="shared" ca="1" si="162"/>
        <v>5044</v>
      </c>
      <c r="S1004" s="905">
        <f t="shared" ca="1" si="163"/>
        <v>18</v>
      </c>
    </row>
    <row r="1005" spans="1:19">
      <c r="A1005" s="3227" t="s">
        <v>4999</v>
      </c>
      <c r="B1005" s="3228">
        <v>35.07</v>
      </c>
      <c r="C1005" s="3241">
        <f t="shared" si="164"/>
        <v>1</v>
      </c>
      <c r="D1005" s="3237" t="s">
        <v>4009</v>
      </c>
      <c r="E1005" s="3241">
        <f t="shared" si="155"/>
        <v>1</v>
      </c>
      <c r="F1005" s="635"/>
      <c r="G1005" s="3241">
        <f t="shared" si="156"/>
        <v>1</v>
      </c>
      <c r="H1005" s="635"/>
      <c r="I1005" s="3241">
        <f t="shared" si="157"/>
        <v>1</v>
      </c>
      <c r="J1005" s="635"/>
      <c r="K1005" s="3241">
        <f t="shared" si="158"/>
        <v>1</v>
      </c>
      <c r="L1005" s="635"/>
      <c r="M1005" s="3241">
        <f t="shared" si="159"/>
        <v>1</v>
      </c>
      <c r="N1005" s="635"/>
      <c r="O1005" s="3241">
        <f t="shared" si="160"/>
        <v>1</v>
      </c>
      <c r="P1005" s="635"/>
      <c r="Q1005" s="3241">
        <f t="shared" si="161"/>
        <v>1</v>
      </c>
      <c r="R1005" s="3241">
        <f t="shared" ca="1" si="162"/>
        <v>5044</v>
      </c>
      <c r="S1005" s="905">
        <f t="shared" ca="1" si="163"/>
        <v>18</v>
      </c>
    </row>
    <row r="1006" spans="1:19">
      <c r="A1006" s="3227" t="s">
        <v>6166</v>
      </c>
      <c r="B1006" s="3228">
        <v>35.07</v>
      </c>
      <c r="C1006" s="3241">
        <f t="shared" si="164"/>
        <v>1</v>
      </c>
      <c r="D1006" s="3237" t="s">
        <v>5171</v>
      </c>
      <c r="E1006" s="3241">
        <f t="shared" si="155"/>
        <v>1</v>
      </c>
      <c r="F1006" s="635"/>
      <c r="G1006" s="3241">
        <f t="shared" si="156"/>
        <v>1</v>
      </c>
      <c r="H1006" s="635"/>
      <c r="I1006" s="3241">
        <f t="shared" si="157"/>
        <v>1</v>
      </c>
      <c r="J1006" s="635"/>
      <c r="K1006" s="3241">
        <f t="shared" si="158"/>
        <v>1</v>
      </c>
      <c r="L1006" s="635"/>
      <c r="M1006" s="3241">
        <f t="shared" si="159"/>
        <v>1</v>
      </c>
      <c r="N1006" s="635"/>
      <c r="O1006" s="3241">
        <f t="shared" si="160"/>
        <v>1</v>
      </c>
      <c r="P1006" s="635"/>
      <c r="Q1006" s="3241">
        <f t="shared" si="161"/>
        <v>1</v>
      </c>
      <c r="R1006" s="3241">
        <f t="shared" ca="1" si="162"/>
        <v>5044</v>
      </c>
      <c r="S1006" s="905">
        <f t="shared" ca="1" si="163"/>
        <v>18</v>
      </c>
    </row>
    <row r="1007" spans="1:19">
      <c r="A1007" s="3227" t="s">
        <v>5001</v>
      </c>
      <c r="B1007" s="3228">
        <v>35.07</v>
      </c>
      <c r="C1007" s="3241">
        <f t="shared" si="164"/>
        <v>1</v>
      </c>
      <c r="D1007" s="3237" t="s">
        <v>4009</v>
      </c>
      <c r="E1007" s="3241">
        <f t="shared" si="155"/>
        <v>1</v>
      </c>
      <c r="F1007" s="635"/>
      <c r="G1007" s="3241">
        <f t="shared" si="156"/>
        <v>1</v>
      </c>
      <c r="H1007" s="635"/>
      <c r="I1007" s="3241">
        <f t="shared" si="157"/>
        <v>1</v>
      </c>
      <c r="J1007" s="635"/>
      <c r="K1007" s="3241">
        <f t="shared" si="158"/>
        <v>1</v>
      </c>
      <c r="L1007" s="635"/>
      <c r="M1007" s="3241">
        <f t="shared" si="159"/>
        <v>1</v>
      </c>
      <c r="N1007" s="635"/>
      <c r="O1007" s="3241">
        <f t="shared" si="160"/>
        <v>1</v>
      </c>
      <c r="P1007" s="635"/>
      <c r="Q1007" s="3241">
        <f t="shared" si="161"/>
        <v>1</v>
      </c>
      <c r="R1007" s="3241">
        <f t="shared" ca="1" si="162"/>
        <v>5044</v>
      </c>
      <c r="S1007" s="905">
        <f t="shared" ca="1" si="163"/>
        <v>18</v>
      </c>
    </row>
    <row r="1008" spans="1:19">
      <c r="A1008" s="3227" t="s">
        <v>6168</v>
      </c>
      <c r="B1008" s="3228">
        <v>35.07</v>
      </c>
      <c r="C1008" s="3241">
        <f t="shared" si="164"/>
        <v>1</v>
      </c>
      <c r="D1008" s="3237" t="s">
        <v>5171</v>
      </c>
      <c r="E1008" s="3241">
        <f t="shared" si="155"/>
        <v>1</v>
      </c>
      <c r="F1008" s="635"/>
      <c r="G1008" s="3241">
        <f t="shared" si="156"/>
        <v>1</v>
      </c>
      <c r="H1008" s="635"/>
      <c r="I1008" s="3241">
        <f t="shared" si="157"/>
        <v>1</v>
      </c>
      <c r="J1008" s="635"/>
      <c r="K1008" s="3241">
        <f t="shared" si="158"/>
        <v>1</v>
      </c>
      <c r="L1008" s="635"/>
      <c r="M1008" s="3241">
        <f t="shared" si="159"/>
        <v>1</v>
      </c>
      <c r="N1008" s="635"/>
      <c r="O1008" s="3241">
        <f t="shared" si="160"/>
        <v>1</v>
      </c>
      <c r="P1008" s="635"/>
      <c r="Q1008" s="3241">
        <f t="shared" si="161"/>
        <v>1</v>
      </c>
      <c r="R1008" s="3241">
        <f t="shared" ca="1" si="162"/>
        <v>5044</v>
      </c>
      <c r="S1008" s="905">
        <f t="shared" ca="1" si="163"/>
        <v>18</v>
      </c>
    </row>
    <row r="1009" spans="1:19">
      <c r="A1009" s="3227" t="s">
        <v>5003</v>
      </c>
      <c r="B1009" s="3228">
        <v>35.07</v>
      </c>
      <c r="C1009" s="3241">
        <f t="shared" si="164"/>
        <v>1</v>
      </c>
      <c r="D1009" s="3237" t="s">
        <v>4009</v>
      </c>
      <c r="E1009" s="3241">
        <f t="shared" si="155"/>
        <v>1</v>
      </c>
      <c r="F1009" s="635"/>
      <c r="G1009" s="3241">
        <f t="shared" si="156"/>
        <v>1</v>
      </c>
      <c r="H1009" s="635"/>
      <c r="I1009" s="3241">
        <f t="shared" si="157"/>
        <v>1</v>
      </c>
      <c r="J1009" s="635"/>
      <c r="K1009" s="3241">
        <f t="shared" si="158"/>
        <v>1</v>
      </c>
      <c r="L1009" s="635"/>
      <c r="M1009" s="3241">
        <f t="shared" si="159"/>
        <v>1</v>
      </c>
      <c r="N1009" s="635"/>
      <c r="O1009" s="3241">
        <f t="shared" si="160"/>
        <v>1</v>
      </c>
      <c r="P1009" s="635"/>
      <c r="Q1009" s="3241">
        <f t="shared" si="161"/>
        <v>1</v>
      </c>
      <c r="R1009" s="3241">
        <f t="shared" ca="1" si="162"/>
        <v>5044</v>
      </c>
      <c r="S1009" s="905">
        <f t="shared" ca="1" si="163"/>
        <v>18</v>
      </c>
    </row>
    <row r="1010" spans="1:19">
      <c r="A1010" s="3227" t="s">
        <v>6170</v>
      </c>
      <c r="B1010" s="3228">
        <v>35.07</v>
      </c>
      <c r="C1010" s="3241">
        <f t="shared" si="164"/>
        <v>1</v>
      </c>
      <c r="D1010" s="3237" t="s">
        <v>5171</v>
      </c>
      <c r="E1010" s="3241">
        <f t="shared" si="155"/>
        <v>1</v>
      </c>
      <c r="F1010" s="635"/>
      <c r="G1010" s="3241">
        <f t="shared" si="156"/>
        <v>1</v>
      </c>
      <c r="H1010" s="635"/>
      <c r="I1010" s="3241">
        <f t="shared" si="157"/>
        <v>1</v>
      </c>
      <c r="J1010" s="635"/>
      <c r="K1010" s="3241">
        <f t="shared" si="158"/>
        <v>1</v>
      </c>
      <c r="L1010" s="635"/>
      <c r="M1010" s="3241">
        <f t="shared" si="159"/>
        <v>1</v>
      </c>
      <c r="N1010" s="635"/>
      <c r="O1010" s="3241">
        <f t="shared" si="160"/>
        <v>1</v>
      </c>
      <c r="P1010" s="635"/>
      <c r="Q1010" s="3241">
        <f t="shared" si="161"/>
        <v>1</v>
      </c>
      <c r="R1010" s="3241">
        <f t="shared" ca="1" si="162"/>
        <v>5044</v>
      </c>
      <c r="S1010" s="905">
        <f t="shared" ca="1" si="163"/>
        <v>18</v>
      </c>
    </row>
    <row r="1011" spans="1:19">
      <c r="A1011" s="3227" t="s">
        <v>5005</v>
      </c>
      <c r="B1011" s="3228">
        <v>35.07</v>
      </c>
      <c r="C1011" s="3241">
        <f t="shared" si="164"/>
        <v>1</v>
      </c>
      <c r="D1011" s="3237" t="s">
        <v>4009</v>
      </c>
      <c r="E1011" s="3241">
        <f t="shared" si="155"/>
        <v>1</v>
      </c>
      <c r="F1011" s="635"/>
      <c r="G1011" s="3241">
        <f t="shared" si="156"/>
        <v>1</v>
      </c>
      <c r="H1011" s="635"/>
      <c r="I1011" s="3241">
        <f t="shared" si="157"/>
        <v>1</v>
      </c>
      <c r="J1011" s="635"/>
      <c r="K1011" s="3241">
        <f t="shared" si="158"/>
        <v>1</v>
      </c>
      <c r="L1011" s="635"/>
      <c r="M1011" s="3241">
        <f t="shared" si="159"/>
        <v>1</v>
      </c>
      <c r="N1011" s="635"/>
      <c r="O1011" s="3241">
        <f t="shared" si="160"/>
        <v>1</v>
      </c>
      <c r="P1011" s="635"/>
      <c r="Q1011" s="3241">
        <f t="shared" si="161"/>
        <v>1</v>
      </c>
      <c r="R1011" s="3241">
        <f t="shared" ca="1" si="162"/>
        <v>5044</v>
      </c>
      <c r="S1011" s="905">
        <f t="shared" ca="1" si="163"/>
        <v>18</v>
      </c>
    </row>
    <row r="1012" spans="1:19">
      <c r="A1012" s="3227" t="s">
        <v>6172</v>
      </c>
      <c r="B1012" s="3228">
        <v>35.07</v>
      </c>
      <c r="C1012" s="3241">
        <f t="shared" si="164"/>
        <v>1</v>
      </c>
      <c r="D1012" s="3237" t="s">
        <v>5171</v>
      </c>
      <c r="E1012" s="3241">
        <f t="shared" si="155"/>
        <v>1</v>
      </c>
      <c r="F1012" s="635"/>
      <c r="G1012" s="3241">
        <f t="shared" si="156"/>
        <v>1</v>
      </c>
      <c r="H1012" s="635"/>
      <c r="I1012" s="3241">
        <f t="shared" si="157"/>
        <v>1</v>
      </c>
      <c r="J1012" s="635"/>
      <c r="K1012" s="3241">
        <f t="shared" si="158"/>
        <v>1</v>
      </c>
      <c r="L1012" s="635"/>
      <c r="M1012" s="3241">
        <f t="shared" si="159"/>
        <v>1</v>
      </c>
      <c r="N1012" s="635"/>
      <c r="O1012" s="3241">
        <f t="shared" si="160"/>
        <v>1</v>
      </c>
      <c r="P1012" s="635"/>
      <c r="Q1012" s="3241">
        <f t="shared" si="161"/>
        <v>1</v>
      </c>
      <c r="R1012" s="3241">
        <f t="shared" ca="1" si="162"/>
        <v>5044</v>
      </c>
      <c r="S1012" s="905">
        <f t="shared" ca="1" si="163"/>
        <v>18</v>
      </c>
    </row>
    <row r="1013" spans="1:19">
      <c r="A1013" s="3227" t="s">
        <v>5007</v>
      </c>
      <c r="B1013" s="3233">
        <v>35.799999999999997</v>
      </c>
      <c r="C1013" s="3241">
        <f t="shared" si="164"/>
        <v>1</v>
      </c>
      <c r="D1013" s="3237" t="s">
        <v>4009</v>
      </c>
      <c r="E1013" s="3241">
        <f t="shared" si="155"/>
        <v>1</v>
      </c>
      <c r="F1013" s="635"/>
      <c r="G1013" s="3241">
        <f t="shared" si="156"/>
        <v>1</v>
      </c>
      <c r="H1013" s="635"/>
      <c r="I1013" s="3241">
        <f t="shared" si="157"/>
        <v>1</v>
      </c>
      <c r="J1013" s="635"/>
      <c r="K1013" s="3241">
        <f t="shared" si="158"/>
        <v>1</v>
      </c>
      <c r="L1013" s="635"/>
      <c r="M1013" s="3241">
        <f t="shared" si="159"/>
        <v>1</v>
      </c>
      <c r="N1013" s="635"/>
      <c r="O1013" s="3241">
        <f t="shared" si="160"/>
        <v>1</v>
      </c>
      <c r="P1013" s="635"/>
      <c r="Q1013" s="3241">
        <f t="shared" si="161"/>
        <v>1</v>
      </c>
      <c r="R1013" s="3241">
        <f t="shared" ca="1" si="162"/>
        <v>5044</v>
      </c>
      <c r="S1013" s="905">
        <f t="shared" ca="1" si="163"/>
        <v>18</v>
      </c>
    </row>
    <row r="1014" spans="1:19">
      <c r="A1014" s="3227" t="s">
        <v>6174</v>
      </c>
      <c r="B1014" s="3228">
        <v>39.14</v>
      </c>
      <c r="C1014" s="3241">
        <f t="shared" si="164"/>
        <v>1</v>
      </c>
      <c r="D1014" s="3237" t="s">
        <v>5171</v>
      </c>
      <c r="E1014" s="3241">
        <f t="shared" si="155"/>
        <v>1</v>
      </c>
      <c r="F1014" s="635"/>
      <c r="G1014" s="3241">
        <f t="shared" si="156"/>
        <v>1</v>
      </c>
      <c r="H1014" s="635"/>
      <c r="I1014" s="3241">
        <f t="shared" si="157"/>
        <v>1</v>
      </c>
      <c r="J1014" s="635"/>
      <c r="K1014" s="3241">
        <f t="shared" si="158"/>
        <v>1</v>
      </c>
      <c r="L1014" s="635"/>
      <c r="M1014" s="3241">
        <f t="shared" si="159"/>
        <v>1</v>
      </c>
      <c r="N1014" s="635"/>
      <c r="O1014" s="3241">
        <f t="shared" si="160"/>
        <v>1</v>
      </c>
      <c r="P1014" s="635"/>
      <c r="Q1014" s="3241">
        <f t="shared" si="161"/>
        <v>1</v>
      </c>
      <c r="R1014" s="3241">
        <f t="shared" ca="1" si="162"/>
        <v>5044</v>
      </c>
      <c r="S1014" s="905">
        <f t="shared" ca="1" si="163"/>
        <v>20</v>
      </c>
    </row>
    <row r="1015" spans="1:19">
      <c r="A1015" s="3227" t="s">
        <v>5009</v>
      </c>
      <c r="B1015" s="3228">
        <v>39.14</v>
      </c>
      <c r="C1015" s="3241">
        <f t="shared" si="164"/>
        <v>1</v>
      </c>
      <c r="D1015" s="3237" t="s">
        <v>4009</v>
      </c>
      <c r="E1015" s="3241">
        <f t="shared" si="155"/>
        <v>1</v>
      </c>
      <c r="F1015" s="635"/>
      <c r="G1015" s="3241">
        <f t="shared" si="156"/>
        <v>1</v>
      </c>
      <c r="H1015" s="635"/>
      <c r="I1015" s="3241">
        <f t="shared" si="157"/>
        <v>1</v>
      </c>
      <c r="J1015" s="635"/>
      <c r="K1015" s="3241">
        <f t="shared" si="158"/>
        <v>1</v>
      </c>
      <c r="L1015" s="635"/>
      <c r="M1015" s="3241">
        <f t="shared" si="159"/>
        <v>1</v>
      </c>
      <c r="N1015" s="635"/>
      <c r="O1015" s="3241">
        <f t="shared" si="160"/>
        <v>1</v>
      </c>
      <c r="P1015" s="635"/>
      <c r="Q1015" s="3241">
        <f t="shared" si="161"/>
        <v>1</v>
      </c>
      <c r="R1015" s="3241">
        <f t="shared" ca="1" si="162"/>
        <v>5044</v>
      </c>
      <c r="S1015" s="905">
        <f t="shared" ca="1" si="163"/>
        <v>20</v>
      </c>
    </row>
    <row r="1016" spans="1:19">
      <c r="A1016" s="3227" t="s">
        <v>6176</v>
      </c>
      <c r="B1016" s="3228">
        <v>33.630000000000003</v>
      </c>
      <c r="C1016" s="3241">
        <f t="shared" si="164"/>
        <v>1</v>
      </c>
      <c r="D1016" s="3237" t="s">
        <v>5171</v>
      </c>
      <c r="E1016" s="3241">
        <f t="shared" si="155"/>
        <v>1</v>
      </c>
      <c r="F1016" s="635"/>
      <c r="G1016" s="3241">
        <f t="shared" si="156"/>
        <v>1</v>
      </c>
      <c r="H1016" s="635"/>
      <c r="I1016" s="3241">
        <f t="shared" si="157"/>
        <v>1</v>
      </c>
      <c r="J1016" s="635"/>
      <c r="K1016" s="3241">
        <f t="shared" si="158"/>
        <v>1</v>
      </c>
      <c r="L1016" s="635"/>
      <c r="M1016" s="3241">
        <f t="shared" si="159"/>
        <v>1</v>
      </c>
      <c r="N1016" s="635"/>
      <c r="O1016" s="3241">
        <f t="shared" si="160"/>
        <v>1</v>
      </c>
      <c r="P1016" s="635"/>
      <c r="Q1016" s="3241">
        <f t="shared" si="161"/>
        <v>1</v>
      </c>
      <c r="R1016" s="3241">
        <f t="shared" ca="1" si="162"/>
        <v>5044</v>
      </c>
      <c r="S1016" s="905">
        <f t="shared" ca="1" si="163"/>
        <v>17</v>
      </c>
    </row>
    <row r="1017" spans="1:19">
      <c r="A1017" s="3227" t="s">
        <v>5011</v>
      </c>
      <c r="B1017" s="3228">
        <v>33.630000000000003</v>
      </c>
      <c r="C1017" s="3241">
        <f t="shared" si="164"/>
        <v>1</v>
      </c>
      <c r="D1017" s="3237" t="s">
        <v>4009</v>
      </c>
      <c r="E1017" s="3241">
        <f t="shared" si="155"/>
        <v>1</v>
      </c>
      <c r="F1017" s="635"/>
      <c r="G1017" s="3241">
        <f t="shared" si="156"/>
        <v>1</v>
      </c>
      <c r="H1017" s="635"/>
      <c r="I1017" s="3241">
        <f t="shared" si="157"/>
        <v>1</v>
      </c>
      <c r="J1017" s="635"/>
      <c r="K1017" s="3241">
        <f t="shared" si="158"/>
        <v>1</v>
      </c>
      <c r="L1017" s="635"/>
      <c r="M1017" s="3241">
        <f t="shared" si="159"/>
        <v>1</v>
      </c>
      <c r="N1017" s="635"/>
      <c r="O1017" s="3241">
        <f t="shared" si="160"/>
        <v>1</v>
      </c>
      <c r="P1017" s="635"/>
      <c r="Q1017" s="3241">
        <f t="shared" si="161"/>
        <v>1</v>
      </c>
      <c r="R1017" s="3241">
        <f t="shared" ca="1" si="162"/>
        <v>5044</v>
      </c>
      <c r="S1017" s="905">
        <f t="shared" ca="1" si="163"/>
        <v>17</v>
      </c>
    </row>
    <row r="1018" spans="1:19">
      <c r="A1018" s="3227" t="s">
        <v>6178</v>
      </c>
      <c r="B1018" s="3228">
        <v>33.630000000000003</v>
      </c>
      <c r="C1018" s="3241">
        <f t="shared" si="164"/>
        <v>1</v>
      </c>
      <c r="D1018" s="3237" t="s">
        <v>5171</v>
      </c>
      <c r="E1018" s="3241">
        <f t="shared" si="155"/>
        <v>1</v>
      </c>
      <c r="F1018" s="635"/>
      <c r="G1018" s="3241">
        <f t="shared" si="156"/>
        <v>1</v>
      </c>
      <c r="H1018" s="635"/>
      <c r="I1018" s="3241">
        <f t="shared" si="157"/>
        <v>1</v>
      </c>
      <c r="J1018" s="635"/>
      <c r="K1018" s="3241">
        <f t="shared" si="158"/>
        <v>1</v>
      </c>
      <c r="L1018" s="635"/>
      <c r="M1018" s="3241">
        <f t="shared" si="159"/>
        <v>1</v>
      </c>
      <c r="N1018" s="635"/>
      <c r="O1018" s="3241">
        <f t="shared" si="160"/>
        <v>1</v>
      </c>
      <c r="P1018" s="635"/>
      <c r="Q1018" s="3241">
        <f t="shared" si="161"/>
        <v>1</v>
      </c>
      <c r="R1018" s="3241">
        <f t="shared" ca="1" si="162"/>
        <v>5044</v>
      </c>
      <c r="S1018" s="905">
        <f t="shared" ca="1" si="163"/>
        <v>17</v>
      </c>
    </row>
    <row r="1019" spans="1:19">
      <c r="A1019" s="3227" t="s">
        <v>5013</v>
      </c>
      <c r="B1019" s="3233">
        <v>35.799999999999997</v>
      </c>
      <c r="C1019" s="3241">
        <f t="shared" si="164"/>
        <v>1</v>
      </c>
      <c r="D1019" s="3237" t="s">
        <v>4009</v>
      </c>
      <c r="E1019" s="3241">
        <f t="shared" si="155"/>
        <v>1</v>
      </c>
      <c r="F1019" s="635"/>
      <c r="G1019" s="3241">
        <f t="shared" si="156"/>
        <v>1</v>
      </c>
      <c r="H1019" s="635"/>
      <c r="I1019" s="3241">
        <f t="shared" si="157"/>
        <v>1</v>
      </c>
      <c r="J1019" s="635"/>
      <c r="K1019" s="3241">
        <f t="shared" si="158"/>
        <v>1</v>
      </c>
      <c r="L1019" s="635"/>
      <c r="M1019" s="3241">
        <f t="shared" si="159"/>
        <v>1</v>
      </c>
      <c r="N1019" s="635"/>
      <c r="O1019" s="3241">
        <f t="shared" si="160"/>
        <v>1</v>
      </c>
      <c r="P1019" s="635"/>
      <c r="Q1019" s="3241">
        <f t="shared" si="161"/>
        <v>1</v>
      </c>
      <c r="R1019" s="3241">
        <f t="shared" ca="1" si="162"/>
        <v>5044</v>
      </c>
      <c r="S1019" s="905">
        <f t="shared" ca="1" si="163"/>
        <v>18</v>
      </c>
    </row>
    <row r="1020" spans="1:19">
      <c r="A1020" s="3227" t="s">
        <v>6180</v>
      </c>
      <c r="B1020" s="3228">
        <v>35.07</v>
      </c>
      <c r="C1020" s="3241">
        <f t="shared" si="164"/>
        <v>1</v>
      </c>
      <c r="D1020" s="3237" t="s">
        <v>5171</v>
      </c>
      <c r="E1020" s="3241">
        <f t="shared" si="155"/>
        <v>1</v>
      </c>
      <c r="F1020" s="635"/>
      <c r="G1020" s="3241">
        <f t="shared" si="156"/>
        <v>1</v>
      </c>
      <c r="H1020" s="635"/>
      <c r="I1020" s="3241">
        <f t="shared" si="157"/>
        <v>1</v>
      </c>
      <c r="J1020" s="635"/>
      <c r="K1020" s="3241">
        <f t="shared" si="158"/>
        <v>1</v>
      </c>
      <c r="L1020" s="635"/>
      <c r="M1020" s="3241">
        <f t="shared" si="159"/>
        <v>1</v>
      </c>
      <c r="N1020" s="635"/>
      <c r="O1020" s="3241">
        <f t="shared" si="160"/>
        <v>1</v>
      </c>
      <c r="P1020" s="635"/>
      <c r="Q1020" s="3241">
        <f t="shared" si="161"/>
        <v>1</v>
      </c>
      <c r="R1020" s="3241">
        <f t="shared" ca="1" si="162"/>
        <v>5044</v>
      </c>
      <c r="S1020" s="905">
        <f t="shared" ca="1" si="163"/>
        <v>18</v>
      </c>
    </row>
    <row r="1021" spans="1:19">
      <c r="A1021" s="3227" t="s">
        <v>5015</v>
      </c>
      <c r="B1021" s="3228">
        <v>35.07</v>
      </c>
      <c r="C1021" s="3241">
        <f t="shared" si="164"/>
        <v>1</v>
      </c>
      <c r="D1021" s="3237" t="s">
        <v>4009</v>
      </c>
      <c r="E1021" s="3241">
        <f t="shared" si="155"/>
        <v>1</v>
      </c>
      <c r="F1021" s="635"/>
      <c r="G1021" s="3241">
        <f t="shared" si="156"/>
        <v>1</v>
      </c>
      <c r="H1021" s="635"/>
      <c r="I1021" s="3241">
        <f t="shared" si="157"/>
        <v>1</v>
      </c>
      <c r="J1021" s="635"/>
      <c r="K1021" s="3241">
        <f t="shared" si="158"/>
        <v>1</v>
      </c>
      <c r="L1021" s="635"/>
      <c r="M1021" s="3241">
        <f t="shared" si="159"/>
        <v>1</v>
      </c>
      <c r="N1021" s="635"/>
      <c r="O1021" s="3241">
        <f t="shared" si="160"/>
        <v>1</v>
      </c>
      <c r="P1021" s="635"/>
      <c r="Q1021" s="3241">
        <f t="shared" si="161"/>
        <v>1</v>
      </c>
      <c r="R1021" s="3241">
        <f t="shared" ca="1" si="162"/>
        <v>5044</v>
      </c>
      <c r="S1021" s="905">
        <f t="shared" ca="1" si="163"/>
        <v>18</v>
      </c>
    </row>
    <row r="1022" spans="1:19">
      <c r="A1022" s="3227" t="s">
        <v>6182</v>
      </c>
      <c r="B1022" s="3228">
        <v>35.07</v>
      </c>
      <c r="C1022" s="3241">
        <f t="shared" si="164"/>
        <v>1</v>
      </c>
      <c r="D1022" s="3237" t="s">
        <v>5171</v>
      </c>
      <c r="E1022" s="3241">
        <f t="shared" si="155"/>
        <v>1</v>
      </c>
      <c r="F1022" s="635"/>
      <c r="G1022" s="3241">
        <f t="shared" si="156"/>
        <v>1</v>
      </c>
      <c r="H1022" s="635"/>
      <c r="I1022" s="3241">
        <f t="shared" si="157"/>
        <v>1</v>
      </c>
      <c r="J1022" s="635"/>
      <c r="K1022" s="3241">
        <f t="shared" si="158"/>
        <v>1</v>
      </c>
      <c r="L1022" s="635"/>
      <c r="M1022" s="3241">
        <f t="shared" si="159"/>
        <v>1</v>
      </c>
      <c r="N1022" s="635"/>
      <c r="O1022" s="3241">
        <f t="shared" si="160"/>
        <v>1</v>
      </c>
      <c r="P1022" s="635"/>
      <c r="Q1022" s="3241">
        <f t="shared" si="161"/>
        <v>1</v>
      </c>
      <c r="R1022" s="3241">
        <f t="shared" ca="1" si="162"/>
        <v>5044</v>
      </c>
      <c r="S1022" s="905">
        <f t="shared" ca="1" si="163"/>
        <v>18</v>
      </c>
    </row>
    <row r="1023" spans="1:19">
      <c r="A1023" s="3227" t="s">
        <v>5017</v>
      </c>
      <c r="B1023" s="3228">
        <v>35.07</v>
      </c>
      <c r="C1023" s="3241">
        <f t="shared" si="164"/>
        <v>1</v>
      </c>
      <c r="D1023" s="3237" t="s">
        <v>4009</v>
      </c>
      <c r="E1023" s="3241">
        <f t="shared" si="155"/>
        <v>1</v>
      </c>
      <c r="F1023" s="635"/>
      <c r="G1023" s="3241">
        <f t="shared" si="156"/>
        <v>1</v>
      </c>
      <c r="H1023" s="635"/>
      <c r="I1023" s="3241">
        <f t="shared" si="157"/>
        <v>1</v>
      </c>
      <c r="J1023" s="635"/>
      <c r="K1023" s="3241">
        <f t="shared" si="158"/>
        <v>1</v>
      </c>
      <c r="L1023" s="635"/>
      <c r="M1023" s="3241">
        <f t="shared" si="159"/>
        <v>1</v>
      </c>
      <c r="N1023" s="635"/>
      <c r="O1023" s="3241">
        <f t="shared" si="160"/>
        <v>1</v>
      </c>
      <c r="P1023" s="635"/>
      <c r="Q1023" s="3241">
        <f t="shared" si="161"/>
        <v>1</v>
      </c>
      <c r="R1023" s="3241">
        <f t="shared" ca="1" si="162"/>
        <v>5044</v>
      </c>
      <c r="S1023" s="905">
        <f t="shared" ca="1" si="163"/>
        <v>18</v>
      </c>
    </row>
    <row r="1024" spans="1:19">
      <c r="A1024" s="3227" t="s">
        <v>6184</v>
      </c>
      <c r="B1024" s="3228">
        <v>35.07</v>
      </c>
      <c r="C1024" s="3241">
        <f t="shared" si="164"/>
        <v>1</v>
      </c>
      <c r="D1024" s="3237" t="s">
        <v>5171</v>
      </c>
      <c r="E1024" s="3241">
        <f t="shared" si="155"/>
        <v>1</v>
      </c>
      <c r="F1024" s="635"/>
      <c r="G1024" s="3241">
        <f t="shared" si="156"/>
        <v>1</v>
      </c>
      <c r="H1024" s="635"/>
      <c r="I1024" s="3241">
        <f t="shared" si="157"/>
        <v>1</v>
      </c>
      <c r="J1024" s="635"/>
      <c r="K1024" s="3241">
        <f t="shared" si="158"/>
        <v>1</v>
      </c>
      <c r="L1024" s="635"/>
      <c r="M1024" s="3241">
        <f t="shared" si="159"/>
        <v>1</v>
      </c>
      <c r="N1024" s="635"/>
      <c r="O1024" s="3241">
        <f t="shared" si="160"/>
        <v>1</v>
      </c>
      <c r="P1024" s="635"/>
      <c r="Q1024" s="3241">
        <f t="shared" si="161"/>
        <v>1</v>
      </c>
      <c r="R1024" s="3241">
        <f t="shared" ca="1" si="162"/>
        <v>5044</v>
      </c>
      <c r="S1024" s="905">
        <f t="shared" ca="1" si="163"/>
        <v>18</v>
      </c>
    </row>
    <row r="1025" spans="1:19">
      <c r="A1025" s="3227" t="s">
        <v>5019</v>
      </c>
      <c r="B1025" s="3228">
        <v>35.07</v>
      </c>
      <c r="C1025" s="3241">
        <f t="shared" si="164"/>
        <v>1</v>
      </c>
      <c r="D1025" s="3237" t="s">
        <v>4009</v>
      </c>
      <c r="E1025" s="3241">
        <f t="shared" si="155"/>
        <v>1</v>
      </c>
      <c r="F1025" s="635"/>
      <c r="G1025" s="3241">
        <f t="shared" si="156"/>
        <v>1</v>
      </c>
      <c r="H1025" s="635"/>
      <c r="I1025" s="3241">
        <f t="shared" si="157"/>
        <v>1</v>
      </c>
      <c r="J1025" s="635"/>
      <c r="K1025" s="3241">
        <f t="shared" si="158"/>
        <v>1</v>
      </c>
      <c r="L1025" s="635"/>
      <c r="M1025" s="3241">
        <f t="shared" si="159"/>
        <v>1</v>
      </c>
      <c r="N1025" s="635"/>
      <c r="O1025" s="3241">
        <f t="shared" si="160"/>
        <v>1</v>
      </c>
      <c r="P1025" s="635"/>
      <c r="Q1025" s="3241">
        <f t="shared" si="161"/>
        <v>1</v>
      </c>
      <c r="R1025" s="3241">
        <f t="shared" ca="1" si="162"/>
        <v>5044</v>
      </c>
      <c r="S1025" s="905">
        <f t="shared" ca="1" si="163"/>
        <v>18</v>
      </c>
    </row>
    <row r="1026" spans="1:19">
      <c r="A1026" s="3227" t="s">
        <v>6186</v>
      </c>
      <c r="B1026" s="3228">
        <v>35.07</v>
      </c>
      <c r="C1026" s="3241">
        <f t="shared" si="164"/>
        <v>1</v>
      </c>
      <c r="D1026" s="3237" t="s">
        <v>5171</v>
      </c>
      <c r="E1026" s="3241">
        <f t="shared" si="155"/>
        <v>1</v>
      </c>
      <c r="F1026" s="635"/>
      <c r="G1026" s="3241">
        <f t="shared" si="156"/>
        <v>1</v>
      </c>
      <c r="H1026" s="635"/>
      <c r="I1026" s="3241">
        <f t="shared" si="157"/>
        <v>1</v>
      </c>
      <c r="J1026" s="635"/>
      <c r="K1026" s="3241">
        <f t="shared" si="158"/>
        <v>1</v>
      </c>
      <c r="L1026" s="635"/>
      <c r="M1026" s="3241">
        <f t="shared" si="159"/>
        <v>1</v>
      </c>
      <c r="N1026" s="635"/>
      <c r="O1026" s="3241">
        <f t="shared" si="160"/>
        <v>1</v>
      </c>
      <c r="P1026" s="635"/>
      <c r="Q1026" s="3241">
        <f t="shared" si="161"/>
        <v>1</v>
      </c>
      <c r="R1026" s="3241">
        <f t="shared" ca="1" si="162"/>
        <v>5044</v>
      </c>
      <c r="S1026" s="905">
        <f t="shared" ca="1" si="163"/>
        <v>18</v>
      </c>
    </row>
    <row r="1027" spans="1:19">
      <c r="A1027" s="3227" t="s">
        <v>5021</v>
      </c>
      <c r="B1027" s="3228">
        <v>35.07</v>
      </c>
      <c r="C1027" s="3241">
        <f t="shared" si="164"/>
        <v>1</v>
      </c>
      <c r="D1027" s="3237" t="s">
        <v>4009</v>
      </c>
      <c r="E1027" s="3241">
        <f t="shared" si="155"/>
        <v>1</v>
      </c>
      <c r="F1027" s="635"/>
      <c r="G1027" s="3241">
        <f t="shared" si="156"/>
        <v>1</v>
      </c>
      <c r="H1027" s="635"/>
      <c r="I1027" s="3241">
        <f t="shared" si="157"/>
        <v>1</v>
      </c>
      <c r="J1027" s="635"/>
      <c r="K1027" s="3241">
        <f t="shared" si="158"/>
        <v>1</v>
      </c>
      <c r="L1027" s="635"/>
      <c r="M1027" s="3241">
        <f t="shared" si="159"/>
        <v>1</v>
      </c>
      <c r="N1027" s="635"/>
      <c r="O1027" s="3241">
        <f t="shared" si="160"/>
        <v>1</v>
      </c>
      <c r="P1027" s="635"/>
      <c r="Q1027" s="3241">
        <f t="shared" si="161"/>
        <v>1</v>
      </c>
      <c r="R1027" s="3241">
        <f t="shared" ca="1" si="162"/>
        <v>5044</v>
      </c>
      <c r="S1027" s="905">
        <f t="shared" ca="1" si="163"/>
        <v>18</v>
      </c>
    </row>
    <row r="1028" spans="1:19">
      <c r="A1028" s="3227" t="s">
        <v>6188</v>
      </c>
      <c r="B1028" s="3228">
        <v>35.07</v>
      </c>
      <c r="C1028" s="3241">
        <f t="shared" si="164"/>
        <v>1</v>
      </c>
      <c r="D1028" s="3237" t="s">
        <v>5171</v>
      </c>
      <c r="E1028" s="3241">
        <f t="shared" si="155"/>
        <v>1</v>
      </c>
      <c r="F1028" s="635"/>
      <c r="G1028" s="3241">
        <f t="shared" si="156"/>
        <v>1</v>
      </c>
      <c r="H1028" s="635"/>
      <c r="I1028" s="3241">
        <f t="shared" si="157"/>
        <v>1</v>
      </c>
      <c r="J1028" s="635"/>
      <c r="K1028" s="3241">
        <f t="shared" si="158"/>
        <v>1</v>
      </c>
      <c r="L1028" s="635"/>
      <c r="M1028" s="3241">
        <f t="shared" si="159"/>
        <v>1</v>
      </c>
      <c r="N1028" s="635"/>
      <c r="O1028" s="3241">
        <f t="shared" si="160"/>
        <v>1</v>
      </c>
      <c r="P1028" s="635"/>
      <c r="Q1028" s="3241">
        <f t="shared" si="161"/>
        <v>1</v>
      </c>
      <c r="R1028" s="3241">
        <f t="shared" ca="1" si="162"/>
        <v>5044</v>
      </c>
      <c r="S1028" s="905">
        <f t="shared" ca="1" si="163"/>
        <v>18</v>
      </c>
    </row>
    <row r="1029" spans="1:19">
      <c r="A1029" s="3227" t="s">
        <v>5023</v>
      </c>
      <c r="B1029" s="3228">
        <v>35.07</v>
      </c>
      <c r="C1029" s="3241">
        <f t="shared" si="164"/>
        <v>1</v>
      </c>
      <c r="D1029" s="3237" t="s">
        <v>4009</v>
      </c>
      <c r="E1029" s="3241">
        <f t="shared" si="155"/>
        <v>1</v>
      </c>
      <c r="F1029" s="635"/>
      <c r="G1029" s="3241">
        <f t="shared" si="156"/>
        <v>1</v>
      </c>
      <c r="H1029" s="635"/>
      <c r="I1029" s="3241">
        <f t="shared" si="157"/>
        <v>1</v>
      </c>
      <c r="J1029" s="635"/>
      <c r="K1029" s="3241">
        <f t="shared" si="158"/>
        <v>1</v>
      </c>
      <c r="L1029" s="635"/>
      <c r="M1029" s="3241">
        <f t="shared" si="159"/>
        <v>1</v>
      </c>
      <c r="N1029" s="635"/>
      <c r="O1029" s="3241">
        <f t="shared" si="160"/>
        <v>1</v>
      </c>
      <c r="P1029" s="635"/>
      <c r="Q1029" s="3241">
        <f t="shared" si="161"/>
        <v>1</v>
      </c>
      <c r="R1029" s="3241">
        <f t="shared" ca="1" si="162"/>
        <v>5044</v>
      </c>
      <c r="S1029" s="905">
        <f t="shared" ca="1" si="163"/>
        <v>18</v>
      </c>
    </row>
    <row r="1030" spans="1:19">
      <c r="A1030" s="3227" t="s">
        <v>6190</v>
      </c>
      <c r="B1030" s="3228">
        <v>35.07</v>
      </c>
      <c r="C1030" s="3241">
        <f t="shared" si="164"/>
        <v>1</v>
      </c>
      <c r="D1030" s="3237" t="s">
        <v>5171</v>
      </c>
      <c r="E1030" s="3241">
        <f t="shared" si="155"/>
        <v>1</v>
      </c>
      <c r="F1030" s="635"/>
      <c r="G1030" s="3241">
        <f t="shared" si="156"/>
        <v>1</v>
      </c>
      <c r="H1030" s="635"/>
      <c r="I1030" s="3241">
        <f t="shared" si="157"/>
        <v>1</v>
      </c>
      <c r="J1030" s="635"/>
      <c r="K1030" s="3241">
        <f t="shared" si="158"/>
        <v>1</v>
      </c>
      <c r="L1030" s="635"/>
      <c r="M1030" s="3241">
        <f t="shared" si="159"/>
        <v>1</v>
      </c>
      <c r="N1030" s="635"/>
      <c r="O1030" s="3241">
        <f t="shared" si="160"/>
        <v>1</v>
      </c>
      <c r="P1030" s="635"/>
      <c r="Q1030" s="3241">
        <f t="shared" si="161"/>
        <v>1</v>
      </c>
      <c r="R1030" s="3241">
        <f t="shared" ca="1" si="162"/>
        <v>5044</v>
      </c>
      <c r="S1030" s="905">
        <f t="shared" ca="1" si="163"/>
        <v>18</v>
      </c>
    </row>
    <row r="1031" spans="1:19">
      <c r="A1031" s="3227" t="s">
        <v>5025</v>
      </c>
      <c r="B1031" s="3228">
        <v>35.07</v>
      </c>
      <c r="C1031" s="3241">
        <f t="shared" si="164"/>
        <v>1</v>
      </c>
      <c r="D1031" s="3237" t="s">
        <v>4009</v>
      </c>
      <c r="E1031" s="3241">
        <f t="shared" si="155"/>
        <v>1</v>
      </c>
      <c r="F1031" s="635"/>
      <c r="G1031" s="3241">
        <f t="shared" si="156"/>
        <v>1</v>
      </c>
      <c r="H1031" s="635"/>
      <c r="I1031" s="3241">
        <f t="shared" si="157"/>
        <v>1</v>
      </c>
      <c r="J1031" s="635"/>
      <c r="K1031" s="3241">
        <f t="shared" si="158"/>
        <v>1</v>
      </c>
      <c r="L1031" s="635"/>
      <c r="M1031" s="3241">
        <f t="shared" si="159"/>
        <v>1</v>
      </c>
      <c r="N1031" s="635"/>
      <c r="O1031" s="3241">
        <f t="shared" si="160"/>
        <v>1</v>
      </c>
      <c r="P1031" s="635"/>
      <c r="Q1031" s="3241">
        <f t="shared" si="161"/>
        <v>1</v>
      </c>
      <c r="R1031" s="3241">
        <f t="shared" ca="1" si="162"/>
        <v>5044</v>
      </c>
      <c r="S1031" s="905">
        <f t="shared" ca="1" si="163"/>
        <v>18</v>
      </c>
    </row>
    <row r="1032" spans="1:19">
      <c r="A1032" s="3227" t="s">
        <v>6192</v>
      </c>
      <c r="B1032" s="3228">
        <v>35.07</v>
      </c>
      <c r="C1032" s="3241">
        <f t="shared" si="164"/>
        <v>1</v>
      </c>
      <c r="D1032" s="3239" t="s">
        <v>5756</v>
      </c>
      <c r="E1032" s="3241">
        <f t="shared" si="155"/>
        <v>1</v>
      </c>
      <c r="F1032" s="635"/>
      <c r="G1032" s="3241">
        <f t="shared" si="156"/>
        <v>1</v>
      </c>
      <c r="H1032" s="635"/>
      <c r="I1032" s="3241">
        <f t="shared" si="157"/>
        <v>1</v>
      </c>
      <c r="J1032" s="635"/>
      <c r="K1032" s="3241">
        <f t="shared" si="158"/>
        <v>1</v>
      </c>
      <c r="L1032" s="635"/>
      <c r="M1032" s="3241">
        <f t="shared" si="159"/>
        <v>1</v>
      </c>
      <c r="N1032" s="635"/>
      <c r="O1032" s="3241">
        <f t="shared" si="160"/>
        <v>1</v>
      </c>
      <c r="P1032" s="635"/>
      <c r="Q1032" s="3241">
        <f t="shared" si="161"/>
        <v>1</v>
      </c>
      <c r="R1032" s="3241">
        <f t="shared" ca="1" si="162"/>
        <v>5044</v>
      </c>
      <c r="S1032" s="905">
        <f t="shared" ca="1" si="163"/>
        <v>18</v>
      </c>
    </row>
    <row r="1033" spans="1:19">
      <c r="A1033" s="3227" t="s">
        <v>5027</v>
      </c>
      <c r="B1033" s="3233">
        <v>35.799999999999997</v>
      </c>
      <c r="C1033" s="3241">
        <f t="shared" si="164"/>
        <v>1</v>
      </c>
      <c r="D1033" s="3239" t="s">
        <v>4591</v>
      </c>
      <c r="E1033" s="3241">
        <f t="shared" si="155"/>
        <v>1</v>
      </c>
      <c r="F1033" s="635"/>
      <c r="G1033" s="3241">
        <f t="shared" si="156"/>
        <v>1</v>
      </c>
      <c r="H1033" s="635"/>
      <c r="I1033" s="3241">
        <f t="shared" si="157"/>
        <v>1</v>
      </c>
      <c r="J1033" s="635"/>
      <c r="K1033" s="3241">
        <f t="shared" si="158"/>
        <v>1</v>
      </c>
      <c r="L1033" s="635"/>
      <c r="M1033" s="3241">
        <f t="shared" si="159"/>
        <v>1</v>
      </c>
      <c r="N1033" s="635"/>
      <c r="O1033" s="3241">
        <f t="shared" si="160"/>
        <v>1</v>
      </c>
      <c r="P1033" s="635"/>
      <c r="Q1033" s="3241">
        <f t="shared" si="161"/>
        <v>1</v>
      </c>
      <c r="R1033" s="3241">
        <f t="shared" ca="1" si="162"/>
        <v>5044</v>
      </c>
      <c r="S1033" s="905">
        <f t="shared" ca="1" si="163"/>
        <v>18</v>
      </c>
    </row>
    <row r="1034" spans="1:19">
      <c r="A1034" s="3227" t="s">
        <v>6194</v>
      </c>
      <c r="B1034" s="3228">
        <v>35.07</v>
      </c>
      <c r="C1034" s="3241">
        <f t="shared" si="164"/>
        <v>1</v>
      </c>
      <c r="D1034" s="3239" t="s">
        <v>5756</v>
      </c>
      <c r="E1034" s="3241">
        <f t="shared" si="155"/>
        <v>1</v>
      </c>
      <c r="F1034" s="635"/>
      <c r="G1034" s="3241">
        <f t="shared" si="156"/>
        <v>1</v>
      </c>
      <c r="H1034" s="635"/>
      <c r="I1034" s="3241">
        <f t="shared" si="157"/>
        <v>1</v>
      </c>
      <c r="J1034" s="635"/>
      <c r="K1034" s="3241">
        <f t="shared" si="158"/>
        <v>1</v>
      </c>
      <c r="L1034" s="635"/>
      <c r="M1034" s="3241">
        <f t="shared" si="159"/>
        <v>1</v>
      </c>
      <c r="N1034" s="635"/>
      <c r="O1034" s="3241">
        <f t="shared" si="160"/>
        <v>1</v>
      </c>
      <c r="P1034" s="635"/>
      <c r="Q1034" s="3241">
        <f t="shared" si="161"/>
        <v>1</v>
      </c>
      <c r="R1034" s="3241">
        <f t="shared" ca="1" si="162"/>
        <v>5044</v>
      </c>
      <c r="S1034" s="905">
        <f t="shared" ca="1" si="163"/>
        <v>18</v>
      </c>
    </row>
    <row r="1035" spans="1:19">
      <c r="A1035" s="3227" t="s">
        <v>5029</v>
      </c>
      <c r="B1035" s="3228">
        <v>35.07</v>
      </c>
      <c r="C1035" s="3241">
        <f t="shared" si="164"/>
        <v>1</v>
      </c>
      <c r="D1035" s="3239" t="s">
        <v>4591</v>
      </c>
      <c r="E1035" s="3241">
        <f t="shared" si="155"/>
        <v>1</v>
      </c>
      <c r="F1035" s="635"/>
      <c r="G1035" s="3241">
        <f t="shared" si="156"/>
        <v>1</v>
      </c>
      <c r="H1035" s="635"/>
      <c r="I1035" s="3241">
        <f t="shared" si="157"/>
        <v>1</v>
      </c>
      <c r="J1035" s="635"/>
      <c r="K1035" s="3241">
        <f t="shared" si="158"/>
        <v>1</v>
      </c>
      <c r="L1035" s="635"/>
      <c r="M1035" s="3241">
        <f t="shared" si="159"/>
        <v>1</v>
      </c>
      <c r="N1035" s="635"/>
      <c r="O1035" s="3241">
        <f t="shared" si="160"/>
        <v>1</v>
      </c>
      <c r="P1035" s="635"/>
      <c r="Q1035" s="3241">
        <f t="shared" si="161"/>
        <v>1</v>
      </c>
      <c r="R1035" s="3241">
        <f t="shared" ca="1" si="162"/>
        <v>5044</v>
      </c>
      <c r="S1035" s="905">
        <f t="shared" ca="1" si="163"/>
        <v>18</v>
      </c>
    </row>
    <row r="1036" spans="1:19">
      <c r="A1036" s="3227" t="s">
        <v>6196</v>
      </c>
      <c r="B1036" s="3228">
        <v>35.07</v>
      </c>
      <c r="C1036" s="3241">
        <f t="shared" si="164"/>
        <v>1</v>
      </c>
      <c r="D1036" s="3237" t="s">
        <v>5171</v>
      </c>
      <c r="E1036" s="3241">
        <f t="shared" si="155"/>
        <v>1</v>
      </c>
      <c r="F1036" s="635"/>
      <c r="G1036" s="3241">
        <f t="shared" si="156"/>
        <v>1</v>
      </c>
      <c r="H1036" s="635"/>
      <c r="I1036" s="3241">
        <f t="shared" si="157"/>
        <v>1</v>
      </c>
      <c r="J1036" s="635"/>
      <c r="K1036" s="3241">
        <f t="shared" si="158"/>
        <v>1</v>
      </c>
      <c r="L1036" s="635"/>
      <c r="M1036" s="3241">
        <f t="shared" si="159"/>
        <v>1</v>
      </c>
      <c r="N1036" s="635"/>
      <c r="O1036" s="3241">
        <f t="shared" si="160"/>
        <v>1</v>
      </c>
      <c r="P1036" s="635"/>
      <c r="Q1036" s="3241">
        <f t="shared" si="161"/>
        <v>1</v>
      </c>
      <c r="R1036" s="3241">
        <f t="shared" ca="1" si="162"/>
        <v>5044</v>
      </c>
      <c r="S1036" s="905">
        <f t="shared" ca="1" si="163"/>
        <v>18</v>
      </c>
    </row>
    <row r="1037" spans="1:19">
      <c r="A1037" s="3227" t="s">
        <v>5031</v>
      </c>
      <c r="B1037" s="3228">
        <v>35.07</v>
      </c>
      <c r="C1037" s="3241">
        <f t="shared" si="164"/>
        <v>1</v>
      </c>
      <c r="D1037" s="3237" t="s">
        <v>4009</v>
      </c>
      <c r="E1037" s="3241">
        <f t="shared" ref="E1037:E1100" si="165">(SUMIF($5:$5,D1037,$6:$6)-SUMIF($5:$5,$D$24,$6:$6)+100)/100</f>
        <v>1</v>
      </c>
      <c r="F1037" s="635"/>
      <c r="G1037" s="3241">
        <f t="shared" ref="G1037:G1100" si="166">(SUMIF($7:$7,F1037,$8:$8)-SUMIF($7:$7,$F$24,$8:$8)+100)/100</f>
        <v>1</v>
      </c>
      <c r="H1037" s="635"/>
      <c r="I1037" s="3241">
        <f t="shared" ref="I1037:I1100" si="167">(SUMIF($9:$9,H1037,$10:$10)-SUMIF($9:$9,$H$24,$10:$10)+100)/100</f>
        <v>1</v>
      </c>
      <c r="J1037" s="635"/>
      <c r="K1037" s="3241">
        <f t="shared" ref="K1037:K1100" si="168">(SUMIF($11:$11,J1037,$12:$12)-SUMIF($11:$11,$J$24,$12:$12)+100)/100</f>
        <v>1</v>
      </c>
      <c r="L1037" s="635"/>
      <c r="M1037" s="3241">
        <f t="shared" ref="M1037:M1100" si="169">(SUMIF($13:$13,L1037,$14:$14)-SUMIF($13:$13,$L$24,$14:$14)+100)/100</f>
        <v>1</v>
      </c>
      <c r="N1037" s="635"/>
      <c r="O1037" s="3241">
        <f t="shared" ref="O1037:O1100" si="170">(SUMIF($15:$15,N1037,$16:$16)-SUMIF($15:$15,$N$24,$16:$16)+100)/100</f>
        <v>1</v>
      </c>
      <c r="P1037" s="635"/>
      <c r="Q1037" s="3241">
        <f t="shared" ref="Q1037:Q1100" si="171">(SUMIF($17:$17,P1037,$18:$18)-SUMIF($17:$17,$P$24,$18:$18)+100)/100</f>
        <v>1</v>
      </c>
      <c r="R1037" s="3241">
        <f t="shared" ref="R1037:R1100" ca="1" si="172">IF(B1037="",0,ROUND($R$24*C1037*E1037*G1037*I1037*K1037*M1037*O1037*Q1037,0))</f>
        <v>5044</v>
      </c>
      <c r="S1037" s="905">
        <f t="shared" ref="S1037:S1100" ca="1" si="173">ROUND(R1037*B1037/10000,0)</f>
        <v>18</v>
      </c>
    </row>
    <row r="1038" spans="1:19">
      <c r="A1038" s="3227" t="s">
        <v>6198</v>
      </c>
      <c r="B1038" s="3228">
        <v>35.07</v>
      </c>
      <c r="C1038" s="3241">
        <f t="shared" si="164"/>
        <v>1</v>
      </c>
      <c r="D1038" s="3237" t="s">
        <v>5171</v>
      </c>
      <c r="E1038" s="3241">
        <f t="shared" si="165"/>
        <v>1</v>
      </c>
      <c r="F1038" s="635"/>
      <c r="G1038" s="3241">
        <f t="shared" si="166"/>
        <v>1</v>
      </c>
      <c r="H1038" s="635"/>
      <c r="I1038" s="3241">
        <f t="shared" si="167"/>
        <v>1</v>
      </c>
      <c r="J1038" s="635"/>
      <c r="K1038" s="3241">
        <f t="shared" si="168"/>
        <v>1</v>
      </c>
      <c r="L1038" s="635"/>
      <c r="M1038" s="3241">
        <f t="shared" si="169"/>
        <v>1</v>
      </c>
      <c r="N1038" s="635"/>
      <c r="O1038" s="3241">
        <f t="shared" si="170"/>
        <v>1</v>
      </c>
      <c r="P1038" s="635"/>
      <c r="Q1038" s="3241">
        <f t="shared" si="171"/>
        <v>1</v>
      </c>
      <c r="R1038" s="3241">
        <f t="shared" ca="1" si="172"/>
        <v>5044</v>
      </c>
      <c r="S1038" s="905">
        <f t="shared" ca="1" si="173"/>
        <v>18</v>
      </c>
    </row>
    <row r="1039" spans="1:19">
      <c r="A1039" s="3227" t="s">
        <v>5033</v>
      </c>
      <c r="B1039" s="3228">
        <v>35.07</v>
      </c>
      <c r="C1039" s="3241">
        <f t="shared" si="164"/>
        <v>1</v>
      </c>
      <c r="D1039" s="3237" t="s">
        <v>4009</v>
      </c>
      <c r="E1039" s="3241">
        <f t="shared" si="165"/>
        <v>1</v>
      </c>
      <c r="F1039" s="635"/>
      <c r="G1039" s="3241">
        <f t="shared" si="166"/>
        <v>1</v>
      </c>
      <c r="H1039" s="635"/>
      <c r="I1039" s="3241">
        <f t="shared" si="167"/>
        <v>1</v>
      </c>
      <c r="J1039" s="635"/>
      <c r="K1039" s="3241">
        <f t="shared" si="168"/>
        <v>1</v>
      </c>
      <c r="L1039" s="635"/>
      <c r="M1039" s="3241">
        <f t="shared" si="169"/>
        <v>1</v>
      </c>
      <c r="N1039" s="635"/>
      <c r="O1039" s="3241">
        <f t="shared" si="170"/>
        <v>1</v>
      </c>
      <c r="P1039" s="635"/>
      <c r="Q1039" s="3241">
        <f t="shared" si="171"/>
        <v>1</v>
      </c>
      <c r="R1039" s="3241">
        <f t="shared" ca="1" si="172"/>
        <v>5044</v>
      </c>
      <c r="S1039" s="905">
        <f t="shared" ca="1" si="173"/>
        <v>18</v>
      </c>
    </row>
    <row r="1040" spans="1:19">
      <c r="A1040" s="3227" t="s">
        <v>6200</v>
      </c>
      <c r="B1040" s="3228">
        <v>35.07</v>
      </c>
      <c r="C1040" s="3241">
        <f t="shared" si="164"/>
        <v>1</v>
      </c>
      <c r="D1040" s="3237" t="s">
        <v>5171</v>
      </c>
      <c r="E1040" s="3241">
        <f t="shared" si="165"/>
        <v>1</v>
      </c>
      <c r="F1040" s="635"/>
      <c r="G1040" s="3241">
        <f t="shared" si="166"/>
        <v>1</v>
      </c>
      <c r="H1040" s="635"/>
      <c r="I1040" s="3241">
        <f t="shared" si="167"/>
        <v>1</v>
      </c>
      <c r="J1040" s="635"/>
      <c r="K1040" s="3241">
        <f t="shared" si="168"/>
        <v>1</v>
      </c>
      <c r="L1040" s="635"/>
      <c r="M1040" s="3241">
        <f t="shared" si="169"/>
        <v>1</v>
      </c>
      <c r="N1040" s="635"/>
      <c r="O1040" s="3241">
        <f t="shared" si="170"/>
        <v>1</v>
      </c>
      <c r="P1040" s="635"/>
      <c r="Q1040" s="3241">
        <f t="shared" si="171"/>
        <v>1</v>
      </c>
      <c r="R1040" s="3241">
        <f t="shared" ca="1" si="172"/>
        <v>5044</v>
      </c>
      <c r="S1040" s="905">
        <f t="shared" ca="1" si="173"/>
        <v>18</v>
      </c>
    </row>
    <row r="1041" spans="1:19">
      <c r="A1041" s="3227" t="s">
        <v>5035</v>
      </c>
      <c r="B1041" s="3228">
        <v>35.07</v>
      </c>
      <c r="C1041" s="3241">
        <f t="shared" si="164"/>
        <v>1</v>
      </c>
      <c r="D1041" s="3237" t="s">
        <v>4009</v>
      </c>
      <c r="E1041" s="3241">
        <f t="shared" si="165"/>
        <v>1</v>
      </c>
      <c r="F1041" s="635"/>
      <c r="G1041" s="3241">
        <f t="shared" si="166"/>
        <v>1</v>
      </c>
      <c r="H1041" s="635"/>
      <c r="I1041" s="3241">
        <f t="shared" si="167"/>
        <v>1</v>
      </c>
      <c r="J1041" s="635"/>
      <c r="K1041" s="3241">
        <f t="shared" si="168"/>
        <v>1</v>
      </c>
      <c r="L1041" s="635"/>
      <c r="M1041" s="3241">
        <f t="shared" si="169"/>
        <v>1</v>
      </c>
      <c r="N1041" s="635"/>
      <c r="O1041" s="3241">
        <f t="shared" si="170"/>
        <v>1</v>
      </c>
      <c r="P1041" s="635"/>
      <c r="Q1041" s="3241">
        <f t="shared" si="171"/>
        <v>1</v>
      </c>
      <c r="R1041" s="3241">
        <f t="shared" ca="1" si="172"/>
        <v>5044</v>
      </c>
      <c r="S1041" s="905">
        <f t="shared" ca="1" si="173"/>
        <v>18</v>
      </c>
    </row>
    <row r="1042" spans="1:19">
      <c r="A1042" s="3227" t="s">
        <v>6202</v>
      </c>
      <c r="B1042" s="3228">
        <v>35.07</v>
      </c>
      <c r="C1042" s="3241">
        <f t="shared" si="164"/>
        <v>1</v>
      </c>
      <c r="D1042" s="3237" t="s">
        <v>5171</v>
      </c>
      <c r="E1042" s="3241">
        <f t="shared" si="165"/>
        <v>1</v>
      </c>
      <c r="F1042" s="635"/>
      <c r="G1042" s="3241">
        <f t="shared" si="166"/>
        <v>1</v>
      </c>
      <c r="H1042" s="635"/>
      <c r="I1042" s="3241">
        <f t="shared" si="167"/>
        <v>1</v>
      </c>
      <c r="J1042" s="635"/>
      <c r="K1042" s="3241">
        <f t="shared" si="168"/>
        <v>1</v>
      </c>
      <c r="L1042" s="635"/>
      <c r="M1042" s="3241">
        <f t="shared" si="169"/>
        <v>1</v>
      </c>
      <c r="N1042" s="635"/>
      <c r="O1042" s="3241">
        <f t="shared" si="170"/>
        <v>1</v>
      </c>
      <c r="P1042" s="635"/>
      <c r="Q1042" s="3241">
        <f t="shared" si="171"/>
        <v>1</v>
      </c>
      <c r="R1042" s="3241">
        <f t="shared" ca="1" si="172"/>
        <v>5044</v>
      </c>
      <c r="S1042" s="905">
        <f t="shared" ca="1" si="173"/>
        <v>18</v>
      </c>
    </row>
    <row r="1043" spans="1:19">
      <c r="A1043" s="3227" t="s">
        <v>5037</v>
      </c>
      <c r="B1043" s="3228">
        <v>35.07</v>
      </c>
      <c r="C1043" s="3241">
        <f t="shared" si="164"/>
        <v>1</v>
      </c>
      <c r="D1043" s="3237" t="s">
        <v>4009</v>
      </c>
      <c r="E1043" s="3241">
        <f t="shared" si="165"/>
        <v>1</v>
      </c>
      <c r="F1043" s="635"/>
      <c r="G1043" s="3241">
        <f t="shared" si="166"/>
        <v>1</v>
      </c>
      <c r="H1043" s="635"/>
      <c r="I1043" s="3241">
        <f t="shared" si="167"/>
        <v>1</v>
      </c>
      <c r="J1043" s="635"/>
      <c r="K1043" s="3241">
        <f t="shared" si="168"/>
        <v>1</v>
      </c>
      <c r="L1043" s="635"/>
      <c r="M1043" s="3241">
        <f t="shared" si="169"/>
        <v>1</v>
      </c>
      <c r="N1043" s="635"/>
      <c r="O1043" s="3241">
        <f t="shared" si="170"/>
        <v>1</v>
      </c>
      <c r="P1043" s="635"/>
      <c r="Q1043" s="3241">
        <f t="shared" si="171"/>
        <v>1</v>
      </c>
      <c r="R1043" s="3241">
        <f t="shared" ca="1" si="172"/>
        <v>5044</v>
      </c>
      <c r="S1043" s="905">
        <f t="shared" ca="1" si="173"/>
        <v>18</v>
      </c>
    </row>
    <row r="1044" spans="1:19">
      <c r="A1044" s="3227" t="s">
        <v>6204</v>
      </c>
      <c r="B1044" s="3228">
        <v>35.07</v>
      </c>
      <c r="C1044" s="3241">
        <f t="shared" si="164"/>
        <v>1</v>
      </c>
      <c r="D1044" s="3237" t="s">
        <v>5171</v>
      </c>
      <c r="E1044" s="3241">
        <f t="shared" si="165"/>
        <v>1</v>
      </c>
      <c r="F1044" s="635"/>
      <c r="G1044" s="3241">
        <f t="shared" si="166"/>
        <v>1</v>
      </c>
      <c r="H1044" s="635"/>
      <c r="I1044" s="3241">
        <f t="shared" si="167"/>
        <v>1</v>
      </c>
      <c r="J1044" s="635"/>
      <c r="K1044" s="3241">
        <f t="shared" si="168"/>
        <v>1</v>
      </c>
      <c r="L1044" s="635"/>
      <c r="M1044" s="3241">
        <f t="shared" si="169"/>
        <v>1</v>
      </c>
      <c r="N1044" s="635"/>
      <c r="O1044" s="3241">
        <f t="shared" si="170"/>
        <v>1</v>
      </c>
      <c r="P1044" s="635"/>
      <c r="Q1044" s="3241">
        <f t="shared" si="171"/>
        <v>1</v>
      </c>
      <c r="R1044" s="3241">
        <f t="shared" ca="1" si="172"/>
        <v>5044</v>
      </c>
      <c r="S1044" s="905">
        <f t="shared" ca="1" si="173"/>
        <v>18</v>
      </c>
    </row>
    <row r="1045" spans="1:19">
      <c r="A1045" s="3227" t="s">
        <v>5039</v>
      </c>
      <c r="B1045" s="3228">
        <v>35.07</v>
      </c>
      <c r="C1045" s="3241">
        <f t="shared" si="164"/>
        <v>1</v>
      </c>
      <c r="D1045" s="3237" t="s">
        <v>4009</v>
      </c>
      <c r="E1045" s="3241">
        <f t="shared" si="165"/>
        <v>1</v>
      </c>
      <c r="F1045" s="635"/>
      <c r="G1045" s="3241">
        <f t="shared" si="166"/>
        <v>1</v>
      </c>
      <c r="H1045" s="635"/>
      <c r="I1045" s="3241">
        <f t="shared" si="167"/>
        <v>1</v>
      </c>
      <c r="J1045" s="635"/>
      <c r="K1045" s="3241">
        <f t="shared" si="168"/>
        <v>1</v>
      </c>
      <c r="L1045" s="635"/>
      <c r="M1045" s="3241">
        <f t="shared" si="169"/>
        <v>1</v>
      </c>
      <c r="N1045" s="635"/>
      <c r="O1045" s="3241">
        <f t="shared" si="170"/>
        <v>1</v>
      </c>
      <c r="P1045" s="635"/>
      <c r="Q1045" s="3241">
        <f t="shared" si="171"/>
        <v>1</v>
      </c>
      <c r="R1045" s="3241">
        <f t="shared" ca="1" si="172"/>
        <v>5044</v>
      </c>
      <c r="S1045" s="905">
        <f t="shared" ca="1" si="173"/>
        <v>18</v>
      </c>
    </row>
    <row r="1046" spans="1:19">
      <c r="A1046" s="3227" t="s">
        <v>6206</v>
      </c>
      <c r="B1046" s="3228">
        <v>35.07</v>
      </c>
      <c r="C1046" s="3241">
        <f t="shared" si="164"/>
        <v>1</v>
      </c>
      <c r="D1046" s="3237" t="s">
        <v>5171</v>
      </c>
      <c r="E1046" s="3241">
        <f t="shared" si="165"/>
        <v>1</v>
      </c>
      <c r="F1046" s="635"/>
      <c r="G1046" s="3241">
        <f t="shared" si="166"/>
        <v>1</v>
      </c>
      <c r="H1046" s="635"/>
      <c r="I1046" s="3241">
        <f t="shared" si="167"/>
        <v>1</v>
      </c>
      <c r="J1046" s="635"/>
      <c r="K1046" s="3241">
        <f t="shared" si="168"/>
        <v>1</v>
      </c>
      <c r="L1046" s="635"/>
      <c r="M1046" s="3241">
        <f t="shared" si="169"/>
        <v>1</v>
      </c>
      <c r="N1046" s="635"/>
      <c r="O1046" s="3241">
        <f t="shared" si="170"/>
        <v>1</v>
      </c>
      <c r="P1046" s="635"/>
      <c r="Q1046" s="3241">
        <f t="shared" si="171"/>
        <v>1</v>
      </c>
      <c r="R1046" s="3241">
        <f t="shared" ca="1" si="172"/>
        <v>5044</v>
      </c>
      <c r="S1046" s="905">
        <f t="shared" ca="1" si="173"/>
        <v>18</v>
      </c>
    </row>
    <row r="1047" spans="1:19">
      <c r="A1047" s="3227" t="s">
        <v>5041</v>
      </c>
      <c r="B1047" s="3228">
        <v>33.630000000000003</v>
      </c>
      <c r="C1047" s="3241">
        <f t="shared" si="164"/>
        <v>1</v>
      </c>
      <c r="D1047" s="3237" t="s">
        <v>4322</v>
      </c>
      <c r="E1047" s="3241">
        <f t="shared" si="165"/>
        <v>1.02</v>
      </c>
      <c r="F1047" s="635"/>
      <c r="G1047" s="3241">
        <f t="shared" si="166"/>
        <v>1</v>
      </c>
      <c r="H1047" s="635"/>
      <c r="I1047" s="3241">
        <f t="shared" si="167"/>
        <v>1</v>
      </c>
      <c r="J1047" s="635"/>
      <c r="K1047" s="3241">
        <f t="shared" si="168"/>
        <v>1</v>
      </c>
      <c r="L1047" s="635"/>
      <c r="M1047" s="3241">
        <f t="shared" si="169"/>
        <v>1</v>
      </c>
      <c r="N1047" s="635"/>
      <c r="O1047" s="3241">
        <f t="shared" si="170"/>
        <v>1</v>
      </c>
      <c r="P1047" s="635"/>
      <c r="Q1047" s="3241">
        <f t="shared" si="171"/>
        <v>1</v>
      </c>
      <c r="R1047" s="3241">
        <f t="shared" ca="1" si="172"/>
        <v>5145</v>
      </c>
      <c r="S1047" s="905">
        <f t="shared" ca="1" si="173"/>
        <v>17</v>
      </c>
    </row>
    <row r="1048" spans="1:19">
      <c r="A1048" s="3227" t="s">
        <v>6208</v>
      </c>
      <c r="B1048" s="3228">
        <v>33.630000000000003</v>
      </c>
      <c r="C1048" s="3241">
        <f t="shared" si="164"/>
        <v>1</v>
      </c>
      <c r="D1048" s="3239" t="s">
        <v>5494</v>
      </c>
      <c r="E1048" s="3241">
        <f t="shared" si="165"/>
        <v>1.02</v>
      </c>
      <c r="F1048" s="635"/>
      <c r="G1048" s="3241">
        <f t="shared" si="166"/>
        <v>1</v>
      </c>
      <c r="H1048" s="635"/>
      <c r="I1048" s="3241">
        <f t="shared" si="167"/>
        <v>1</v>
      </c>
      <c r="J1048" s="635"/>
      <c r="K1048" s="3241">
        <f t="shared" si="168"/>
        <v>1</v>
      </c>
      <c r="L1048" s="635"/>
      <c r="M1048" s="3241">
        <f t="shared" si="169"/>
        <v>1</v>
      </c>
      <c r="N1048" s="635"/>
      <c r="O1048" s="3241">
        <f t="shared" si="170"/>
        <v>1</v>
      </c>
      <c r="P1048" s="635"/>
      <c r="Q1048" s="3241">
        <f t="shared" si="171"/>
        <v>1</v>
      </c>
      <c r="R1048" s="3241">
        <f t="shared" ca="1" si="172"/>
        <v>5145</v>
      </c>
      <c r="S1048" s="905">
        <f t="shared" ca="1" si="173"/>
        <v>17</v>
      </c>
    </row>
    <row r="1049" spans="1:19">
      <c r="A1049" s="3227" t="s">
        <v>5043</v>
      </c>
      <c r="B1049" s="3228">
        <v>35.07</v>
      </c>
      <c r="C1049" s="3241">
        <f t="shared" si="164"/>
        <v>1</v>
      </c>
      <c r="D1049" s="3239" t="s">
        <v>4330</v>
      </c>
      <c r="E1049" s="3241">
        <f t="shared" si="165"/>
        <v>1.02</v>
      </c>
      <c r="F1049" s="635"/>
      <c r="G1049" s="3241">
        <f t="shared" si="166"/>
        <v>1</v>
      </c>
      <c r="H1049" s="635"/>
      <c r="I1049" s="3241">
        <f t="shared" si="167"/>
        <v>1</v>
      </c>
      <c r="J1049" s="635"/>
      <c r="K1049" s="3241">
        <f t="shared" si="168"/>
        <v>1</v>
      </c>
      <c r="L1049" s="635"/>
      <c r="M1049" s="3241">
        <f t="shared" si="169"/>
        <v>1</v>
      </c>
      <c r="N1049" s="635"/>
      <c r="O1049" s="3241">
        <f t="shared" si="170"/>
        <v>1</v>
      </c>
      <c r="P1049" s="635"/>
      <c r="Q1049" s="3241">
        <f t="shared" si="171"/>
        <v>1</v>
      </c>
      <c r="R1049" s="3241">
        <f t="shared" ca="1" si="172"/>
        <v>5145</v>
      </c>
      <c r="S1049" s="905">
        <f t="shared" ca="1" si="173"/>
        <v>18</v>
      </c>
    </row>
    <row r="1050" spans="1:19">
      <c r="A1050" s="3227" t="s">
        <v>6210</v>
      </c>
      <c r="B1050" s="3228">
        <v>35.07</v>
      </c>
      <c r="C1050" s="3241">
        <f t="shared" ref="C1050:C1113" si="174">IF(B1050="",1,(LOOKUP(B1050,$3:$3,$4:$4)-LOOKUP($B$24,$3:$3,$4:$4)+100)/100)</f>
        <v>1</v>
      </c>
      <c r="D1050" s="3237" t="s">
        <v>5487</v>
      </c>
      <c r="E1050" s="3241">
        <f t="shared" si="165"/>
        <v>1.02</v>
      </c>
      <c r="F1050" s="635"/>
      <c r="G1050" s="3241">
        <f t="shared" si="166"/>
        <v>1</v>
      </c>
      <c r="H1050" s="635"/>
      <c r="I1050" s="3241">
        <f t="shared" si="167"/>
        <v>1</v>
      </c>
      <c r="J1050" s="635"/>
      <c r="K1050" s="3241">
        <f t="shared" si="168"/>
        <v>1</v>
      </c>
      <c r="L1050" s="635"/>
      <c r="M1050" s="3241">
        <f t="shared" si="169"/>
        <v>1</v>
      </c>
      <c r="N1050" s="635"/>
      <c r="O1050" s="3241">
        <f t="shared" si="170"/>
        <v>1</v>
      </c>
      <c r="P1050" s="635"/>
      <c r="Q1050" s="3241">
        <f t="shared" si="171"/>
        <v>1</v>
      </c>
      <c r="R1050" s="3241">
        <f t="shared" ca="1" si="172"/>
        <v>5145</v>
      </c>
      <c r="S1050" s="905">
        <f t="shared" ca="1" si="173"/>
        <v>18</v>
      </c>
    </row>
    <row r="1051" spans="1:19">
      <c r="A1051" s="3227" t="s">
        <v>5045</v>
      </c>
      <c r="B1051" s="3228">
        <v>35.07</v>
      </c>
      <c r="C1051" s="3241">
        <f t="shared" si="174"/>
        <v>1</v>
      </c>
      <c r="D1051" s="3237" t="s">
        <v>4322</v>
      </c>
      <c r="E1051" s="3241">
        <f t="shared" si="165"/>
        <v>1.02</v>
      </c>
      <c r="F1051" s="635"/>
      <c r="G1051" s="3241">
        <f t="shared" si="166"/>
        <v>1</v>
      </c>
      <c r="H1051" s="635"/>
      <c r="I1051" s="3241">
        <f t="shared" si="167"/>
        <v>1</v>
      </c>
      <c r="J1051" s="635"/>
      <c r="K1051" s="3241">
        <f t="shared" si="168"/>
        <v>1</v>
      </c>
      <c r="L1051" s="635"/>
      <c r="M1051" s="3241">
        <f t="shared" si="169"/>
        <v>1</v>
      </c>
      <c r="N1051" s="635"/>
      <c r="O1051" s="3241">
        <f t="shared" si="170"/>
        <v>1</v>
      </c>
      <c r="P1051" s="635"/>
      <c r="Q1051" s="3241">
        <f t="shared" si="171"/>
        <v>1</v>
      </c>
      <c r="R1051" s="3241">
        <f t="shared" ca="1" si="172"/>
        <v>5145</v>
      </c>
      <c r="S1051" s="905">
        <f t="shared" ca="1" si="173"/>
        <v>18</v>
      </c>
    </row>
    <row r="1052" spans="1:19">
      <c r="A1052" s="3227" t="s">
        <v>6212</v>
      </c>
      <c r="B1052" s="3228">
        <v>35.07</v>
      </c>
      <c r="C1052" s="3241">
        <f t="shared" si="174"/>
        <v>1</v>
      </c>
      <c r="D1052" s="3237" t="s">
        <v>5487</v>
      </c>
      <c r="E1052" s="3241">
        <f t="shared" si="165"/>
        <v>1.02</v>
      </c>
      <c r="F1052" s="635"/>
      <c r="G1052" s="3241">
        <f t="shared" si="166"/>
        <v>1</v>
      </c>
      <c r="H1052" s="635"/>
      <c r="I1052" s="3241">
        <f t="shared" si="167"/>
        <v>1</v>
      </c>
      <c r="J1052" s="635"/>
      <c r="K1052" s="3241">
        <f t="shared" si="168"/>
        <v>1</v>
      </c>
      <c r="L1052" s="635"/>
      <c r="M1052" s="3241">
        <f t="shared" si="169"/>
        <v>1</v>
      </c>
      <c r="N1052" s="635"/>
      <c r="O1052" s="3241">
        <f t="shared" si="170"/>
        <v>1</v>
      </c>
      <c r="P1052" s="635"/>
      <c r="Q1052" s="3241">
        <f t="shared" si="171"/>
        <v>1</v>
      </c>
      <c r="R1052" s="3241">
        <f t="shared" ca="1" si="172"/>
        <v>5145</v>
      </c>
      <c r="S1052" s="905">
        <f t="shared" ca="1" si="173"/>
        <v>18</v>
      </c>
    </row>
    <row r="1053" spans="1:19">
      <c r="A1053" s="3227" t="s">
        <v>5047</v>
      </c>
      <c r="B1053" s="3228">
        <v>35.07</v>
      </c>
      <c r="C1053" s="3241">
        <f t="shared" si="174"/>
        <v>1</v>
      </c>
      <c r="D1053" s="3237" t="s">
        <v>4322</v>
      </c>
      <c r="E1053" s="3241">
        <f t="shared" si="165"/>
        <v>1.02</v>
      </c>
      <c r="F1053" s="635"/>
      <c r="G1053" s="3241">
        <f t="shared" si="166"/>
        <v>1</v>
      </c>
      <c r="H1053" s="635"/>
      <c r="I1053" s="3241">
        <f t="shared" si="167"/>
        <v>1</v>
      </c>
      <c r="J1053" s="635"/>
      <c r="K1053" s="3241">
        <f t="shared" si="168"/>
        <v>1</v>
      </c>
      <c r="L1053" s="635"/>
      <c r="M1053" s="3241">
        <f t="shared" si="169"/>
        <v>1</v>
      </c>
      <c r="N1053" s="635"/>
      <c r="O1053" s="3241">
        <f t="shared" si="170"/>
        <v>1</v>
      </c>
      <c r="P1053" s="635"/>
      <c r="Q1053" s="3241">
        <f t="shared" si="171"/>
        <v>1</v>
      </c>
      <c r="R1053" s="3241">
        <f t="shared" ca="1" si="172"/>
        <v>5145</v>
      </c>
      <c r="S1053" s="905">
        <f t="shared" ca="1" si="173"/>
        <v>18</v>
      </c>
    </row>
    <row r="1054" spans="1:19">
      <c r="A1054" s="3227" t="s">
        <v>6214</v>
      </c>
      <c r="B1054" s="3228">
        <v>35.07</v>
      </c>
      <c r="C1054" s="3241">
        <f t="shared" si="174"/>
        <v>1</v>
      </c>
      <c r="D1054" s="3237" t="s">
        <v>5487</v>
      </c>
      <c r="E1054" s="3241">
        <f t="shared" si="165"/>
        <v>1.02</v>
      </c>
      <c r="F1054" s="635"/>
      <c r="G1054" s="3241">
        <f t="shared" si="166"/>
        <v>1</v>
      </c>
      <c r="H1054" s="635"/>
      <c r="I1054" s="3241">
        <f t="shared" si="167"/>
        <v>1</v>
      </c>
      <c r="J1054" s="635"/>
      <c r="K1054" s="3241">
        <f t="shared" si="168"/>
        <v>1</v>
      </c>
      <c r="L1054" s="635"/>
      <c r="M1054" s="3241">
        <f t="shared" si="169"/>
        <v>1</v>
      </c>
      <c r="N1054" s="635"/>
      <c r="O1054" s="3241">
        <f t="shared" si="170"/>
        <v>1</v>
      </c>
      <c r="P1054" s="635"/>
      <c r="Q1054" s="3241">
        <f t="shared" si="171"/>
        <v>1</v>
      </c>
      <c r="R1054" s="3241">
        <f t="shared" ca="1" si="172"/>
        <v>5145</v>
      </c>
      <c r="S1054" s="905">
        <f t="shared" ca="1" si="173"/>
        <v>18</v>
      </c>
    </row>
    <row r="1055" spans="1:19">
      <c r="A1055" s="3227" t="s">
        <v>5049</v>
      </c>
      <c r="B1055" s="3228">
        <v>35.07</v>
      </c>
      <c r="C1055" s="3241">
        <f t="shared" si="174"/>
        <v>1</v>
      </c>
      <c r="D1055" s="3237" t="s">
        <v>4322</v>
      </c>
      <c r="E1055" s="3241">
        <f t="shared" si="165"/>
        <v>1.02</v>
      </c>
      <c r="F1055" s="635"/>
      <c r="G1055" s="3241">
        <f t="shared" si="166"/>
        <v>1</v>
      </c>
      <c r="H1055" s="635"/>
      <c r="I1055" s="3241">
        <f t="shared" si="167"/>
        <v>1</v>
      </c>
      <c r="J1055" s="635"/>
      <c r="K1055" s="3241">
        <f t="shared" si="168"/>
        <v>1</v>
      </c>
      <c r="L1055" s="635"/>
      <c r="M1055" s="3241">
        <f t="shared" si="169"/>
        <v>1</v>
      </c>
      <c r="N1055" s="635"/>
      <c r="O1055" s="3241">
        <f t="shared" si="170"/>
        <v>1</v>
      </c>
      <c r="P1055" s="635"/>
      <c r="Q1055" s="3241">
        <f t="shared" si="171"/>
        <v>1</v>
      </c>
      <c r="R1055" s="3241">
        <f t="shared" ca="1" si="172"/>
        <v>5145</v>
      </c>
      <c r="S1055" s="905">
        <f t="shared" ca="1" si="173"/>
        <v>18</v>
      </c>
    </row>
    <row r="1056" spans="1:19">
      <c r="A1056" s="3227" t="s">
        <v>6216</v>
      </c>
      <c r="B1056" s="3228">
        <v>35.07</v>
      </c>
      <c r="C1056" s="3241">
        <f t="shared" si="174"/>
        <v>1</v>
      </c>
      <c r="D1056" s="3237" t="s">
        <v>5487</v>
      </c>
      <c r="E1056" s="3241">
        <f t="shared" si="165"/>
        <v>1.02</v>
      </c>
      <c r="F1056" s="635"/>
      <c r="G1056" s="3241">
        <f t="shared" si="166"/>
        <v>1</v>
      </c>
      <c r="H1056" s="635"/>
      <c r="I1056" s="3241">
        <f t="shared" si="167"/>
        <v>1</v>
      </c>
      <c r="J1056" s="635"/>
      <c r="K1056" s="3241">
        <f t="shared" si="168"/>
        <v>1</v>
      </c>
      <c r="L1056" s="635"/>
      <c r="M1056" s="3241">
        <f t="shared" si="169"/>
        <v>1</v>
      </c>
      <c r="N1056" s="635"/>
      <c r="O1056" s="3241">
        <f t="shared" si="170"/>
        <v>1</v>
      </c>
      <c r="P1056" s="635"/>
      <c r="Q1056" s="3241">
        <f t="shared" si="171"/>
        <v>1</v>
      </c>
      <c r="R1056" s="3241">
        <f t="shared" ca="1" si="172"/>
        <v>5145</v>
      </c>
      <c r="S1056" s="905">
        <f t="shared" ca="1" si="173"/>
        <v>18</v>
      </c>
    </row>
    <row r="1057" spans="1:19">
      <c r="A1057" s="3227" t="s">
        <v>5051</v>
      </c>
      <c r="B1057" s="3228">
        <v>35.07</v>
      </c>
      <c r="C1057" s="3241">
        <f t="shared" si="174"/>
        <v>1</v>
      </c>
      <c r="D1057" s="3237" t="s">
        <v>4322</v>
      </c>
      <c r="E1057" s="3241">
        <f t="shared" si="165"/>
        <v>1.02</v>
      </c>
      <c r="F1057" s="635"/>
      <c r="G1057" s="3241">
        <f t="shared" si="166"/>
        <v>1</v>
      </c>
      <c r="H1057" s="635"/>
      <c r="I1057" s="3241">
        <f t="shared" si="167"/>
        <v>1</v>
      </c>
      <c r="J1057" s="635"/>
      <c r="K1057" s="3241">
        <f t="shared" si="168"/>
        <v>1</v>
      </c>
      <c r="L1057" s="635"/>
      <c r="M1057" s="3241">
        <f t="shared" si="169"/>
        <v>1</v>
      </c>
      <c r="N1057" s="635"/>
      <c r="O1057" s="3241">
        <f t="shared" si="170"/>
        <v>1</v>
      </c>
      <c r="P1057" s="635"/>
      <c r="Q1057" s="3241">
        <f t="shared" si="171"/>
        <v>1</v>
      </c>
      <c r="R1057" s="3241">
        <f t="shared" ca="1" si="172"/>
        <v>5145</v>
      </c>
      <c r="S1057" s="905">
        <f t="shared" ca="1" si="173"/>
        <v>18</v>
      </c>
    </row>
    <row r="1058" spans="1:19">
      <c r="A1058" s="3227" t="s">
        <v>6218</v>
      </c>
      <c r="B1058" s="3228">
        <v>35.07</v>
      </c>
      <c r="C1058" s="3241">
        <f t="shared" si="174"/>
        <v>1</v>
      </c>
      <c r="D1058" s="3237" t="s">
        <v>5487</v>
      </c>
      <c r="E1058" s="3241">
        <f t="shared" si="165"/>
        <v>1.02</v>
      </c>
      <c r="F1058" s="635"/>
      <c r="G1058" s="3241">
        <f t="shared" si="166"/>
        <v>1</v>
      </c>
      <c r="H1058" s="635"/>
      <c r="I1058" s="3241">
        <f t="shared" si="167"/>
        <v>1</v>
      </c>
      <c r="J1058" s="635"/>
      <c r="K1058" s="3241">
        <f t="shared" si="168"/>
        <v>1</v>
      </c>
      <c r="L1058" s="635"/>
      <c r="M1058" s="3241">
        <f t="shared" si="169"/>
        <v>1</v>
      </c>
      <c r="N1058" s="635"/>
      <c r="O1058" s="3241">
        <f t="shared" si="170"/>
        <v>1</v>
      </c>
      <c r="P1058" s="635"/>
      <c r="Q1058" s="3241">
        <f t="shared" si="171"/>
        <v>1</v>
      </c>
      <c r="R1058" s="3241">
        <f t="shared" ca="1" si="172"/>
        <v>5145</v>
      </c>
      <c r="S1058" s="905">
        <f t="shared" ca="1" si="173"/>
        <v>18</v>
      </c>
    </row>
    <row r="1059" spans="1:19">
      <c r="A1059" s="3227" t="s">
        <v>5053</v>
      </c>
      <c r="B1059" s="3228">
        <v>35.07</v>
      </c>
      <c r="C1059" s="3241">
        <f t="shared" si="174"/>
        <v>1</v>
      </c>
      <c r="D1059" s="3237" t="s">
        <v>4322</v>
      </c>
      <c r="E1059" s="3241">
        <f t="shared" si="165"/>
        <v>1.02</v>
      </c>
      <c r="F1059" s="635"/>
      <c r="G1059" s="3241">
        <f t="shared" si="166"/>
        <v>1</v>
      </c>
      <c r="H1059" s="635"/>
      <c r="I1059" s="3241">
        <f t="shared" si="167"/>
        <v>1</v>
      </c>
      <c r="J1059" s="635"/>
      <c r="K1059" s="3241">
        <f t="shared" si="168"/>
        <v>1</v>
      </c>
      <c r="L1059" s="635"/>
      <c r="M1059" s="3241">
        <f t="shared" si="169"/>
        <v>1</v>
      </c>
      <c r="N1059" s="635"/>
      <c r="O1059" s="3241">
        <f t="shared" si="170"/>
        <v>1</v>
      </c>
      <c r="P1059" s="635"/>
      <c r="Q1059" s="3241">
        <f t="shared" si="171"/>
        <v>1</v>
      </c>
      <c r="R1059" s="3241">
        <f t="shared" ca="1" si="172"/>
        <v>5145</v>
      </c>
      <c r="S1059" s="905">
        <f t="shared" ca="1" si="173"/>
        <v>18</v>
      </c>
    </row>
    <row r="1060" spans="1:19">
      <c r="A1060" s="3227" t="s">
        <v>6220</v>
      </c>
      <c r="B1060" s="3228">
        <v>35.07</v>
      </c>
      <c r="C1060" s="3241">
        <f t="shared" si="174"/>
        <v>1</v>
      </c>
      <c r="D1060" s="3237" t="s">
        <v>5487</v>
      </c>
      <c r="E1060" s="3241">
        <f t="shared" si="165"/>
        <v>1.02</v>
      </c>
      <c r="F1060" s="635"/>
      <c r="G1060" s="3241">
        <f t="shared" si="166"/>
        <v>1</v>
      </c>
      <c r="H1060" s="635"/>
      <c r="I1060" s="3241">
        <f t="shared" si="167"/>
        <v>1</v>
      </c>
      <c r="J1060" s="635"/>
      <c r="K1060" s="3241">
        <f t="shared" si="168"/>
        <v>1</v>
      </c>
      <c r="L1060" s="635"/>
      <c r="M1060" s="3241">
        <f t="shared" si="169"/>
        <v>1</v>
      </c>
      <c r="N1060" s="635"/>
      <c r="O1060" s="3241">
        <f t="shared" si="170"/>
        <v>1</v>
      </c>
      <c r="P1060" s="635"/>
      <c r="Q1060" s="3241">
        <f t="shared" si="171"/>
        <v>1</v>
      </c>
      <c r="R1060" s="3241">
        <f t="shared" ca="1" si="172"/>
        <v>5145</v>
      </c>
      <c r="S1060" s="905">
        <f t="shared" ca="1" si="173"/>
        <v>18</v>
      </c>
    </row>
    <row r="1061" spans="1:19">
      <c r="A1061" s="3227" t="s">
        <v>5055</v>
      </c>
      <c r="B1061" s="3228">
        <v>35.07</v>
      </c>
      <c r="C1061" s="3241">
        <f t="shared" si="174"/>
        <v>1</v>
      </c>
      <c r="D1061" s="3237" t="s">
        <v>4322</v>
      </c>
      <c r="E1061" s="3241">
        <f t="shared" si="165"/>
        <v>1.02</v>
      </c>
      <c r="F1061" s="635"/>
      <c r="G1061" s="3241">
        <f t="shared" si="166"/>
        <v>1</v>
      </c>
      <c r="H1061" s="635"/>
      <c r="I1061" s="3241">
        <f t="shared" si="167"/>
        <v>1</v>
      </c>
      <c r="J1061" s="635"/>
      <c r="K1061" s="3241">
        <f t="shared" si="168"/>
        <v>1</v>
      </c>
      <c r="L1061" s="635"/>
      <c r="M1061" s="3241">
        <f t="shared" si="169"/>
        <v>1</v>
      </c>
      <c r="N1061" s="635"/>
      <c r="O1061" s="3241">
        <f t="shared" si="170"/>
        <v>1</v>
      </c>
      <c r="P1061" s="635"/>
      <c r="Q1061" s="3241">
        <f t="shared" si="171"/>
        <v>1</v>
      </c>
      <c r="R1061" s="3241">
        <f t="shared" ca="1" si="172"/>
        <v>5145</v>
      </c>
      <c r="S1061" s="905">
        <f t="shared" ca="1" si="173"/>
        <v>18</v>
      </c>
    </row>
    <row r="1062" spans="1:19">
      <c r="A1062" s="3227" t="s">
        <v>6222</v>
      </c>
      <c r="B1062" s="3228">
        <v>35.07</v>
      </c>
      <c r="C1062" s="3241">
        <f t="shared" si="174"/>
        <v>1</v>
      </c>
      <c r="D1062" s="3237" t="s">
        <v>5487</v>
      </c>
      <c r="E1062" s="3241">
        <f t="shared" si="165"/>
        <v>1.02</v>
      </c>
      <c r="F1062" s="635"/>
      <c r="G1062" s="3241">
        <f t="shared" si="166"/>
        <v>1</v>
      </c>
      <c r="H1062" s="635"/>
      <c r="I1062" s="3241">
        <f t="shared" si="167"/>
        <v>1</v>
      </c>
      <c r="J1062" s="635"/>
      <c r="K1062" s="3241">
        <f t="shared" si="168"/>
        <v>1</v>
      </c>
      <c r="L1062" s="635"/>
      <c r="M1062" s="3241">
        <f t="shared" si="169"/>
        <v>1</v>
      </c>
      <c r="N1062" s="635"/>
      <c r="O1062" s="3241">
        <f t="shared" si="170"/>
        <v>1</v>
      </c>
      <c r="P1062" s="635"/>
      <c r="Q1062" s="3241">
        <f t="shared" si="171"/>
        <v>1</v>
      </c>
      <c r="R1062" s="3241">
        <f t="shared" ca="1" si="172"/>
        <v>5145</v>
      </c>
      <c r="S1062" s="905">
        <f t="shared" ca="1" si="173"/>
        <v>18</v>
      </c>
    </row>
    <row r="1063" spans="1:19">
      <c r="A1063" s="3227" t="s">
        <v>5057</v>
      </c>
      <c r="B1063" s="3228">
        <v>35.07</v>
      </c>
      <c r="C1063" s="3241">
        <f t="shared" si="174"/>
        <v>1</v>
      </c>
      <c r="D1063" s="3237" t="s">
        <v>4322</v>
      </c>
      <c r="E1063" s="3241">
        <f t="shared" si="165"/>
        <v>1.02</v>
      </c>
      <c r="F1063" s="635"/>
      <c r="G1063" s="3241">
        <f t="shared" si="166"/>
        <v>1</v>
      </c>
      <c r="H1063" s="635"/>
      <c r="I1063" s="3241">
        <f t="shared" si="167"/>
        <v>1</v>
      </c>
      <c r="J1063" s="635"/>
      <c r="K1063" s="3241">
        <f t="shared" si="168"/>
        <v>1</v>
      </c>
      <c r="L1063" s="635"/>
      <c r="M1063" s="3241">
        <f t="shared" si="169"/>
        <v>1</v>
      </c>
      <c r="N1063" s="635"/>
      <c r="O1063" s="3241">
        <f t="shared" si="170"/>
        <v>1</v>
      </c>
      <c r="P1063" s="635"/>
      <c r="Q1063" s="3241">
        <f t="shared" si="171"/>
        <v>1</v>
      </c>
      <c r="R1063" s="3241">
        <f t="shared" ca="1" si="172"/>
        <v>5145</v>
      </c>
      <c r="S1063" s="905">
        <f t="shared" ca="1" si="173"/>
        <v>18</v>
      </c>
    </row>
    <row r="1064" spans="1:19">
      <c r="A1064" s="3227" t="s">
        <v>6224</v>
      </c>
      <c r="B1064" s="3228">
        <v>35.07</v>
      </c>
      <c r="C1064" s="3241">
        <f t="shared" si="174"/>
        <v>1</v>
      </c>
      <c r="D1064" s="3237" t="s">
        <v>5487</v>
      </c>
      <c r="E1064" s="3241">
        <f t="shared" si="165"/>
        <v>1.02</v>
      </c>
      <c r="F1064" s="635"/>
      <c r="G1064" s="3241">
        <f t="shared" si="166"/>
        <v>1</v>
      </c>
      <c r="H1064" s="635"/>
      <c r="I1064" s="3241">
        <f t="shared" si="167"/>
        <v>1</v>
      </c>
      <c r="J1064" s="635"/>
      <c r="K1064" s="3241">
        <f t="shared" si="168"/>
        <v>1</v>
      </c>
      <c r="L1064" s="635"/>
      <c r="M1064" s="3241">
        <f t="shared" si="169"/>
        <v>1</v>
      </c>
      <c r="N1064" s="635"/>
      <c r="O1064" s="3241">
        <f t="shared" si="170"/>
        <v>1</v>
      </c>
      <c r="P1064" s="635"/>
      <c r="Q1064" s="3241">
        <f t="shared" si="171"/>
        <v>1</v>
      </c>
      <c r="R1064" s="3241">
        <f t="shared" ca="1" si="172"/>
        <v>5145</v>
      </c>
      <c r="S1064" s="905">
        <f t="shared" ca="1" si="173"/>
        <v>18</v>
      </c>
    </row>
    <row r="1065" spans="1:19">
      <c r="A1065" s="3227" t="s">
        <v>5059</v>
      </c>
      <c r="B1065" s="3228">
        <v>35.07</v>
      </c>
      <c r="C1065" s="3241">
        <f t="shared" si="174"/>
        <v>1</v>
      </c>
      <c r="D1065" s="3237" t="s">
        <v>4322</v>
      </c>
      <c r="E1065" s="3241">
        <f t="shared" si="165"/>
        <v>1.02</v>
      </c>
      <c r="F1065" s="635"/>
      <c r="G1065" s="3241">
        <f t="shared" si="166"/>
        <v>1</v>
      </c>
      <c r="H1065" s="635"/>
      <c r="I1065" s="3241">
        <f t="shared" si="167"/>
        <v>1</v>
      </c>
      <c r="J1065" s="635"/>
      <c r="K1065" s="3241">
        <f t="shared" si="168"/>
        <v>1</v>
      </c>
      <c r="L1065" s="635"/>
      <c r="M1065" s="3241">
        <f t="shared" si="169"/>
        <v>1</v>
      </c>
      <c r="N1065" s="635"/>
      <c r="O1065" s="3241">
        <f t="shared" si="170"/>
        <v>1</v>
      </c>
      <c r="P1065" s="635"/>
      <c r="Q1065" s="3241">
        <f t="shared" si="171"/>
        <v>1</v>
      </c>
      <c r="R1065" s="3241">
        <f t="shared" ca="1" si="172"/>
        <v>5145</v>
      </c>
      <c r="S1065" s="905">
        <f t="shared" ca="1" si="173"/>
        <v>18</v>
      </c>
    </row>
    <row r="1066" spans="1:19">
      <c r="A1066" s="3227" t="s">
        <v>6226</v>
      </c>
      <c r="B1066" s="3228">
        <v>35.07</v>
      </c>
      <c r="C1066" s="3241">
        <f t="shared" si="174"/>
        <v>1</v>
      </c>
      <c r="D1066" s="3237" t="s">
        <v>5487</v>
      </c>
      <c r="E1066" s="3241">
        <f t="shared" si="165"/>
        <v>1.02</v>
      </c>
      <c r="F1066" s="635"/>
      <c r="G1066" s="3241">
        <f t="shared" si="166"/>
        <v>1</v>
      </c>
      <c r="H1066" s="635"/>
      <c r="I1066" s="3241">
        <f t="shared" si="167"/>
        <v>1</v>
      </c>
      <c r="J1066" s="635"/>
      <c r="K1066" s="3241">
        <f t="shared" si="168"/>
        <v>1</v>
      </c>
      <c r="L1066" s="635"/>
      <c r="M1066" s="3241">
        <f t="shared" si="169"/>
        <v>1</v>
      </c>
      <c r="N1066" s="635"/>
      <c r="O1066" s="3241">
        <f t="shared" si="170"/>
        <v>1</v>
      </c>
      <c r="P1066" s="635"/>
      <c r="Q1066" s="3241">
        <f t="shared" si="171"/>
        <v>1</v>
      </c>
      <c r="R1066" s="3241">
        <f t="shared" ca="1" si="172"/>
        <v>5145</v>
      </c>
      <c r="S1066" s="905">
        <f t="shared" ca="1" si="173"/>
        <v>18</v>
      </c>
    </row>
    <row r="1067" spans="1:19">
      <c r="A1067" s="3227" t="s">
        <v>5061</v>
      </c>
      <c r="B1067" s="3228">
        <v>35.07</v>
      </c>
      <c r="C1067" s="3241">
        <f t="shared" si="174"/>
        <v>1</v>
      </c>
      <c r="D1067" s="3237" t="s">
        <v>4322</v>
      </c>
      <c r="E1067" s="3241">
        <f t="shared" si="165"/>
        <v>1.02</v>
      </c>
      <c r="F1067" s="635"/>
      <c r="G1067" s="3241">
        <f t="shared" si="166"/>
        <v>1</v>
      </c>
      <c r="H1067" s="635"/>
      <c r="I1067" s="3241">
        <f t="shared" si="167"/>
        <v>1</v>
      </c>
      <c r="J1067" s="635"/>
      <c r="K1067" s="3241">
        <f t="shared" si="168"/>
        <v>1</v>
      </c>
      <c r="L1067" s="635"/>
      <c r="M1067" s="3241">
        <f t="shared" si="169"/>
        <v>1</v>
      </c>
      <c r="N1067" s="635"/>
      <c r="O1067" s="3241">
        <f t="shared" si="170"/>
        <v>1</v>
      </c>
      <c r="P1067" s="635"/>
      <c r="Q1067" s="3241">
        <f t="shared" si="171"/>
        <v>1</v>
      </c>
      <c r="R1067" s="3241">
        <f t="shared" ca="1" si="172"/>
        <v>5145</v>
      </c>
      <c r="S1067" s="905">
        <f t="shared" ca="1" si="173"/>
        <v>18</v>
      </c>
    </row>
    <row r="1068" spans="1:19">
      <c r="A1068" s="3227" t="s">
        <v>6228</v>
      </c>
      <c r="B1068" s="3228">
        <v>33.630000000000003</v>
      </c>
      <c r="C1068" s="3241">
        <f t="shared" si="174"/>
        <v>1</v>
      </c>
      <c r="D1068" s="3237" t="s">
        <v>5487</v>
      </c>
      <c r="E1068" s="3241">
        <f t="shared" si="165"/>
        <v>1.02</v>
      </c>
      <c r="F1068" s="635"/>
      <c r="G1068" s="3241">
        <f t="shared" si="166"/>
        <v>1</v>
      </c>
      <c r="H1068" s="635"/>
      <c r="I1068" s="3241">
        <f t="shared" si="167"/>
        <v>1</v>
      </c>
      <c r="J1068" s="635"/>
      <c r="K1068" s="3241">
        <f t="shared" si="168"/>
        <v>1</v>
      </c>
      <c r="L1068" s="635"/>
      <c r="M1068" s="3241">
        <f t="shared" si="169"/>
        <v>1</v>
      </c>
      <c r="N1068" s="635"/>
      <c r="O1068" s="3241">
        <f t="shared" si="170"/>
        <v>1</v>
      </c>
      <c r="P1068" s="635"/>
      <c r="Q1068" s="3241">
        <f t="shared" si="171"/>
        <v>1</v>
      </c>
      <c r="R1068" s="3241">
        <f t="shared" ca="1" si="172"/>
        <v>5145</v>
      </c>
      <c r="S1068" s="905">
        <f t="shared" ca="1" si="173"/>
        <v>17</v>
      </c>
    </row>
    <row r="1069" spans="1:19">
      <c r="A1069" s="3227" t="s">
        <v>5063</v>
      </c>
      <c r="B1069" s="3228">
        <v>33.630000000000003</v>
      </c>
      <c r="C1069" s="3241">
        <f t="shared" si="174"/>
        <v>1</v>
      </c>
      <c r="D1069" s="3237" t="s">
        <v>4322</v>
      </c>
      <c r="E1069" s="3241">
        <f t="shared" si="165"/>
        <v>1.02</v>
      </c>
      <c r="F1069" s="635"/>
      <c r="G1069" s="3241">
        <f t="shared" si="166"/>
        <v>1</v>
      </c>
      <c r="H1069" s="635"/>
      <c r="I1069" s="3241">
        <f t="shared" si="167"/>
        <v>1</v>
      </c>
      <c r="J1069" s="635"/>
      <c r="K1069" s="3241">
        <f t="shared" si="168"/>
        <v>1</v>
      </c>
      <c r="L1069" s="635"/>
      <c r="M1069" s="3241">
        <f t="shared" si="169"/>
        <v>1</v>
      </c>
      <c r="N1069" s="635"/>
      <c r="O1069" s="3241">
        <f t="shared" si="170"/>
        <v>1</v>
      </c>
      <c r="P1069" s="635"/>
      <c r="Q1069" s="3241">
        <f t="shared" si="171"/>
        <v>1</v>
      </c>
      <c r="R1069" s="3241">
        <f t="shared" ca="1" si="172"/>
        <v>5145</v>
      </c>
      <c r="S1069" s="905">
        <f t="shared" ca="1" si="173"/>
        <v>17</v>
      </c>
    </row>
    <row r="1070" spans="1:19">
      <c r="A1070" s="3227" t="s">
        <v>6230</v>
      </c>
      <c r="B1070" s="3228">
        <v>33.630000000000003</v>
      </c>
      <c r="C1070" s="3241">
        <f t="shared" si="174"/>
        <v>1</v>
      </c>
      <c r="D1070" s="3237" t="s">
        <v>5487</v>
      </c>
      <c r="E1070" s="3241">
        <f t="shared" si="165"/>
        <v>1.02</v>
      </c>
      <c r="F1070" s="635"/>
      <c r="G1070" s="3241">
        <f t="shared" si="166"/>
        <v>1</v>
      </c>
      <c r="H1070" s="635"/>
      <c r="I1070" s="3241">
        <f t="shared" si="167"/>
        <v>1</v>
      </c>
      <c r="J1070" s="635"/>
      <c r="K1070" s="3241">
        <f t="shared" si="168"/>
        <v>1</v>
      </c>
      <c r="L1070" s="635"/>
      <c r="M1070" s="3241">
        <f t="shared" si="169"/>
        <v>1</v>
      </c>
      <c r="N1070" s="635"/>
      <c r="O1070" s="3241">
        <f t="shared" si="170"/>
        <v>1</v>
      </c>
      <c r="P1070" s="635"/>
      <c r="Q1070" s="3241">
        <f t="shared" si="171"/>
        <v>1</v>
      </c>
      <c r="R1070" s="3241">
        <f t="shared" ca="1" si="172"/>
        <v>5145</v>
      </c>
      <c r="S1070" s="905">
        <f t="shared" ca="1" si="173"/>
        <v>17</v>
      </c>
    </row>
    <row r="1071" spans="1:19">
      <c r="A1071" s="3227" t="s">
        <v>5065</v>
      </c>
      <c r="B1071" s="3228">
        <v>37.270000000000003</v>
      </c>
      <c r="C1071" s="3241">
        <f t="shared" si="174"/>
        <v>1</v>
      </c>
      <c r="D1071" s="3237" t="s">
        <v>4322</v>
      </c>
      <c r="E1071" s="3241">
        <f t="shared" si="165"/>
        <v>1.02</v>
      </c>
      <c r="F1071" s="635"/>
      <c r="G1071" s="3241">
        <f t="shared" si="166"/>
        <v>1</v>
      </c>
      <c r="H1071" s="635"/>
      <c r="I1071" s="3241">
        <f t="shared" si="167"/>
        <v>1</v>
      </c>
      <c r="J1071" s="635"/>
      <c r="K1071" s="3241">
        <f t="shared" si="168"/>
        <v>1</v>
      </c>
      <c r="L1071" s="635"/>
      <c r="M1071" s="3241">
        <f t="shared" si="169"/>
        <v>1</v>
      </c>
      <c r="N1071" s="635"/>
      <c r="O1071" s="3241">
        <f t="shared" si="170"/>
        <v>1</v>
      </c>
      <c r="P1071" s="635"/>
      <c r="Q1071" s="3241">
        <f t="shared" si="171"/>
        <v>1</v>
      </c>
      <c r="R1071" s="3241">
        <f t="shared" ca="1" si="172"/>
        <v>5145</v>
      </c>
      <c r="S1071" s="905">
        <f t="shared" ca="1" si="173"/>
        <v>19</v>
      </c>
    </row>
    <row r="1072" spans="1:19">
      <c r="A1072" s="3227" t="s">
        <v>6232</v>
      </c>
      <c r="B1072" s="3228">
        <v>37.270000000000003</v>
      </c>
      <c r="C1072" s="3241">
        <f t="shared" si="174"/>
        <v>1</v>
      </c>
      <c r="D1072" s="3237" t="s">
        <v>5487</v>
      </c>
      <c r="E1072" s="3241">
        <f t="shared" si="165"/>
        <v>1.02</v>
      </c>
      <c r="F1072" s="635"/>
      <c r="G1072" s="3241">
        <f t="shared" si="166"/>
        <v>1</v>
      </c>
      <c r="H1072" s="635"/>
      <c r="I1072" s="3241">
        <f t="shared" si="167"/>
        <v>1</v>
      </c>
      <c r="J1072" s="635"/>
      <c r="K1072" s="3241">
        <f t="shared" si="168"/>
        <v>1</v>
      </c>
      <c r="L1072" s="635"/>
      <c r="M1072" s="3241">
        <f t="shared" si="169"/>
        <v>1</v>
      </c>
      <c r="N1072" s="635"/>
      <c r="O1072" s="3241">
        <f t="shared" si="170"/>
        <v>1</v>
      </c>
      <c r="P1072" s="635"/>
      <c r="Q1072" s="3241">
        <f t="shared" si="171"/>
        <v>1</v>
      </c>
      <c r="R1072" s="3241">
        <f t="shared" ca="1" si="172"/>
        <v>5145</v>
      </c>
      <c r="S1072" s="905">
        <f t="shared" ca="1" si="173"/>
        <v>19</v>
      </c>
    </row>
    <row r="1073" spans="1:19">
      <c r="A1073" s="3227" t="s">
        <v>5067</v>
      </c>
      <c r="B1073" s="3228">
        <v>37.270000000000003</v>
      </c>
      <c r="C1073" s="3241">
        <f t="shared" si="174"/>
        <v>1</v>
      </c>
      <c r="D1073" s="3237" t="s">
        <v>4322</v>
      </c>
      <c r="E1073" s="3241">
        <f t="shared" si="165"/>
        <v>1.02</v>
      </c>
      <c r="F1073" s="635"/>
      <c r="G1073" s="3241">
        <f t="shared" si="166"/>
        <v>1</v>
      </c>
      <c r="H1073" s="635"/>
      <c r="I1073" s="3241">
        <f t="shared" si="167"/>
        <v>1</v>
      </c>
      <c r="J1073" s="635"/>
      <c r="K1073" s="3241">
        <f t="shared" si="168"/>
        <v>1</v>
      </c>
      <c r="L1073" s="635"/>
      <c r="M1073" s="3241">
        <f t="shared" si="169"/>
        <v>1</v>
      </c>
      <c r="N1073" s="635"/>
      <c r="O1073" s="3241">
        <f t="shared" si="170"/>
        <v>1</v>
      </c>
      <c r="P1073" s="635"/>
      <c r="Q1073" s="3241">
        <f t="shared" si="171"/>
        <v>1</v>
      </c>
      <c r="R1073" s="3241">
        <f t="shared" ca="1" si="172"/>
        <v>5145</v>
      </c>
      <c r="S1073" s="905">
        <f t="shared" ca="1" si="173"/>
        <v>19</v>
      </c>
    </row>
    <row r="1074" spans="1:19">
      <c r="A1074" s="3227" t="s">
        <v>6234</v>
      </c>
      <c r="B1074" s="3228">
        <v>37.270000000000003</v>
      </c>
      <c r="C1074" s="3241">
        <f t="shared" si="174"/>
        <v>1</v>
      </c>
      <c r="D1074" s="3237" t="s">
        <v>5487</v>
      </c>
      <c r="E1074" s="3241">
        <f t="shared" si="165"/>
        <v>1.02</v>
      </c>
      <c r="F1074" s="635"/>
      <c r="G1074" s="3241">
        <f t="shared" si="166"/>
        <v>1</v>
      </c>
      <c r="H1074" s="635"/>
      <c r="I1074" s="3241">
        <f t="shared" si="167"/>
        <v>1</v>
      </c>
      <c r="J1074" s="635"/>
      <c r="K1074" s="3241">
        <f t="shared" si="168"/>
        <v>1</v>
      </c>
      <c r="L1074" s="635"/>
      <c r="M1074" s="3241">
        <f t="shared" si="169"/>
        <v>1</v>
      </c>
      <c r="N1074" s="635"/>
      <c r="O1074" s="3241">
        <f t="shared" si="170"/>
        <v>1</v>
      </c>
      <c r="P1074" s="635"/>
      <c r="Q1074" s="3241">
        <f t="shared" si="171"/>
        <v>1</v>
      </c>
      <c r="R1074" s="3241">
        <f t="shared" ca="1" si="172"/>
        <v>5145</v>
      </c>
      <c r="S1074" s="905">
        <f t="shared" ca="1" si="173"/>
        <v>19</v>
      </c>
    </row>
    <row r="1075" spans="1:19">
      <c r="A1075" s="3227" t="s">
        <v>5069</v>
      </c>
      <c r="B1075" s="3228">
        <v>37.270000000000003</v>
      </c>
      <c r="C1075" s="3241">
        <f t="shared" si="174"/>
        <v>1</v>
      </c>
      <c r="D1075" s="3237" t="s">
        <v>4322</v>
      </c>
      <c r="E1075" s="3241">
        <f t="shared" si="165"/>
        <v>1.02</v>
      </c>
      <c r="F1075" s="635"/>
      <c r="G1075" s="3241">
        <f t="shared" si="166"/>
        <v>1</v>
      </c>
      <c r="H1075" s="635"/>
      <c r="I1075" s="3241">
        <f t="shared" si="167"/>
        <v>1</v>
      </c>
      <c r="J1075" s="635"/>
      <c r="K1075" s="3241">
        <f t="shared" si="168"/>
        <v>1</v>
      </c>
      <c r="L1075" s="635"/>
      <c r="M1075" s="3241">
        <f t="shared" si="169"/>
        <v>1</v>
      </c>
      <c r="N1075" s="635"/>
      <c r="O1075" s="3241">
        <f t="shared" si="170"/>
        <v>1</v>
      </c>
      <c r="P1075" s="635"/>
      <c r="Q1075" s="3241">
        <f t="shared" si="171"/>
        <v>1</v>
      </c>
      <c r="R1075" s="3241">
        <f t="shared" ca="1" si="172"/>
        <v>5145</v>
      </c>
      <c r="S1075" s="905">
        <f t="shared" ca="1" si="173"/>
        <v>19</v>
      </c>
    </row>
    <row r="1076" spans="1:19">
      <c r="A1076" s="3227" t="s">
        <v>6236</v>
      </c>
      <c r="B1076" s="3228">
        <v>37.270000000000003</v>
      </c>
      <c r="C1076" s="3241">
        <f t="shared" si="174"/>
        <v>1</v>
      </c>
      <c r="D1076" s="3239" t="s">
        <v>5494</v>
      </c>
      <c r="E1076" s="3241">
        <f t="shared" si="165"/>
        <v>1.02</v>
      </c>
      <c r="F1076" s="635"/>
      <c r="G1076" s="3241">
        <f t="shared" si="166"/>
        <v>1</v>
      </c>
      <c r="H1076" s="635"/>
      <c r="I1076" s="3241">
        <f t="shared" si="167"/>
        <v>1</v>
      </c>
      <c r="J1076" s="635"/>
      <c r="K1076" s="3241">
        <f t="shared" si="168"/>
        <v>1</v>
      </c>
      <c r="L1076" s="635"/>
      <c r="M1076" s="3241">
        <f t="shared" si="169"/>
        <v>1</v>
      </c>
      <c r="N1076" s="635"/>
      <c r="O1076" s="3241">
        <f t="shared" si="170"/>
        <v>1</v>
      </c>
      <c r="P1076" s="635"/>
      <c r="Q1076" s="3241">
        <f t="shared" si="171"/>
        <v>1</v>
      </c>
      <c r="R1076" s="3241">
        <f t="shared" ca="1" si="172"/>
        <v>5145</v>
      </c>
      <c r="S1076" s="905">
        <f t="shared" ca="1" si="173"/>
        <v>19</v>
      </c>
    </row>
    <row r="1077" spans="1:19">
      <c r="A1077" s="3227" t="s">
        <v>5071</v>
      </c>
      <c r="B1077" s="3228">
        <v>37.270000000000003</v>
      </c>
      <c r="C1077" s="3241">
        <f t="shared" si="174"/>
        <v>1</v>
      </c>
      <c r="D1077" s="3239" t="s">
        <v>4330</v>
      </c>
      <c r="E1077" s="3241">
        <f t="shared" si="165"/>
        <v>1.02</v>
      </c>
      <c r="F1077" s="635"/>
      <c r="G1077" s="3241">
        <f t="shared" si="166"/>
        <v>1</v>
      </c>
      <c r="H1077" s="635"/>
      <c r="I1077" s="3241">
        <f t="shared" si="167"/>
        <v>1</v>
      </c>
      <c r="J1077" s="635"/>
      <c r="K1077" s="3241">
        <f t="shared" si="168"/>
        <v>1</v>
      </c>
      <c r="L1077" s="635"/>
      <c r="M1077" s="3241">
        <f t="shared" si="169"/>
        <v>1</v>
      </c>
      <c r="N1077" s="635"/>
      <c r="O1077" s="3241">
        <f t="shared" si="170"/>
        <v>1</v>
      </c>
      <c r="P1077" s="635"/>
      <c r="Q1077" s="3241">
        <f t="shared" si="171"/>
        <v>1</v>
      </c>
      <c r="R1077" s="3241">
        <f t="shared" ca="1" si="172"/>
        <v>5145</v>
      </c>
      <c r="S1077" s="905">
        <f t="shared" ca="1" si="173"/>
        <v>19</v>
      </c>
    </row>
    <row r="1078" spans="1:19">
      <c r="A1078" s="3227" t="s">
        <v>6238</v>
      </c>
      <c r="B1078" s="3228">
        <v>37.270000000000003</v>
      </c>
      <c r="C1078" s="3241">
        <f t="shared" si="174"/>
        <v>1</v>
      </c>
      <c r="D1078" s="3239" t="s">
        <v>5494</v>
      </c>
      <c r="E1078" s="3241">
        <f t="shared" si="165"/>
        <v>1.02</v>
      </c>
      <c r="F1078" s="635"/>
      <c r="G1078" s="3241">
        <f t="shared" si="166"/>
        <v>1</v>
      </c>
      <c r="H1078" s="635"/>
      <c r="I1078" s="3241">
        <f t="shared" si="167"/>
        <v>1</v>
      </c>
      <c r="J1078" s="635"/>
      <c r="K1078" s="3241">
        <f t="shared" si="168"/>
        <v>1</v>
      </c>
      <c r="L1078" s="635"/>
      <c r="M1078" s="3241">
        <f t="shared" si="169"/>
        <v>1</v>
      </c>
      <c r="N1078" s="635"/>
      <c r="O1078" s="3241">
        <f t="shared" si="170"/>
        <v>1</v>
      </c>
      <c r="P1078" s="635"/>
      <c r="Q1078" s="3241">
        <f t="shared" si="171"/>
        <v>1</v>
      </c>
      <c r="R1078" s="3241">
        <f t="shared" ca="1" si="172"/>
        <v>5145</v>
      </c>
      <c r="S1078" s="905">
        <f t="shared" ca="1" si="173"/>
        <v>19</v>
      </c>
    </row>
    <row r="1079" spans="1:19">
      <c r="A1079" s="3227" t="s">
        <v>5073</v>
      </c>
      <c r="B1079" s="3228">
        <v>37.270000000000003</v>
      </c>
      <c r="C1079" s="3241">
        <f t="shared" si="174"/>
        <v>1</v>
      </c>
      <c r="D1079" s="3239" t="s">
        <v>4330</v>
      </c>
      <c r="E1079" s="3241">
        <f t="shared" si="165"/>
        <v>1.02</v>
      </c>
      <c r="F1079" s="635"/>
      <c r="G1079" s="3241">
        <f t="shared" si="166"/>
        <v>1</v>
      </c>
      <c r="H1079" s="635"/>
      <c r="I1079" s="3241">
        <f t="shared" si="167"/>
        <v>1</v>
      </c>
      <c r="J1079" s="635"/>
      <c r="K1079" s="3241">
        <f t="shared" si="168"/>
        <v>1</v>
      </c>
      <c r="L1079" s="635"/>
      <c r="M1079" s="3241">
        <f t="shared" si="169"/>
        <v>1</v>
      </c>
      <c r="N1079" s="635"/>
      <c r="O1079" s="3241">
        <f t="shared" si="170"/>
        <v>1</v>
      </c>
      <c r="P1079" s="635"/>
      <c r="Q1079" s="3241">
        <f t="shared" si="171"/>
        <v>1</v>
      </c>
      <c r="R1079" s="3241">
        <f t="shared" ca="1" si="172"/>
        <v>5145</v>
      </c>
      <c r="S1079" s="905">
        <f t="shared" ca="1" si="173"/>
        <v>19</v>
      </c>
    </row>
    <row r="1080" spans="1:19">
      <c r="A1080" s="3227" t="s">
        <v>6240</v>
      </c>
      <c r="B1080" s="3228">
        <v>35.07</v>
      </c>
      <c r="C1080" s="3241">
        <f t="shared" si="174"/>
        <v>1</v>
      </c>
      <c r="D1080" s="3237" t="s">
        <v>5487</v>
      </c>
      <c r="E1080" s="3241">
        <f t="shared" si="165"/>
        <v>1.02</v>
      </c>
      <c r="F1080" s="635"/>
      <c r="G1080" s="3241">
        <f t="shared" si="166"/>
        <v>1</v>
      </c>
      <c r="H1080" s="635"/>
      <c r="I1080" s="3241">
        <f t="shared" si="167"/>
        <v>1</v>
      </c>
      <c r="J1080" s="635"/>
      <c r="K1080" s="3241">
        <f t="shared" si="168"/>
        <v>1</v>
      </c>
      <c r="L1080" s="635"/>
      <c r="M1080" s="3241">
        <f t="shared" si="169"/>
        <v>1</v>
      </c>
      <c r="N1080" s="635"/>
      <c r="O1080" s="3241">
        <f t="shared" si="170"/>
        <v>1</v>
      </c>
      <c r="P1080" s="635"/>
      <c r="Q1080" s="3241">
        <f t="shared" si="171"/>
        <v>1</v>
      </c>
      <c r="R1080" s="3241">
        <f t="shared" ca="1" si="172"/>
        <v>5145</v>
      </c>
      <c r="S1080" s="905">
        <f t="shared" ca="1" si="173"/>
        <v>18</v>
      </c>
    </row>
    <row r="1081" spans="1:19">
      <c r="A1081" s="3227" t="s">
        <v>5075</v>
      </c>
      <c r="B1081" s="3228">
        <v>37.270000000000003</v>
      </c>
      <c r="C1081" s="3241">
        <f t="shared" si="174"/>
        <v>1</v>
      </c>
      <c r="D1081" s="3239" t="s">
        <v>4330</v>
      </c>
      <c r="E1081" s="3241">
        <f t="shared" si="165"/>
        <v>1.02</v>
      </c>
      <c r="F1081" s="635"/>
      <c r="G1081" s="3241">
        <f t="shared" si="166"/>
        <v>1</v>
      </c>
      <c r="H1081" s="635"/>
      <c r="I1081" s="3241">
        <f t="shared" si="167"/>
        <v>1</v>
      </c>
      <c r="J1081" s="635"/>
      <c r="K1081" s="3241">
        <f t="shared" si="168"/>
        <v>1</v>
      </c>
      <c r="L1081" s="635"/>
      <c r="M1081" s="3241">
        <f t="shared" si="169"/>
        <v>1</v>
      </c>
      <c r="N1081" s="635"/>
      <c r="O1081" s="3241">
        <f t="shared" si="170"/>
        <v>1</v>
      </c>
      <c r="P1081" s="635"/>
      <c r="Q1081" s="3241">
        <f t="shared" si="171"/>
        <v>1</v>
      </c>
      <c r="R1081" s="3241">
        <f t="shared" ca="1" si="172"/>
        <v>5145</v>
      </c>
      <c r="S1081" s="905">
        <f t="shared" ca="1" si="173"/>
        <v>19</v>
      </c>
    </row>
    <row r="1082" spans="1:19">
      <c r="A1082" s="3227" t="s">
        <v>6242</v>
      </c>
      <c r="B1082" s="3228">
        <v>37.270000000000003</v>
      </c>
      <c r="C1082" s="3241">
        <f t="shared" si="174"/>
        <v>1</v>
      </c>
      <c r="D1082" s="3237" t="s">
        <v>5487</v>
      </c>
      <c r="E1082" s="3241">
        <f t="shared" si="165"/>
        <v>1.02</v>
      </c>
      <c r="F1082" s="635"/>
      <c r="G1082" s="3241">
        <f t="shared" si="166"/>
        <v>1</v>
      </c>
      <c r="H1082" s="635"/>
      <c r="I1082" s="3241">
        <f t="shared" si="167"/>
        <v>1</v>
      </c>
      <c r="J1082" s="635"/>
      <c r="K1082" s="3241">
        <f t="shared" si="168"/>
        <v>1</v>
      </c>
      <c r="L1082" s="635"/>
      <c r="M1082" s="3241">
        <f t="shared" si="169"/>
        <v>1</v>
      </c>
      <c r="N1082" s="635"/>
      <c r="O1082" s="3241">
        <f t="shared" si="170"/>
        <v>1</v>
      </c>
      <c r="P1082" s="635"/>
      <c r="Q1082" s="3241">
        <f t="shared" si="171"/>
        <v>1</v>
      </c>
      <c r="R1082" s="3241">
        <f t="shared" ca="1" si="172"/>
        <v>5145</v>
      </c>
      <c r="S1082" s="905">
        <f t="shared" ca="1" si="173"/>
        <v>19</v>
      </c>
    </row>
    <row r="1083" spans="1:19">
      <c r="A1083" s="3227" t="s">
        <v>5077</v>
      </c>
      <c r="B1083" s="3228">
        <v>37.270000000000003</v>
      </c>
      <c r="C1083" s="3241">
        <f t="shared" si="174"/>
        <v>1</v>
      </c>
      <c r="D1083" s="3239" t="s">
        <v>4330</v>
      </c>
      <c r="E1083" s="3241">
        <f t="shared" si="165"/>
        <v>1.02</v>
      </c>
      <c r="F1083" s="635"/>
      <c r="G1083" s="3241">
        <f t="shared" si="166"/>
        <v>1</v>
      </c>
      <c r="H1083" s="635"/>
      <c r="I1083" s="3241">
        <f t="shared" si="167"/>
        <v>1</v>
      </c>
      <c r="J1083" s="635"/>
      <c r="K1083" s="3241">
        <f t="shared" si="168"/>
        <v>1</v>
      </c>
      <c r="L1083" s="635"/>
      <c r="M1083" s="3241">
        <f t="shared" si="169"/>
        <v>1</v>
      </c>
      <c r="N1083" s="635"/>
      <c r="O1083" s="3241">
        <f t="shared" si="170"/>
        <v>1</v>
      </c>
      <c r="P1083" s="635"/>
      <c r="Q1083" s="3241">
        <f t="shared" si="171"/>
        <v>1</v>
      </c>
      <c r="R1083" s="3241">
        <f t="shared" ca="1" si="172"/>
        <v>5145</v>
      </c>
      <c r="S1083" s="905">
        <f t="shared" ca="1" si="173"/>
        <v>19</v>
      </c>
    </row>
    <row r="1084" spans="1:19">
      <c r="A1084" s="3227" t="s">
        <v>6244</v>
      </c>
      <c r="B1084" s="3228">
        <v>37.270000000000003</v>
      </c>
      <c r="C1084" s="3241">
        <f t="shared" si="174"/>
        <v>1</v>
      </c>
      <c r="D1084" s="3237" t="s">
        <v>5487</v>
      </c>
      <c r="E1084" s="3241">
        <f t="shared" si="165"/>
        <v>1.02</v>
      </c>
      <c r="F1084" s="635"/>
      <c r="G1084" s="3241">
        <f t="shared" si="166"/>
        <v>1</v>
      </c>
      <c r="H1084" s="635"/>
      <c r="I1084" s="3241">
        <f t="shared" si="167"/>
        <v>1</v>
      </c>
      <c r="J1084" s="635"/>
      <c r="K1084" s="3241">
        <f t="shared" si="168"/>
        <v>1</v>
      </c>
      <c r="L1084" s="635"/>
      <c r="M1084" s="3241">
        <f t="shared" si="169"/>
        <v>1</v>
      </c>
      <c r="N1084" s="635"/>
      <c r="O1084" s="3241">
        <f t="shared" si="170"/>
        <v>1</v>
      </c>
      <c r="P1084" s="635"/>
      <c r="Q1084" s="3241">
        <f t="shared" si="171"/>
        <v>1</v>
      </c>
      <c r="R1084" s="3241">
        <f t="shared" ca="1" si="172"/>
        <v>5145</v>
      </c>
      <c r="S1084" s="905">
        <f t="shared" ca="1" si="173"/>
        <v>19</v>
      </c>
    </row>
    <row r="1085" spans="1:19">
      <c r="A1085" s="3227" t="s">
        <v>5079</v>
      </c>
      <c r="B1085" s="3228">
        <v>37.270000000000003</v>
      </c>
      <c r="C1085" s="3241">
        <f t="shared" si="174"/>
        <v>1</v>
      </c>
      <c r="D1085" s="3237" t="s">
        <v>4322</v>
      </c>
      <c r="E1085" s="3241">
        <f t="shared" si="165"/>
        <v>1.02</v>
      </c>
      <c r="F1085" s="635"/>
      <c r="G1085" s="3241">
        <f t="shared" si="166"/>
        <v>1</v>
      </c>
      <c r="H1085" s="635"/>
      <c r="I1085" s="3241">
        <f t="shared" si="167"/>
        <v>1</v>
      </c>
      <c r="J1085" s="635"/>
      <c r="K1085" s="3241">
        <f t="shared" si="168"/>
        <v>1</v>
      </c>
      <c r="L1085" s="635"/>
      <c r="M1085" s="3241">
        <f t="shared" si="169"/>
        <v>1</v>
      </c>
      <c r="N1085" s="635"/>
      <c r="O1085" s="3241">
        <f t="shared" si="170"/>
        <v>1</v>
      </c>
      <c r="P1085" s="635"/>
      <c r="Q1085" s="3241">
        <f t="shared" si="171"/>
        <v>1</v>
      </c>
      <c r="R1085" s="3241">
        <f t="shared" ca="1" si="172"/>
        <v>5145</v>
      </c>
      <c r="S1085" s="905">
        <f t="shared" ca="1" si="173"/>
        <v>19</v>
      </c>
    </row>
    <row r="1086" spans="1:19">
      <c r="A1086" s="3227" t="s">
        <v>6246</v>
      </c>
      <c r="B1086" s="3228">
        <v>37.270000000000003</v>
      </c>
      <c r="C1086" s="3241">
        <f t="shared" si="174"/>
        <v>1</v>
      </c>
      <c r="D1086" s="3237" t="s">
        <v>5487</v>
      </c>
      <c r="E1086" s="3241">
        <f t="shared" si="165"/>
        <v>1.02</v>
      </c>
      <c r="F1086" s="635"/>
      <c r="G1086" s="3241">
        <f t="shared" si="166"/>
        <v>1</v>
      </c>
      <c r="H1086" s="635"/>
      <c r="I1086" s="3241">
        <f t="shared" si="167"/>
        <v>1</v>
      </c>
      <c r="J1086" s="635"/>
      <c r="K1086" s="3241">
        <f t="shared" si="168"/>
        <v>1</v>
      </c>
      <c r="L1086" s="635"/>
      <c r="M1086" s="3241">
        <f t="shared" si="169"/>
        <v>1</v>
      </c>
      <c r="N1086" s="635"/>
      <c r="O1086" s="3241">
        <f t="shared" si="170"/>
        <v>1</v>
      </c>
      <c r="P1086" s="635"/>
      <c r="Q1086" s="3241">
        <f t="shared" si="171"/>
        <v>1</v>
      </c>
      <c r="R1086" s="3241">
        <f t="shared" ca="1" si="172"/>
        <v>5145</v>
      </c>
      <c r="S1086" s="905">
        <f t="shared" ca="1" si="173"/>
        <v>19</v>
      </c>
    </row>
    <row r="1087" spans="1:19">
      <c r="A1087" s="3227" t="s">
        <v>5081</v>
      </c>
      <c r="B1087" s="3228">
        <v>37.270000000000003</v>
      </c>
      <c r="C1087" s="3241">
        <f t="shared" si="174"/>
        <v>1</v>
      </c>
      <c r="D1087" s="3237" t="s">
        <v>4322</v>
      </c>
      <c r="E1087" s="3241">
        <f t="shared" si="165"/>
        <v>1.02</v>
      </c>
      <c r="F1087" s="635"/>
      <c r="G1087" s="3241">
        <f t="shared" si="166"/>
        <v>1</v>
      </c>
      <c r="H1087" s="635"/>
      <c r="I1087" s="3241">
        <f t="shared" si="167"/>
        <v>1</v>
      </c>
      <c r="J1087" s="635"/>
      <c r="K1087" s="3241">
        <f t="shared" si="168"/>
        <v>1</v>
      </c>
      <c r="L1087" s="635"/>
      <c r="M1087" s="3241">
        <f t="shared" si="169"/>
        <v>1</v>
      </c>
      <c r="N1087" s="635"/>
      <c r="O1087" s="3241">
        <f t="shared" si="170"/>
        <v>1</v>
      </c>
      <c r="P1087" s="635"/>
      <c r="Q1087" s="3241">
        <f t="shared" si="171"/>
        <v>1</v>
      </c>
      <c r="R1087" s="3241">
        <f t="shared" ca="1" si="172"/>
        <v>5145</v>
      </c>
      <c r="S1087" s="905">
        <f t="shared" ca="1" si="173"/>
        <v>19</v>
      </c>
    </row>
    <row r="1088" spans="1:19">
      <c r="A1088" s="3227" t="s">
        <v>6248</v>
      </c>
      <c r="B1088" s="3228">
        <v>37.270000000000003</v>
      </c>
      <c r="C1088" s="3241">
        <f t="shared" si="174"/>
        <v>1</v>
      </c>
      <c r="D1088" s="3237" t="s">
        <v>5487</v>
      </c>
      <c r="E1088" s="3241">
        <f t="shared" si="165"/>
        <v>1.02</v>
      </c>
      <c r="F1088" s="635"/>
      <c r="G1088" s="3241">
        <f t="shared" si="166"/>
        <v>1</v>
      </c>
      <c r="H1088" s="635"/>
      <c r="I1088" s="3241">
        <f t="shared" si="167"/>
        <v>1</v>
      </c>
      <c r="J1088" s="635"/>
      <c r="K1088" s="3241">
        <f t="shared" si="168"/>
        <v>1</v>
      </c>
      <c r="L1088" s="635"/>
      <c r="M1088" s="3241">
        <f t="shared" si="169"/>
        <v>1</v>
      </c>
      <c r="N1088" s="635"/>
      <c r="O1088" s="3241">
        <f t="shared" si="170"/>
        <v>1</v>
      </c>
      <c r="P1088" s="635"/>
      <c r="Q1088" s="3241">
        <f t="shared" si="171"/>
        <v>1</v>
      </c>
      <c r="R1088" s="3241">
        <f t="shared" ca="1" si="172"/>
        <v>5145</v>
      </c>
      <c r="S1088" s="905">
        <f t="shared" ca="1" si="173"/>
        <v>19</v>
      </c>
    </row>
    <row r="1089" spans="1:19">
      <c r="A1089" s="3227" t="s">
        <v>5083</v>
      </c>
      <c r="B1089" s="3228">
        <v>37.270000000000003</v>
      </c>
      <c r="C1089" s="3241">
        <f t="shared" si="174"/>
        <v>1</v>
      </c>
      <c r="D1089" s="3237" t="s">
        <v>4322</v>
      </c>
      <c r="E1089" s="3241">
        <f t="shared" si="165"/>
        <v>1.02</v>
      </c>
      <c r="F1089" s="635"/>
      <c r="G1089" s="3241">
        <f t="shared" si="166"/>
        <v>1</v>
      </c>
      <c r="H1089" s="635"/>
      <c r="I1089" s="3241">
        <f t="shared" si="167"/>
        <v>1</v>
      </c>
      <c r="J1089" s="635"/>
      <c r="K1089" s="3241">
        <f t="shared" si="168"/>
        <v>1</v>
      </c>
      <c r="L1089" s="635"/>
      <c r="M1089" s="3241">
        <f t="shared" si="169"/>
        <v>1</v>
      </c>
      <c r="N1089" s="635"/>
      <c r="O1089" s="3241">
        <f t="shared" si="170"/>
        <v>1</v>
      </c>
      <c r="P1089" s="635"/>
      <c r="Q1089" s="3241">
        <f t="shared" si="171"/>
        <v>1</v>
      </c>
      <c r="R1089" s="3241">
        <f t="shared" ca="1" si="172"/>
        <v>5145</v>
      </c>
      <c r="S1089" s="905">
        <f t="shared" ca="1" si="173"/>
        <v>19</v>
      </c>
    </row>
    <row r="1090" spans="1:19">
      <c r="A1090" s="3227" t="s">
        <v>6250</v>
      </c>
      <c r="B1090" s="3228">
        <v>37.270000000000003</v>
      </c>
      <c r="C1090" s="3241">
        <f t="shared" si="174"/>
        <v>1</v>
      </c>
      <c r="D1090" s="3237" t="s">
        <v>5487</v>
      </c>
      <c r="E1090" s="3241">
        <f t="shared" si="165"/>
        <v>1.02</v>
      </c>
      <c r="F1090" s="635"/>
      <c r="G1090" s="3241">
        <f t="shared" si="166"/>
        <v>1</v>
      </c>
      <c r="H1090" s="635"/>
      <c r="I1090" s="3241">
        <f t="shared" si="167"/>
        <v>1</v>
      </c>
      <c r="J1090" s="635"/>
      <c r="K1090" s="3241">
        <f t="shared" si="168"/>
        <v>1</v>
      </c>
      <c r="L1090" s="635"/>
      <c r="M1090" s="3241">
        <f t="shared" si="169"/>
        <v>1</v>
      </c>
      <c r="N1090" s="635"/>
      <c r="O1090" s="3241">
        <f t="shared" si="170"/>
        <v>1</v>
      </c>
      <c r="P1090" s="635"/>
      <c r="Q1090" s="3241">
        <f t="shared" si="171"/>
        <v>1</v>
      </c>
      <c r="R1090" s="3241">
        <f t="shared" ca="1" si="172"/>
        <v>5145</v>
      </c>
      <c r="S1090" s="905">
        <f t="shared" ca="1" si="173"/>
        <v>19</v>
      </c>
    </row>
    <row r="1091" spans="1:19">
      <c r="A1091" s="3227" t="s">
        <v>5085</v>
      </c>
      <c r="B1091" s="3228">
        <v>35.07</v>
      </c>
      <c r="C1091" s="3241">
        <f t="shared" si="174"/>
        <v>1</v>
      </c>
      <c r="D1091" s="3237" t="s">
        <v>4322</v>
      </c>
      <c r="E1091" s="3241">
        <f t="shared" si="165"/>
        <v>1.02</v>
      </c>
      <c r="F1091" s="635"/>
      <c r="G1091" s="3241">
        <f t="shared" si="166"/>
        <v>1</v>
      </c>
      <c r="H1091" s="635"/>
      <c r="I1091" s="3241">
        <f t="shared" si="167"/>
        <v>1</v>
      </c>
      <c r="J1091" s="635"/>
      <c r="K1091" s="3241">
        <f t="shared" si="168"/>
        <v>1</v>
      </c>
      <c r="L1091" s="635"/>
      <c r="M1091" s="3241">
        <f t="shared" si="169"/>
        <v>1</v>
      </c>
      <c r="N1091" s="635"/>
      <c r="O1091" s="3241">
        <f t="shared" si="170"/>
        <v>1</v>
      </c>
      <c r="P1091" s="635"/>
      <c r="Q1091" s="3241">
        <f t="shared" si="171"/>
        <v>1</v>
      </c>
      <c r="R1091" s="3241">
        <f t="shared" ca="1" si="172"/>
        <v>5145</v>
      </c>
      <c r="S1091" s="905">
        <f t="shared" ca="1" si="173"/>
        <v>18</v>
      </c>
    </row>
    <row r="1092" spans="1:19">
      <c r="A1092" s="3227" t="s">
        <v>6252</v>
      </c>
      <c r="B1092" s="3228">
        <v>35.07</v>
      </c>
      <c r="C1092" s="3241">
        <f t="shared" si="174"/>
        <v>1</v>
      </c>
      <c r="D1092" s="3237" t="s">
        <v>5487</v>
      </c>
      <c r="E1092" s="3241">
        <f t="shared" si="165"/>
        <v>1.02</v>
      </c>
      <c r="F1092" s="635"/>
      <c r="G1092" s="3241">
        <f t="shared" si="166"/>
        <v>1</v>
      </c>
      <c r="H1092" s="635"/>
      <c r="I1092" s="3241">
        <f t="shared" si="167"/>
        <v>1</v>
      </c>
      <c r="J1092" s="635"/>
      <c r="K1092" s="3241">
        <f t="shared" si="168"/>
        <v>1</v>
      </c>
      <c r="L1092" s="635"/>
      <c r="M1092" s="3241">
        <f t="shared" si="169"/>
        <v>1</v>
      </c>
      <c r="N1092" s="635"/>
      <c r="O1092" s="3241">
        <f t="shared" si="170"/>
        <v>1</v>
      </c>
      <c r="P1092" s="635"/>
      <c r="Q1092" s="3241">
        <f t="shared" si="171"/>
        <v>1</v>
      </c>
      <c r="R1092" s="3241">
        <f t="shared" ca="1" si="172"/>
        <v>5145</v>
      </c>
      <c r="S1092" s="905">
        <f t="shared" ca="1" si="173"/>
        <v>18</v>
      </c>
    </row>
    <row r="1093" spans="1:19">
      <c r="A1093" s="3227" t="s">
        <v>5087</v>
      </c>
      <c r="B1093" s="3228">
        <v>35.07</v>
      </c>
      <c r="C1093" s="3241">
        <f t="shared" si="174"/>
        <v>1</v>
      </c>
      <c r="D1093" s="3237" t="s">
        <v>4322</v>
      </c>
      <c r="E1093" s="3241">
        <f t="shared" si="165"/>
        <v>1.02</v>
      </c>
      <c r="F1093" s="635"/>
      <c r="G1093" s="3241">
        <f t="shared" si="166"/>
        <v>1</v>
      </c>
      <c r="H1093" s="635"/>
      <c r="I1093" s="3241">
        <f t="shared" si="167"/>
        <v>1</v>
      </c>
      <c r="J1093" s="635"/>
      <c r="K1093" s="3241">
        <f t="shared" si="168"/>
        <v>1</v>
      </c>
      <c r="L1093" s="635"/>
      <c r="M1093" s="3241">
        <f t="shared" si="169"/>
        <v>1</v>
      </c>
      <c r="N1093" s="635"/>
      <c r="O1093" s="3241">
        <f t="shared" si="170"/>
        <v>1</v>
      </c>
      <c r="P1093" s="635"/>
      <c r="Q1093" s="3241">
        <f t="shared" si="171"/>
        <v>1</v>
      </c>
      <c r="R1093" s="3241">
        <f t="shared" ca="1" si="172"/>
        <v>5145</v>
      </c>
      <c r="S1093" s="905">
        <f t="shared" ca="1" si="173"/>
        <v>18</v>
      </c>
    </row>
    <row r="1094" spans="1:19">
      <c r="A1094" s="3227" t="s">
        <v>6254</v>
      </c>
      <c r="B1094" s="3228">
        <v>37.270000000000003</v>
      </c>
      <c r="C1094" s="3241">
        <f t="shared" si="174"/>
        <v>1</v>
      </c>
      <c r="D1094" s="3239" t="s">
        <v>5494</v>
      </c>
      <c r="E1094" s="3241">
        <f t="shared" si="165"/>
        <v>1.02</v>
      </c>
      <c r="F1094" s="635"/>
      <c r="G1094" s="3241">
        <f t="shared" si="166"/>
        <v>1</v>
      </c>
      <c r="H1094" s="635"/>
      <c r="I1094" s="3241">
        <f t="shared" si="167"/>
        <v>1</v>
      </c>
      <c r="J1094" s="635"/>
      <c r="K1094" s="3241">
        <f t="shared" si="168"/>
        <v>1</v>
      </c>
      <c r="L1094" s="635"/>
      <c r="M1094" s="3241">
        <f t="shared" si="169"/>
        <v>1</v>
      </c>
      <c r="N1094" s="635"/>
      <c r="O1094" s="3241">
        <f t="shared" si="170"/>
        <v>1</v>
      </c>
      <c r="P1094" s="635"/>
      <c r="Q1094" s="3241">
        <f t="shared" si="171"/>
        <v>1</v>
      </c>
      <c r="R1094" s="3241">
        <f t="shared" ca="1" si="172"/>
        <v>5145</v>
      </c>
      <c r="S1094" s="905">
        <f t="shared" ca="1" si="173"/>
        <v>19</v>
      </c>
    </row>
    <row r="1095" spans="1:19">
      <c r="A1095" s="3227" t="s">
        <v>5089</v>
      </c>
      <c r="B1095" s="3228">
        <v>37.270000000000003</v>
      </c>
      <c r="C1095" s="3241">
        <f t="shared" si="174"/>
        <v>1</v>
      </c>
      <c r="D1095" s="3239" t="s">
        <v>4330</v>
      </c>
      <c r="E1095" s="3241">
        <f t="shared" si="165"/>
        <v>1.02</v>
      </c>
      <c r="F1095" s="635"/>
      <c r="G1095" s="3241">
        <f t="shared" si="166"/>
        <v>1</v>
      </c>
      <c r="H1095" s="635"/>
      <c r="I1095" s="3241">
        <f t="shared" si="167"/>
        <v>1</v>
      </c>
      <c r="J1095" s="635"/>
      <c r="K1095" s="3241">
        <f t="shared" si="168"/>
        <v>1</v>
      </c>
      <c r="L1095" s="635"/>
      <c r="M1095" s="3241">
        <f t="shared" si="169"/>
        <v>1</v>
      </c>
      <c r="N1095" s="635"/>
      <c r="O1095" s="3241">
        <f t="shared" si="170"/>
        <v>1</v>
      </c>
      <c r="P1095" s="635"/>
      <c r="Q1095" s="3241">
        <f t="shared" si="171"/>
        <v>1</v>
      </c>
      <c r="R1095" s="3241">
        <f t="shared" ca="1" si="172"/>
        <v>5145</v>
      </c>
      <c r="S1095" s="905">
        <f t="shared" ca="1" si="173"/>
        <v>19</v>
      </c>
    </row>
    <row r="1096" spans="1:19">
      <c r="A1096" s="3227" t="s">
        <v>6256</v>
      </c>
      <c r="B1096" s="3233">
        <v>35.799999999999997</v>
      </c>
      <c r="C1096" s="3241">
        <f t="shared" si="174"/>
        <v>1</v>
      </c>
      <c r="D1096" s="3239" t="s">
        <v>5494</v>
      </c>
      <c r="E1096" s="3241">
        <f t="shared" si="165"/>
        <v>1.02</v>
      </c>
      <c r="F1096" s="635"/>
      <c r="G1096" s="3241">
        <f t="shared" si="166"/>
        <v>1</v>
      </c>
      <c r="H1096" s="635"/>
      <c r="I1096" s="3241">
        <f t="shared" si="167"/>
        <v>1</v>
      </c>
      <c r="J1096" s="635"/>
      <c r="K1096" s="3241">
        <f t="shared" si="168"/>
        <v>1</v>
      </c>
      <c r="L1096" s="635"/>
      <c r="M1096" s="3241">
        <f t="shared" si="169"/>
        <v>1</v>
      </c>
      <c r="N1096" s="635"/>
      <c r="O1096" s="3241">
        <f t="shared" si="170"/>
        <v>1</v>
      </c>
      <c r="P1096" s="635"/>
      <c r="Q1096" s="3241">
        <f t="shared" si="171"/>
        <v>1</v>
      </c>
      <c r="R1096" s="3241">
        <f t="shared" ca="1" si="172"/>
        <v>5145</v>
      </c>
      <c r="S1096" s="905">
        <f t="shared" ca="1" si="173"/>
        <v>18</v>
      </c>
    </row>
    <row r="1097" spans="1:19">
      <c r="A1097" s="3227" t="s">
        <v>5091</v>
      </c>
      <c r="B1097" s="3233">
        <v>35.799999999999997</v>
      </c>
      <c r="C1097" s="3241">
        <f t="shared" si="174"/>
        <v>1</v>
      </c>
      <c r="D1097" s="3237" t="s">
        <v>4322</v>
      </c>
      <c r="E1097" s="3241">
        <f t="shared" si="165"/>
        <v>1.02</v>
      </c>
      <c r="F1097" s="635"/>
      <c r="G1097" s="3241">
        <f t="shared" si="166"/>
        <v>1</v>
      </c>
      <c r="H1097" s="635"/>
      <c r="I1097" s="3241">
        <f t="shared" si="167"/>
        <v>1</v>
      </c>
      <c r="J1097" s="635"/>
      <c r="K1097" s="3241">
        <f t="shared" si="168"/>
        <v>1</v>
      </c>
      <c r="L1097" s="635"/>
      <c r="M1097" s="3241">
        <f t="shared" si="169"/>
        <v>1</v>
      </c>
      <c r="N1097" s="635"/>
      <c r="O1097" s="3241">
        <f t="shared" si="170"/>
        <v>1</v>
      </c>
      <c r="P1097" s="635"/>
      <c r="Q1097" s="3241">
        <f t="shared" si="171"/>
        <v>1</v>
      </c>
      <c r="R1097" s="3241">
        <f t="shared" ca="1" si="172"/>
        <v>5145</v>
      </c>
      <c r="S1097" s="905">
        <f t="shared" ca="1" si="173"/>
        <v>18</v>
      </c>
    </row>
    <row r="1098" spans="1:19">
      <c r="A1098" s="3227" t="s">
        <v>6258</v>
      </c>
      <c r="B1098" s="3233">
        <v>35.799999999999997</v>
      </c>
      <c r="C1098" s="3241">
        <f t="shared" si="174"/>
        <v>1</v>
      </c>
      <c r="D1098" s="3237" t="s">
        <v>5487</v>
      </c>
      <c r="E1098" s="3241">
        <f t="shared" si="165"/>
        <v>1.02</v>
      </c>
      <c r="F1098" s="635"/>
      <c r="G1098" s="3241">
        <f t="shared" si="166"/>
        <v>1</v>
      </c>
      <c r="H1098" s="635"/>
      <c r="I1098" s="3241">
        <f t="shared" si="167"/>
        <v>1</v>
      </c>
      <c r="J1098" s="635"/>
      <c r="K1098" s="3241">
        <f t="shared" si="168"/>
        <v>1</v>
      </c>
      <c r="L1098" s="635"/>
      <c r="M1098" s="3241">
        <f t="shared" si="169"/>
        <v>1</v>
      </c>
      <c r="N1098" s="635"/>
      <c r="O1098" s="3241">
        <f t="shared" si="170"/>
        <v>1</v>
      </c>
      <c r="P1098" s="635"/>
      <c r="Q1098" s="3241">
        <f t="shared" si="171"/>
        <v>1</v>
      </c>
      <c r="R1098" s="3241">
        <f t="shared" ca="1" si="172"/>
        <v>5145</v>
      </c>
      <c r="S1098" s="905">
        <f t="shared" ca="1" si="173"/>
        <v>18</v>
      </c>
    </row>
    <row r="1099" spans="1:19">
      <c r="A1099" s="3227" t="s">
        <v>5093</v>
      </c>
      <c r="B1099" s="3233">
        <v>35.799999999999997</v>
      </c>
      <c r="C1099" s="3241">
        <f t="shared" si="174"/>
        <v>1</v>
      </c>
      <c r="D1099" s="3237" t="s">
        <v>4322</v>
      </c>
      <c r="E1099" s="3241">
        <f t="shared" si="165"/>
        <v>1.02</v>
      </c>
      <c r="F1099" s="635"/>
      <c r="G1099" s="3241">
        <f t="shared" si="166"/>
        <v>1</v>
      </c>
      <c r="H1099" s="635"/>
      <c r="I1099" s="3241">
        <f t="shared" si="167"/>
        <v>1</v>
      </c>
      <c r="J1099" s="635"/>
      <c r="K1099" s="3241">
        <f t="shared" si="168"/>
        <v>1</v>
      </c>
      <c r="L1099" s="635"/>
      <c r="M1099" s="3241">
        <f t="shared" si="169"/>
        <v>1</v>
      </c>
      <c r="N1099" s="635"/>
      <c r="O1099" s="3241">
        <f t="shared" si="170"/>
        <v>1</v>
      </c>
      <c r="P1099" s="635"/>
      <c r="Q1099" s="3241">
        <f t="shared" si="171"/>
        <v>1</v>
      </c>
      <c r="R1099" s="3241">
        <f t="shared" ca="1" si="172"/>
        <v>5145</v>
      </c>
      <c r="S1099" s="905">
        <f t="shared" ca="1" si="173"/>
        <v>18</v>
      </c>
    </row>
    <row r="1100" spans="1:19">
      <c r="A1100" s="3227" t="s">
        <v>6260</v>
      </c>
      <c r="B1100" s="3233">
        <v>35.799999999999997</v>
      </c>
      <c r="C1100" s="3241">
        <f t="shared" si="174"/>
        <v>1</v>
      </c>
      <c r="D1100" s="3239" t="s">
        <v>5494</v>
      </c>
      <c r="E1100" s="3241">
        <f t="shared" si="165"/>
        <v>1.02</v>
      </c>
      <c r="F1100" s="635"/>
      <c r="G1100" s="3241">
        <f t="shared" si="166"/>
        <v>1</v>
      </c>
      <c r="H1100" s="635"/>
      <c r="I1100" s="3241">
        <f t="shared" si="167"/>
        <v>1</v>
      </c>
      <c r="J1100" s="635"/>
      <c r="K1100" s="3241">
        <f t="shared" si="168"/>
        <v>1</v>
      </c>
      <c r="L1100" s="635"/>
      <c r="M1100" s="3241">
        <f t="shared" si="169"/>
        <v>1</v>
      </c>
      <c r="N1100" s="635"/>
      <c r="O1100" s="3241">
        <f t="shared" si="170"/>
        <v>1</v>
      </c>
      <c r="P1100" s="635"/>
      <c r="Q1100" s="3241">
        <f t="shared" si="171"/>
        <v>1</v>
      </c>
      <c r="R1100" s="3241">
        <f t="shared" ca="1" si="172"/>
        <v>5145</v>
      </c>
      <c r="S1100" s="905">
        <f t="shared" ca="1" si="173"/>
        <v>18</v>
      </c>
    </row>
    <row r="1101" spans="1:19">
      <c r="A1101" s="3227" t="s">
        <v>5095</v>
      </c>
      <c r="B1101" s="3233">
        <v>35.799999999999997</v>
      </c>
      <c r="C1101" s="3241">
        <f t="shared" si="174"/>
        <v>1</v>
      </c>
      <c r="D1101" s="3239" t="s">
        <v>4330</v>
      </c>
      <c r="E1101" s="3241">
        <f t="shared" ref="E1101:E1164" si="175">(SUMIF($5:$5,D1101,$6:$6)-SUMIF($5:$5,$D$24,$6:$6)+100)/100</f>
        <v>1.02</v>
      </c>
      <c r="F1101" s="635"/>
      <c r="G1101" s="3241">
        <f t="shared" ref="G1101:G1164" si="176">(SUMIF($7:$7,F1101,$8:$8)-SUMIF($7:$7,$F$24,$8:$8)+100)/100</f>
        <v>1</v>
      </c>
      <c r="H1101" s="635"/>
      <c r="I1101" s="3241">
        <f t="shared" ref="I1101:I1164" si="177">(SUMIF($9:$9,H1101,$10:$10)-SUMIF($9:$9,$H$24,$10:$10)+100)/100</f>
        <v>1</v>
      </c>
      <c r="J1101" s="635"/>
      <c r="K1101" s="3241">
        <f t="shared" ref="K1101:K1164" si="178">(SUMIF($11:$11,J1101,$12:$12)-SUMIF($11:$11,$J$24,$12:$12)+100)/100</f>
        <v>1</v>
      </c>
      <c r="L1101" s="635"/>
      <c r="M1101" s="3241">
        <f t="shared" ref="M1101:M1164" si="179">(SUMIF($13:$13,L1101,$14:$14)-SUMIF($13:$13,$L$24,$14:$14)+100)/100</f>
        <v>1</v>
      </c>
      <c r="N1101" s="635"/>
      <c r="O1101" s="3241">
        <f t="shared" ref="O1101:O1164" si="180">(SUMIF($15:$15,N1101,$16:$16)-SUMIF($15:$15,$N$24,$16:$16)+100)/100</f>
        <v>1</v>
      </c>
      <c r="P1101" s="635"/>
      <c r="Q1101" s="3241">
        <f t="shared" ref="Q1101:Q1164" si="181">(SUMIF($17:$17,P1101,$18:$18)-SUMIF($17:$17,$P$24,$18:$18)+100)/100</f>
        <v>1</v>
      </c>
      <c r="R1101" s="3241">
        <f t="shared" ref="R1101:R1164" ca="1" si="182">IF(B1101="",0,ROUND($R$24*C1101*E1101*G1101*I1101*K1101*M1101*O1101*Q1101,0))</f>
        <v>5145</v>
      </c>
      <c r="S1101" s="905">
        <f t="shared" ref="S1101:S1164" ca="1" si="183">ROUND(R1101*B1101/10000,0)</f>
        <v>18</v>
      </c>
    </row>
    <row r="1102" spans="1:19">
      <c r="A1102" s="3227" t="s">
        <v>6262</v>
      </c>
      <c r="B1102" s="3233">
        <v>35.799999999999997</v>
      </c>
      <c r="C1102" s="3241">
        <f t="shared" si="174"/>
        <v>1</v>
      </c>
      <c r="D1102" s="3237" t="s">
        <v>5487</v>
      </c>
      <c r="E1102" s="3241">
        <f t="shared" si="175"/>
        <v>1.02</v>
      </c>
      <c r="F1102" s="635"/>
      <c r="G1102" s="3241">
        <f t="shared" si="176"/>
        <v>1</v>
      </c>
      <c r="H1102" s="635"/>
      <c r="I1102" s="3241">
        <f t="shared" si="177"/>
        <v>1</v>
      </c>
      <c r="J1102" s="635"/>
      <c r="K1102" s="3241">
        <f t="shared" si="178"/>
        <v>1</v>
      </c>
      <c r="L1102" s="635"/>
      <c r="M1102" s="3241">
        <f t="shared" si="179"/>
        <v>1</v>
      </c>
      <c r="N1102" s="635"/>
      <c r="O1102" s="3241">
        <f t="shared" si="180"/>
        <v>1</v>
      </c>
      <c r="P1102" s="635"/>
      <c r="Q1102" s="3241">
        <f t="shared" si="181"/>
        <v>1</v>
      </c>
      <c r="R1102" s="3241">
        <f t="shared" ca="1" si="182"/>
        <v>5145</v>
      </c>
      <c r="S1102" s="905">
        <f t="shared" ca="1" si="183"/>
        <v>18</v>
      </c>
    </row>
    <row r="1103" spans="1:19">
      <c r="A1103" s="3227" t="s">
        <v>5097</v>
      </c>
      <c r="B1103" s="3233">
        <v>35.799999999999997</v>
      </c>
      <c r="C1103" s="3241">
        <f t="shared" si="174"/>
        <v>1</v>
      </c>
      <c r="D1103" s="3237" t="s">
        <v>4322</v>
      </c>
      <c r="E1103" s="3241">
        <f t="shared" si="175"/>
        <v>1.02</v>
      </c>
      <c r="F1103" s="635"/>
      <c r="G1103" s="3241">
        <f t="shared" si="176"/>
        <v>1</v>
      </c>
      <c r="H1103" s="635"/>
      <c r="I1103" s="3241">
        <f t="shared" si="177"/>
        <v>1</v>
      </c>
      <c r="J1103" s="635"/>
      <c r="K1103" s="3241">
        <f t="shared" si="178"/>
        <v>1</v>
      </c>
      <c r="L1103" s="635"/>
      <c r="M1103" s="3241">
        <f t="shared" si="179"/>
        <v>1</v>
      </c>
      <c r="N1103" s="635"/>
      <c r="O1103" s="3241">
        <f t="shared" si="180"/>
        <v>1</v>
      </c>
      <c r="P1103" s="635"/>
      <c r="Q1103" s="3241">
        <f t="shared" si="181"/>
        <v>1</v>
      </c>
      <c r="R1103" s="3241">
        <f t="shared" ca="1" si="182"/>
        <v>5145</v>
      </c>
      <c r="S1103" s="905">
        <f t="shared" ca="1" si="183"/>
        <v>18</v>
      </c>
    </row>
    <row r="1104" spans="1:19">
      <c r="A1104" s="3227" t="s">
        <v>6264</v>
      </c>
      <c r="B1104" s="3233">
        <v>35.799999999999997</v>
      </c>
      <c r="C1104" s="3241">
        <f t="shared" si="174"/>
        <v>1</v>
      </c>
      <c r="D1104" s="3237" t="s">
        <v>5487</v>
      </c>
      <c r="E1104" s="3241">
        <f t="shared" si="175"/>
        <v>1.02</v>
      </c>
      <c r="F1104" s="635"/>
      <c r="G1104" s="3241">
        <f t="shared" si="176"/>
        <v>1</v>
      </c>
      <c r="H1104" s="635"/>
      <c r="I1104" s="3241">
        <f t="shared" si="177"/>
        <v>1</v>
      </c>
      <c r="J1104" s="635"/>
      <c r="K1104" s="3241">
        <f t="shared" si="178"/>
        <v>1</v>
      </c>
      <c r="L1104" s="635"/>
      <c r="M1104" s="3241">
        <f t="shared" si="179"/>
        <v>1</v>
      </c>
      <c r="N1104" s="635"/>
      <c r="O1104" s="3241">
        <f t="shared" si="180"/>
        <v>1</v>
      </c>
      <c r="P1104" s="635"/>
      <c r="Q1104" s="3241">
        <f t="shared" si="181"/>
        <v>1</v>
      </c>
      <c r="R1104" s="3241">
        <f t="shared" ca="1" si="182"/>
        <v>5145</v>
      </c>
      <c r="S1104" s="905">
        <f t="shared" ca="1" si="183"/>
        <v>18</v>
      </c>
    </row>
    <row r="1105" spans="1:19">
      <c r="A1105" s="3227" t="s">
        <v>5099</v>
      </c>
      <c r="B1105" s="3233">
        <v>35.799999999999997</v>
      </c>
      <c r="C1105" s="3241">
        <f t="shared" si="174"/>
        <v>1</v>
      </c>
      <c r="D1105" s="3237" t="s">
        <v>4322</v>
      </c>
      <c r="E1105" s="3241">
        <f t="shared" si="175"/>
        <v>1.02</v>
      </c>
      <c r="F1105" s="635"/>
      <c r="G1105" s="3241">
        <f t="shared" si="176"/>
        <v>1</v>
      </c>
      <c r="H1105" s="635"/>
      <c r="I1105" s="3241">
        <f t="shared" si="177"/>
        <v>1</v>
      </c>
      <c r="J1105" s="635"/>
      <c r="K1105" s="3241">
        <f t="shared" si="178"/>
        <v>1</v>
      </c>
      <c r="L1105" s="635"/>
      <c r="M1105" s="3241">
        <f t="shared" si="179"/>
        <v>1</v>
      </c>
      <c r="N1105" s="635"/>
      <c r="O1105" s="3241">
        <f t="shared" si="180"/>
        <v>1</v>
      </c>
      <c r="P1105" s="635"/>
      <c r="Q1105" s="3241">
        <f t="shared" si="181"/>
        <v>1</v>
      </c>
      <c r="R1105" s="3241">
        <f t="shared" ca="1" si="182"/>
        <v>5145</v>
      </c>
      <c r="S1105" s="905">
        <f t="shared" ca="1" si="183"/>
        <v>18</v>
      </c>
    </row>
    <row r="1106" spans="1:19">
      <c r="A1106" s="3227" t="s">
        <v>6266</v>
      </c>
      <c r="B1106" s="3233">
        <v>35.799999999999997</v>
      </c>
      <c r="C1106" s="3241">
        <f t="shared" si="174"/>
        <v>1</v>
      </c>
      <c r="D1106" s="3237" t="s">
        <v>5487</v>
      </c>
      <c r="E1106" s="3241">
        <f t="shared" si="175"/>
        <v>1.02</v>
      </c>
      <c r="F1106" s="635"/>
      <c r="G1106" s="3241">
        <f t="shared" si="176"/>
        <v>1</v>
      </c>
      <c r="H1106" s="635"/>
      <c r="I1106" s="3241">
        <f t="shared" si="177"/>
        <v>1</v>
      </c>
      <c r="J1106" s="635"/>
      <c r="K1106" s="3241">
        <f t="shared" si="178"/>
        <v>1</v>
      </c>
      <c r="L1106" s="635"/>
      <c r="M1106" s="3241">
        <f t="shared" si="179"/>
        <v>1</v>
      </c>
      <c r="N1106" s="635"/>
      <c r="O1106" s="3241">
        <f t="shared" si="180"/>
        <v>1</v>
      </c>
      <c r="P1106" s="635"/>
      <c r="Q1106" s="3241">
        <f t="shared" si="181"/>
        <v>1</v>
      </c>
      <c r="R1106" s="3241">
        <f t="shared" ca="1" si="182"/>
        <v>5145</v>
      </c>
      <c r="S1106" s="905">
        <f t="shared" ca="1" si="183"/>
        <v>18</v>
      </c>
    </row>
    <row r="1107" spans="1:19">
      <c r="A1107" s="3227" t="s">
        <v>5101</v>
      </c>
      <c r="B1107" s="3233">
        <v>35.799999999999997</v>
      </c>
      <c r="C1107" s="3241">
        <f t="shared" si="174"/>
        <v>1</v>
      </c>
      <c r="D1107" s="3237" t="s">
        <v>4322</v>
      </c>
      <c r="E1107" s="3241">
        <f t="shared" si="175"/>
        <v>1.02</v>
      </c>
      <c r="F1107" s="635"/>
      <c r="G1107" s="3241">
        <f t="shared" si="176"/>
        <v>1</v>
      </c>
      <c r="H1107" s="635"/>
      <c r="I1107" s="3241">
        <f t="shared" si="177"/>
        <v>1</v>
      </c>
      <c r="J1107" s="635"/>
      <c r="K1107" s="3241">
        <f t="shared" si="178"/>
        <v>1</v>
      </c>
      <c r="L1107" s="635"/>
      <c r="M1107" s="3241">
        <f t="shared" si="179"/>
        <v>1</v>
      </c>
      <c r="N1107" s="635"/>
      <c r="O1107" s="3241">
        <f t="shared" si="180"/>
        <v>1</v>
      </c>
      <c r="P1107" s="635"/>
      <c r="Q1107" s="3241">
        <f t="shared" si="181"/>
        <v>1</v>
      </c>
      <c r="R1107" s="3241">
        <f t="shared" ca="1" si="182"/>
        <v>5145</v>
      </c>
      <c r="S1107" s="905">
        <f t="shared" ca="1" si="183"/>
        <v>18</v>
      </c>
    </row>
    <row r="1108" spans="1:19">
      <c r="A1108" s="3227" t="s">
        <v>6268</v>
      </c>
      <c r="B1108" s="3228">
        <v>35.07</v>
      </c>
      <c r="C1108" s="3241">
        <f t="shared" si="174"/>
        <v>1</v>
      </c>
      <c r="D1108" s="3237" t="s">
        <v>5487</v>
      </c>
      <c r="E1108" s="3241">
        <f t="shared" si="175"/>
        <v>1.02</v>
      </c>
      <c r="F1108" s="635"/>
      <c r="G1108" s="3241">
        <f t="shared" si="176"/>
        <v>1</v>
      </c>
      <c r="H1108" s="635"/>
      <c r="I1108" s="3241">
        <f t="shared" si="177"/>
        <v>1</v>
      </c>
      <c r="J1108" s="635"/>
      <c r="K1108" s="3241">
        <f t="shared" si="178"/>
        <v>1</v>
      </c>
      <c r="L1108" s="635"/>
      <c r="M1108" s="3241">
        <f t="shared" si="179"/>
        <v>1</v>
      </c>
      <c r="N1108" s="635"/>
      <c r="O1108" s="3241">
        <f t="shared" si="180"/>
        <v>1</v>
      </c>
      <c r="P1108" s="635"/>
      <c r="Q1108" s="3241">
        <f t="shared" si="181"/>
        <v>1</v>
      </c>
      <c r="R1108" s="3241">
        <f t="shared" ca="1" si="182"/>
        <v>5145</v>
      </c>
      <c r="S1108" s="905">
        <f t="shared" ca="1" si="183"/>
        <v>18</v>
      </c>
    </row>
    <row r="1109" spans="1:19">
      <c r="A1109" s="3227" t="s">
        <v>5103</v>
      </c>
      <c r="B1109" s="3228">
        <v>35.07</v>
      </c>
      <c r="C1109" s="3241">
        <f t="shared" si="174"/>
        <v>1</v>
      </c>
      <c r="D1109" s="3237" t="s">
        <v>4322</v>
      </c>
      <c r="E1109" s="3241">
        <f t="shared" si="175"/>
        <v>1.02</v>
      </c>
      <c r="F1109" s="635"/>
      <c r="G1109" s="3241">
        <f t="shared" si="176"/>
        <v>1</v>
      </c>
      <c r="H1109" s="635"/>
      <c r="I1109" s="3241">
        <f t="shared" si="177"/>
        <v>1</v>
      </c>
      <c r="J1109" s="635"/>
      <c r="K1109" s="3241">
        <f t="shared" si="178"/>
        <v>1</v>
      </c>
      <c r="L1109" s="635"/>
      <c r="M1109" s="3241">
        <f t="shared" si="179"/>
        <v>1</v>
      </c>
      <c r="N1109" s="635"/>
      <c r="O1109" s="3241">
        <f t="shared" si="180"/>
        <v>1</v>
      </c>
      <c r="P1109" s="635"/>
      <c r="Q1109" s="3241">
        <f t="shared" si="181"/>
        <v>1</v>
      </c>
      <c r="R1109" s="3241">
        <f t="shared" ca="1" si="182"/>
        <v>5145</v>
      </c>
      <c r="S1109" s="905">
        <f t="shared" ca="1" si="183"/>
        <v>18</v>
      </c>
    </row>
    <row r="1110" spans="1:19">
      <c r="A1110" s="3227" t="s">
        <v>6270</v>
      </c>
      <c r="B1110" s="3228">
        <v>35.07</v>
      </c>
      <c r="C1110" s="3241">
        <f t="shared" si="174"/>
        <v>1</v>
      </c>
      <c r="D1110" s="3237" t="s">
        <v>5487</v>
      </c>
      <c r="E1110" s="3241">
        <f t="shared" si="175"/>
        <v>1.02</v>
      </c>
      <c r="F1110" s="635"/>
      <c r="G1110" s="3241">
        <f t="shared" si="176"/>
        <v>1</v>
      </c>
      <c r="H1110" s="635"/>
      <c r="I1110" s="3241">
        <f t="shared" si="177"/>
        <v>1</v>
      </c>
      <c r="J1110" s="635"/>
      <c r="K1110" s="3241">
        <f t="shared" si="178"/>
        <v>1</v>
      </c>
      <c r="L1110" s="635"/>
      <c r="M1110" s="3241">
        <f t="shared" si="179"/>
        <v>1</v>
      </c>
      <c r="N1110" s="635"/>
      <c r="O1110" s="3241">
        <f t="shared" si="180"/>
        <v>1</v>
      </c>
      <c r="P1110" s="635"/>
      <c r="Q1110" s="3241">
        <f t="shared" si="181"/>
        <v>1</v>
      </c>
      <c r="R1110" s="3241">
        <f t="shared" ca="1" si="182"/>
        <v>5145</v>
      </c>
      <c r="S1110" s="905">
        <f t="shared" ca="1" si="183"/>
        <v>18</v>
      </c>
    </row>
    <row r="1111" spans="1:19">
      <c r="A1111" s="3227" t="s">
        <v>5105</v>
      </c>
      <c r="B1111" s="3228">
        <v>33.630000000000003</v>
      </c>
      <c r="C1111" s="3241">
        <f t="shared" si="174"/>
        <v>1</v>
      </c>
      <c r="D1111" s="3237" t="s">
        <v>4322</v>
      </c>
      <c r="E1111" s="3241">
        <f t="shared" si="175"/>
        <v>1.02</v>
      </c>
      <c r="F1111" s="635"/>
      <c r="G1111" s="3241">
        <f t="shared" si="176"/>
        <v>1</v>
      </c>
      <c r="H1111" s="635"/>
      <c r="I1111" s="3241">
        <f t="shared" si="177"/>
        <v>1</v>
      </c>
      <c r="J1111" s="635"/>
      <c r="K1111" s="3241">
        <f t="shared" si="178"/>
        <v>1</v>
      </c>
      <c r="L1111" s="635"/>
      <c r="M1111" s="3241">
        <f t="shared" si="179"/>
        <v>1</v>
      </c>
      <c r="N1111" s="635"/>
      <c r="O1111" s="3241">
        <f t="shared" si="180"/>
        <v>1</v>
      </c>
      <c r="P1111" s="635"/>
      <c r="Q1111" s="3241">
        <f t="shared" si="181"/>
        <v>1</v>
      </c>
      <c r="R1111" s="3241">
        <f t="shared" ca="1" si="182"/>
        <v>5145</v>
      </c>
      <c r="S1111" s="905">
        <f t="shared" ca="1" si="183"/>
        <v>17</v>
      </c>
    </row>
    <row r="1112" spans="1:19">
      <c r="A1112" s="3227" t="s">
        <v>6272</v>
      </c>
      <c r="B1112" s="3228">
        <v>33.630000000000003</v>
      </c>
      <c r="C1112" s="3241">
        <f t="shared" si="174"/>
        <v>1</v>
      </c>
      <c r="D1112" s="3239" t="s">
        <v>5494</v>
      </c>
      <c r="E1112" s="3241">
        <f t="shared" si="175"/>
        <v>1.02</v>
      </c>
      <c r="F1112" s="635"/>
      <c r="G1112" s="3241">
        <f t="shared" si="176"/>
        <v>1</v>
      </c>
      <c r="H1112" s="635"/>
      <c r="I1112" s="3241">
        <f t="shared" si="177"/>
        <v>1</v>
      </c>
      <c r="J1112" s="635"/>
      <c r="K1112" s="3241">
        <f t="shared" si="178"/>
        <v>1</v>
      </c>
      <c r="L1112" s="635"/>
      <c r="M1112" s="3241">
        <f t="shared" si="179"/>
        <v>1</v>
      </c>
      <c r="N1112" s="635"/>
      <c r="O1112" s="3241">
        <f t="shared" si="180"/>
        <v>1</v>
      </c>
      <c r="P1112" s="635"/>
      <c r="Q1112" s="3241">
        <f t="shared" si="181"/>
        <v>1</v>
      </c>
      <c r="R1112" s="3241">
        <f t="shared" ca="1" si="182"/>
        <v>5145</v>
      </c>
      <c r="S1112" s="905">
        <f t="shared" ca="1" si="183"/>
        <v>17</v>
      </c>
    </row>
    <row r="1113" spans="1:19">
      <c r="A1113" s="3227" t="s">
        <v>5107</v>
      </c>
      <c r="B1113" s="3228">
        <v>33.630000000000003</v>
      </c>
      <c r="C1113" s="3241">
        <f t="shared" si="174"/>
        <v>1</v>
      </c>
      <c r="D1113" s="3237" t="s">
        <v>4322</v>
      </c>
      <c r="E1113" s="3241">
        <f t="shared" si="175"/>
        <v>1.02</v>
      </c>
      <c r="F1113" s="635"/>
      <c r="G1113" s="3241">
        <f t="shared" si="176"/>
        <v>1</v>
      </c>
      <c r="H1113" s="635"/>
      <c r="I1113" s="3241">
        <f t="shared" si="177"/>
        <v>1</v>
      </c>
      <c r="J1113" s="635"/>
      <c r="K1113" s="3241">
        <f t="shared" si="178"/>
        <v>1</v>
      </c>
      <c r="L1113" s="635"/>
      <c r="M1113" s="3241">
        <f t="shared" si="179"/>
        <v>1</v>
      </c>
      <c r="N1113" s="635"/>
      <c r="O1113" s="3241">
        <f t="shared" si="180"/>
        <v>1</v>
      </c>
      <c r="P1113" s="635"/>
      <c r="Q1113" s="3241">
        <f t="shared" si="181"/>
        <v>1</v>
      </c>
      <c r="R1113" s="3241">
        <f t="shared" ca="1" si="182"/>
        <v>5145</v>
      </c>
      <c r="S1113" s="905">
        <f t="shared" ca="1" si="183"/>
        <v>17</v>
      </c>
    </row>
    <row r="1114" spans="1:19">
      <c r="A1114" s="3227" t="s">
        <v>6274</v>
      </c>
      <c r="B1114" s="3228">
        <v>33.630000000000003</v>
      </c>
      <c r="C1114" s="3241">
        <f t="shared" ref="C1114:C1170" si="184">IF(B1114="",1,(LOOKUP(B1114,$3:$3,$4:$4)-LOOKUP($B$24,$3:$3,$4:$4)+100)/100)</f>
        <v>1</v>
      </c>
      <c r="D1114" s="3237" t="s">
        <v>5487</v>
      </c>
      <c r="E1114" s="3241">
        <f t="shared" si="175"/>
        <v>1.02</v>
      </c>
      <c r="F1114" s="635"/>
      <c r="G1114" s="3241">
        <f t="shared" si="176"/>
        <v>1</v>
      </c>
      <c r="H1114" s="635"/>
      <c r="I1114" s="3241">
        <f t="shared" si="177"/>
        <v>1</v>
      </c>
      <c r="J1114" s="635"/>
      <c r="K1114" s="3241">
        <f t="shared" si="178"/>
        <v>1</v>
      </c>
      <c r="L1114" s="635"/>
      <c r="M1114" s="3241">
        <f t="shared" si="179"/>
        <v>1</v>
      </c>
      <c r="N1114" s="635"/>
      <c r="O1114" s="3241">
        <f t="shared" si="180"/>
        <v>1</v>
      </c>
      <c r="P1114" s="635"/>
      <c r="Q1114" s="3241">
        <f t="shared" si="181"/>
        <v>1</v>
      </c>
      <c r="R1114" s="3241">
        <f t="shared" ca="1" si="182"/>
        <v>5145</v>
      </c>
      <c r="S1114" s="905">
        <f t="shared" ca="1" si="183"/>
        <v>17</v>
      </c>
    </row>
    <row r="1115" spans="1:19">
      <c r="A1115" s="3227" t="s">
        <v>5109</v>
      </c>
      <c r="B1115" s="3228">
        <v>33.630000000000003</v>
      </c>
      <c r="C1115" s="3241">
        <f t="shared" si="184"/>
        <v>1</v>
      </c>
      <c r="D1115" s="3237" t="s">
        <v>4322</v>
      </c>
      <c r="E1115" s="3241">
        <f t="shared" si="175"/>
        <v>1.02</v>
      </c>
      <c r="F1115" s="635"/>
      <c r="G1115" s="3241">
        <f t="shared" si="176"/>
        <v>1</v>
      </c>
      <c r="H1115" s="635"/>
      <c r="I1115" s="3241">
        <f t="shared" si="177"/>
        <v>1</v>
      </c>
      <c r="J1115" s="635"/>
      <c r="K1115" s="3241">
        <f t="shared" si="178"/>
        <v>1</v>
      </c>
      <c r="L1115" s="635"/>
      <c r="M1115" s="3241">
        <f t="shared" si="179"/>
        <v>1</v>
      </c>
      <c r="N1115" s="635"/>
      <c r="O1115" s="3241">
        <f t="shared" si="180"/>
        <v>1</v>
      </c>
      <c r="P1115" s="635"/>
      <c r="Q1115" s="3241">
        <f t="shared" si="181"/>
        <v>1</v>
      </c>
      <c r="R1115" s="3241">
        <f t="shared" ca="1" si="182"/>
        <v>5145</v>
      </c>
      <c r="S1115" s="905">
        <f t="shared" ca="1" si="183"/>
        <v>17</v>
      </c>
    </row>
    <row r="1116" spans="1:19">
      <c r="A1116" s="3227" t="s">
        <v>6276</v>
      </c>
      <c r="B1116" s="3228">
        <v>33.630000000000003</v>
      </c>
      <c r="C1116" s="3241">
        <f t="shared" si="184"/>
        <v>1</v>
      </c>
      <c r="D1116" s="3237" t="s">
        <v>5487</v>
      </c>
      <c r="E1116" s="3241">
        <f t="shared" si="175"/>
        <v>1.02</v>
      </c>
      <c r="F1116" s="635"/>
      <c r="G1116" s="3241">
        <f t="shared" si="176"/>
        <v>1</v>
      </c>
      <c r="H1116" s="635"/>
      <c r="I1116" s="3241">
        <f t="shared" si="177"/>
        <v>1</v>
      </c>
      <c r="J1116" s="635"/>
      <c r="K1116" s="3241">
        <f t="shared" si="178"/>
        <v>1</v>
      </c>
      <c r="L1116" s="635"/>
      <c r="M1116" s="3241">
        <f t="shared" si="179"/>
        <v>1</v>
      </c>
      <c r="N1116" s="635"/>
      <c r="O1116" s="3241">
        <f t="shared" si="180"/>
        <v>1</v>
      </c>
      <c r="P1116" s="635"/>
      <c r="Q1116" s="3241">
        <f t="shared" si="181"/>
        <v>1</v>
      </c>
      <c r="R1116" s="3241">
        <f t="shared" ca="1" si="182"/>
        <v>5145</v>
      </c>
      <c r="S1116" s="905">
        <f t="shared" ca="1" si="183"/>
        <v>17</v>
      </c>
    </row>
    <row r="1117" spans="1:19">
      <c r="A1117" s="3227" t="s">
        <v>5111</v>
      </c>
      <c r="B1117" s="3228">
        <v>33.630000000000003</v>
      </c>
      <c r="C1117" s="3241">
        <f t="shared" si="184"/>
        <v>1</v>
      </c>
      <c r="D1117" s="3239" t="s">
        <v>4330</v>
      </c>
      <c r="E1117" s="3241">
        <f t="shared" si="175"/>
        <v>1.02</v>
      </c>
      <c r="F1117" s="635"/>
      <c r="G1117" s="3241">
        <f t="shared" si="176"/>
        <v>1</v>
      </c>
      <c r="H1117" s="635"/>
      <c r="I1117" s="3241">
        <f t="shared" si="177"/>
        <v>1</v>
      </c>
      <c r="J1117" s="635"/>
      <c r="K1117" s="3241">
        <f t="shared" si="178"/>
        <v>1</v>
      </c>
      <c r="L1117" s="635"/>
      <c r="M1117" s="3241">
        <f t="shared" si="179"/>
        <v>1</v>
      </c>
      <c r="N1117" s="635"/>
      <c r="O1117" s="3241">
        <f t="shared" si="180"/>
        <v>1</v>
      </c>
      <c r="P1117" s="635"/>
      <c r="Q1117" s="3241">
        <f t="shared" si="181"/>
        <v>1</v>
      </c>
      <c r="R1117" s="3241">
        <f t="shared" ca="1" si="182"/>
        <v>5145</v>
      </c>
      <c r="S1117" s="905">
        <f t="shared" ca="1" si="183"/>
        <v>17</v>
      </c>
    </row>
    <row r="1118" spans="1:19">
      <c r="A1118" s="3227" t="s">
        <v>6278</v>
      </c>
      <c r="B1118" s="3228">
        <v>33.630000000000003</v>
      </c>
      <c r="C1118" s="3241">
        <f t="shared" si="184"/>
        <v>1</v>
      </c>
      <c r="D1118" s="3239" t="s">
        <v>5494</v>
      </c>
      <c r="E1118" s="3241">
        <f t="shared" si="175"/>
        <v>1.02</v>
      </c>
      <c r="F1118" s="635"/>
      <c r="G1118" s="3241">
        <f t="shared" si="176"/>
        <v>1</v>
      </c>
      <c r="H1118" s="635"/>
      <c r="I1118" s="3241">
        <f t="shared" si="177"/>
        <v>1</v>
      </c>
      <c r="J1118" s="635"/>
      <c r="K1118" s="3241">
        <f t="shared" si="178"/>
        <v>1</v>
      </c>
      <c r="L1118" s="635"/>
      <c r="M1118" s="3241">
        <f t="shared" si="179"/>
        <v>1</v>
      </c>
      <c r="N1118" s="635"/>
      <c r="O1118" s="3241">
        <f t="shared" si="180"/>
        <v>1</v>
      </c>
      <c r="P1118" s="635"/>
      <c r="Q1118" s="3241">
        <f t="shared" si="181"/>
        <v>1</v>
      </c>
      <c r="R1118" s="3241">
        <f t="shared" ca="1" si="182"/>
        <v>5145</v>
      </c>
      <c r="S1118" s="905">
        <f t="shared" ca="1" si="183"/>
        <v>17</v>
      </c>
    </row>
    <row r="1119" spans="1:19">
      <c r="A1119" s="3227" t="s">
        <v>5113</v>
      </c>
      <c r="B1119" s="3234">
        <v>33.630000000000003</v>
      </c>
      <c r="C1119" s="3241">
        <f t="shared" si="184"/>
        <v>1</v>
      </c>
      <c r="D1119" s="3239" t="s">
        <v>4330</v>
      </c>
      <c r="E1119" s="3241">
        <f t="shared" si="175"/>
        <v>1.02</v>
      </c>
      <c r="F1119" s="635"/>
      <c r="G1119" s="3241">
        <f t="shared" si="176"/>
        <v>1</v>
      </c>
      <c r="H1119" s="635"/>
      <c r="I1119" s="3241">
        <f t="shared" si="177"/>
        <v>1</v>
      </c>
      <c r="J1119" s="635"/>
      <c r="K1119" s="3241">
        <f t="shared" si="178"/>
        <v>1</v>
      </c>
      <c r="L1119" s="635"/>
      <c r="M1119" s="3241">
        <f t="shared" si="179"/>
        <v>1</v>
      </c>
      <c r="N1119" s="635"/>
      <c r="O1119" s="3241">
        <f t="shared" si="180"/>
        <v>1</v>
      </c>
      <c r="P1119" s="635"/>
      <c r="Q1119" s="3241">
        <f t="shared" si="181"/>
        <v>1</v>
      </c>
      <c r="R1119" s="3241">
        <f t="shared" ca="1" si="182"/>
        <v>5145</v>
      </c>
      <c r="S1119" s="905">
        <f t="shared" ca="1" si="183"/>
        <v>17</v>
      </c>
    </row>
    <row r="1120" spans="1:19">
      <c r="A1120" s="3227" t="s">
        <v>6280</v>
      </c>
      <c r="B1120" s="3228">
        <v>35.07</v>
      </c>
      <c r="C1120" s="3241">
        <f t="shared" si="184"/>
        <v>1</v>
      </c>
      <c r="D1120" s="3239" t="s">
        <v>5494</v>
      </c>
      <c r="E1120" s="3241">
        <f t="shared" si="175"/>
        <v>1.02</v>
      </c>
      <c r="F1120" s="635"/>
      <c r="G1120" s="3241">
        <f t="shared" si="176"/>
        <v>1</v>
      </c>
      <c r="H1120" s="635"/>
      <c r="I1120" s="3241">
        <f t="shared" si="177"/>
        <v>1</v>
      </c>
      <c r="J1120" s="635"/>
      <c r="K1120" s="3241">
        <f t="shared" si="178"/>
        <v>1</v>
      </c>
      <c r="L1120" s="635"/>
      <c r="M1120" s="3241">
        <f t="shared" si="179"/>
        <v>1</v>
      </c>
      <c r="N1120" s="635"/>
      <c r="O1120" s="3241">
        <f t="shared" si="180"/>
        <v>1</v>
      </c>
      <c r="P1120" s="635"/>
      <c r="Q1120" s="3241">
        <f t="shared" si="181"/>
        <v>1</v>
      </c>
      <c r="R1120" s="3241">
        <f t="shared" ca="1" si="182"/>
        <v>5145</v>
      </c>
      <c r="S1120" s="905">
        <f t="shared" ca="1" si="183"/>
        <v>18</v>
      </c>
    </row>
    <row r="1121" spans="1:19">
      <c r="A1121" s="3227" t="s">
        <v>5115</v>
      </c>
      <c r="B1121" s="3228">
        <v>33.630000000000003</v>
      </c>
      <c r="C1121" s="3241">
        <f t="shared" si="184"/>
        <v>1</v>
      </c>
      <c r="D1121" s="3237" t="s">
        <v>4322</v>
      </c>
      <c r="E1121" s="3241">
        <f t="shared" si="175"/>
        <v>1.02</v>
      </c>
      <c r="F1121" s="635"/>
      <c r="G1121" s="3241">
        <f t="shared" si="176"/>
        <v>1</v>
      </c>
      <c r="H1121" s="635"/>
      <c r="I1121" s="3241">
        <f t="shared" si="177"/>
        <v>1</v>
      </c>
      <c r="J1121" s="635"/>
      <c r="K1121" s="3241">
        <f t="shared" si="178"/>
        <v>1</v>
      </c>
      <c r="L1121" s="635"/>
      <c r="M1121" s="3241">
        <f t="shared" si="179"/>
        <v>1</v>
      </c>
      <c r="N1121" s="635"/>
      <c r="O1121" s="3241">
        <f t="shared" si="180"/>
        <v>1</v>
      </c>
      <c r="P1121" s="635"/>
      <c r="Q1121" s="3241">
        <f t="shared" si="181"/>
        <v>1</v>
      </c>
      <c r="R1121" s="3241">
        <f t="shared" ca="1" si="182"/>
        <v>5145</v>
      </c>
      <c r="S1121" s="905">
        <f t="shared" ca="1" si="183"/>
        <v>17</v>
      </c>
    </row>
    <row r="1122" spans="1:19">
      <c r="A1122" s="3227" t="s">
        <v>6282</v>
      </c>
      <c r="B1122" s="3228">
        <v>33.630000000000003</v>
      </c>
      <c r="C1122" s="3241">
        <f t="shared" si="184"/>
        <v>1</v>
      </c>
      <c r="D1122" s="3237" t="s">
        <v>5487</v>
      </c>
      <c r="E1122" s="3241">
        <f t="shared" si="175"/>
        <v>1.02</v>
      </c>
      <c r="F1122" s="635"/>
      <c r="G1122" s="3241">
        <f t="shared" si="176"/>
        <v>1</v>
      </c>
      <c r="H1122" s="635"/>
      <c r="I1122" s="3241">
        <f t="shared" si="177"/>
        <v>1</v>
      </c>
      <c r="J1122" s="635"/>
      <c r="K1122" s="3241">
        <f t="shared" si="178"/>
        <v>1</v>
      </c>
      <c r="L1122" s="635"/>
      <c r="M1122" s="3241">
        <f t="shared" si="179"/>
        <v>1</v>
      </c>
      <c r="N1122" s="635"/>
      <c r="O1122" s="3241">
        <f t="shared" si="180"/>
        <v>1</v>
      </c>
      <c r="P1122" s="635"/>
      <c r="Q1122" s="3241">
        <f t="shared" si="181"/>
        <v>1</v>
      </c>
      <c r="R1122" s="3241">
        <f t="shared" ca="1" si="182"/>
        <v>5145</v>
      </c>
      <c r="S1122" s="905">
        <f t="shared" ca="1" si="183"/>
        <v>17</v>
      </c>
    </row>
    <row r="1123" spans="1:19">
      <c r="A1123" s="3227" t="s">
        <v>5117</v>
      </c>
      <c r="B1123" s="3233">
        <v>35.799999999999997</v>
      </c>
      <c r="C1123" s="3241">
        <f t="shared" si="184"/>
        <v>1</v>
      </c>
      <c r="D1123" s="3237" t="s">
        <v>4322</v>
      </c>
      <c r="E1123" s="3241">
        <f t="shared" si="175"/>
        <v>1.02</v>
      </c>
      <c r="F1123" s="635"/>
      <c r="G1123" s="3241">
        <f t="shared" si="176"/>
        <v>1</v>
      </c>
      <c r="H1123" s="635"/>
      <c r="I1123" s="3241">
        <f t="shared" si="177"/>
        <v>1</v>
      </c>
      <c r="J1123" s="635"/>
      <c r="K1123" s="3241">
        <f t="shared" si="178"/>
        <v>1</v>
      </c>
      <c r="L1123" s="635"/>
      <c r="M1123" s="3241">
        <f t="shared" si="179"/>
        <v>1</v>
      </c>
      <c r="N1123" s="635"/>
      <c r="O1123" s="3241">
        <f t="shared" si="180"/>
        <v>1</v>
      </c>
      <c r="P1123" s="635"/>
      <c r="Q1123" s="3241">
        <f t="shared" si="181"/>
        <v>1</v>
      </c>
      <c r="R1123" s="3241">
        <f t="shared" ca="1" si="182"/>
        <v>5145</v>
      </c>
      <c r="S1123" s="905">
        <f t="shared" ca="1" si="183"/>
        <v>18</v>
      </c>
    </row>
    <row r="1124" spans="1:19">
      <c r="A1124" s="3227" t="s">
        <v>6284</v>
      </c>
      <c r="B1124" s="3233">
        <v>35.799999999999997</v>
      </c>
      <c r="C1124" s="3241">
        <f t="shared" si="184"/>
        <v>1</v>
      </c>
      <c r="D1124" s="3237" t="s">
        <v>5487</v>
      </c>
      <c r="E1124" s="3241">
        <f t="shared" si="175"/>
        <v>1.02</v>
      </c>
      <c r="F1124" s="635"/>
      <c r="G1124" s="3241">
        <f t="shared" si="176"/>
        <v>1</v>
      </c>
      <c r="H1124" s="635"/>
      <c r="I1124" s="3241">
        <f t="shared" si="177"/>
        <v>1</v>
      </c>
      <c r="J1124" s="635"/>
      <c r="K1124" s="3241">
        <f t="shared" si="178"/>
        <v>1</v>
      </c>
      <c r="L1124" s="635"/>
      <c r="M1124" s="3241">
        <f t="shared" si="179"/>
        <v>1</v>
      </c>
      <c r="N1124" s="635"/>
      <c r="O1124" s="3241">
        <f t="shared" si="180"/>
        <v>1</v>
      </c>
      <c r="P1124" s="635"/>
      <c r="Q1124" s="3241">
        <f t="shared" si="181"/>
        <v>1</v>
      </c>
      <c r="R1124" s="3241">
        <f t="shared" ca="1" si="182"/>
        <v>5145</v>
      </c>
      <c r="S1124" s="905">
        <f t="shared" ca="1" si="183"/>
        <v>18</v>
      </c>
    </row>
    <row r="1125" spans="1:19">
      <c r="A1125" s="3227" t="s">
        <v>5119</v>
      </c>
      <c r="B1125" s="3233">
        <v>35.799999999999997</v>
      </c>
      <c r="C1125" s="3241">
        <f t="shared" si="184"/>
        <v>1</v>
      </c>
      <c r="D1125" s="3237" t="s">
        <v>4322</v>
      </c>
      <c r="E1125" s="3241">
        <f t="shared" si="175"/>
        <v>1.02</v>
      </c>
      <c r="F1125" s="635"/>
      <c r="G1125" s="3241">
        <f t="shared" si="176"/>
        <v>1</v>
      </c>
      <c r="H1125" s="635"/>
      <c r="I1125" s="3241">
        <f t="shared" si="177"/>
        <v>1</v>
      </c>
      <c r="J1125" s="635"/>
      <c r="K1125" s="3241">
        <f t="shared" si="178"/>
        <v>1</v>
      </c>
      <c r="L1125" s="635"/>
      <c r="M1125" s="3241">
        <f t="shared" si="179"/>
        <v>1</v>
      </c>
      <c r="N1125" s="635"/>
      <c r="O1125" s="3241">
        <f t="shared" si="180"/>
        <v>1</v>
      </c>
      <c r="P1125" s="635"/>
      <c r="Q1125" s="3241">
        <f t="shared" si="181"/>
        <v>1</v>
      </c>
      <c r="R1125" s="3241">
        <f t="shared" ca="1" si="182"/>
        <v>5145</v>
      </c>
      <c r="S1125" s="905">
        <f t="shared" ca="1" si="183"/>
        <v>18</v>
      </c>
    </row>
    <row r="1126" spans="1:19">
      <c r="A1126" s="3227" t="s">
        <v>6286</v>
      </c>
      <c r="B1126" s="3233">
        <v>35.799999999999997</v>
      </c>
      <c r="C1126" s="3241">
        <f t="shared" si="184"/>
        <v>1</v>
      </c>
      <c r="D1126" s="3239" t="s">
        <v>5494</v>
      </c>
      <c r="E1126" s="3241">
        <f t="shared" si="175"/>
        <v>1.02</v>
      </c>
      <c r="F1126" s="635"/>
      <c r="G1126" s="3241">
        <f t="shared" si="176"/>
        <v>1</v>
      </c>
      <c r="H1126" s="635"/>
      <c r="I1126" s="3241">
        <f t="shared" si="177"/>
        <v>1</v>
      </c>
      <c r="J1126" s="635"/>
      <c r="K1126" s="3241">
        <f t="shared" si="178"/>
        <v>1</v>
      </c>
      <c r="L1126" s="635"/>
      <c r="M1126" s="3241">
        <f t="shared" si="179"/>
        <v>1</v>
      </c>
      <c r="N1126" s="635"/>
      <c r="O1126" s="3241">
        <f t="shared" si="180"/>
        <v>1</v>
      </c>
      <c r="P1126" s="635"/>
      <c r="Q1126" s="3241">
        <f t="shared" si="181"/>
        <v>1</v>
      </c>
      <c r="R1126" s="3241">
        <f t="shared" ca="1" si="182"/>
        <v>5145</v>
      </c>
      <c r="S1126" s="905">
        <f t="shared" ca="1" si="183"/>
        <v>18</v>
      </c>
    </row>
    <row r="1127" spans="1:19">
      <c r="A1127" s="3227" t="s">
        <v>5121</v>
      </c>
      <c r="B1127" s="3233">
        <v>35.799999999999997</v>
      </c>
      <c r="C1127" s="3241">
        <f t="shared" si="184"/>
        <v>1</v>
      </c>
      <c r="D1127" s="3239" t="s">
        <v>4330</v>
      </c>
      <c r="E1127" s="3241">
        <f t="shared" si="175"/>
        <v>1.02</v>
      </c>
      <c r="F1127" s="635"/>
      <c r="G1127" s="3241">
        <f t="shared" si="176"/>
        <v>1</v>
      </c>
      <c r="H1127" s="635"/>
      <c r="I1127" s="3241">
        <f t="shared" si="177"/>
        <v>1</v>
      </c>
      <c r="J1127" s="635"/>
      <c r="K1127" s="3241">
        <f t="shared" si="178"/>
        <v>1</v>
      </c>
      <c r="L1127" s="635"/>
      <c r="M1127" s="3241">
        <f t="shared" si="179"/>
        <v>1</v>
      </c>
      <c r="N1127" s="635"/>
      <c r="O1127" s="3241">
        <f t="shared" si="180"/>
        <v>1</v>
      </c>
      <c r="P1127" s="635"/>
      <c r="Q1127" s="3241">
        <f t="shared" si="181"/>
        <v>1</v>
      </c>
      <c r="R1127" s="3241">
        <f t="shared" ca="1" si="182"/>
        <v>5145</v>
      </c>
      <c r="S1127" s="905">
        <f t="shared" ca="1" si="183"/>
        <v>18</v>
      </c>
    </row>
    <row r="1128" spans="1:19">
      <c r="A1128" s="3227" t="s">
        <v>6288</v>
      </c>
      <c r="B1128" s="3233">
        <v>35.799999999999997</v>
      </c>
      <c r="C1128" s="3241">
        <f t="shared" si="184"/>
        <v>1</v>
      </c>
      <c r="D1128" s="3239" t="s">
        <v>5494</v>
      </c>
      <c r="E1128" s="3241">
        <f t="shared" si="175"/>
        <v>1.02</v>
      </c>
      <c r="F1128" s="635"/>
      <c r="G1128" s="3241">
        <f t="shared" si="176"/>
        <v>1</v>
      </c>
      <c r="H1128" s="635"/>
      <c r="I1128" s="3241">
        <f t="shared" si="177"/>
        <v>1</v>
      </c>
      <c r="J1128" s="635"/>
      <c r="K1128" s="3241">
        <f t="shared" si="178"/>
        <v>1</v>
      </c>
      <c r="L1128" s="635"/>
      <c r="M1128" s="3241">
        <f t="shared" si="179"/>
        <v>1</v>
      </c>
      <c r="N1128" s="635"/>
      <c r="O1128" s="3241">
        <f t="shared" si="180"/>
        <v>1</v>
      </c>
      <c r="P1128" s="635"/>
      <c r="Q1128" s="3241">
        <f t="shared" si="181"/>
        <v>1</v>
      </c>
      <c r="R1128" s="3241">
        <f t="shared" ca="1" si="182"/>
        <v>5145</v>
      </c>
      <c r="S1128" s="905">
        <f t="shared" ca="1" si="183"/>
        <v>18</v>
      </c>
    </row>
    <row r="1129" spans="1:19">
      <c r="A1129" s="3227" t="s">
        <v>5123</v>
      </c>
      <c r="B1129" s="3233">
        <v>35.799999999999997</v>
      </c>
      <c r="C1129" s="3241">
        <f t="shared" si="184"/>
        <v>1</v>
      </c>
      <c r="D1129" s="3237" t="s">
        <v>4322</v>
      </c>
      <c r="E1129" s="3241">
        <f t="shared" si="175"/>
        <v>1.02</v>
      </c>
      <c r="F1129" s="635"/>
      <c r="G1129" s="3241">
        <f t="shared" si="176"/>
        <v>1</v>
      </c>
      <c r="H1129" s="635"/>
      <c r="I1129" s="3241">
        <f t="shared" si="177"/>
        <v>1</v>
      </c>
      <c r="J1129" s="635"/>
      <c r="K1129" s="3241">
        <f t="shared" si="178"/>
        <v>1</v>
      </c>
      <c r="L1129" s="635"/>
      <c r="M1129" s="3241">
        <f t="shared" si="179"/>
        <v>1</v>
      </c>
      <c r="N1129" s="635"/>
      <c r="O1129" s="3241">
        <f t="shared" si="180"/>
        <v>1</v>
      </c>
      <c r="P1129" s="635"/>
      <c r="Q1129" s="3241">
        <f t="shared" si="181"/>
        <v>1</v>
      </c>
      <c r="R1129" s="3241">
        <f t="shared" ca="1" si="182"/>
        <v>5145</v>
      </c>
      <c r="S1129" s="905">
        <f t="shared" ca="1" si="183"/>
        <v>18</v>
      </c>
    </row>
    <row r="1130" spans="1:19">
      <c r="A1130" s="3227" t="s">
        <v>6290</v>
      </c>
      <c r="B1130" s="3233">
        <v>35.799999999999997</v>
      </c>
      <c r="C1130" s="3241">
        <f t="shared" si="184"/>
        <v>1</v>
      </c>
      <c r="D1130" s="3237" t="s">
        <v>5487</v>
      </c>
      <c r="E1130" s="3241">
        <f t="shared" si="175"/>
        <v>1.02</v>
      </c>
      <c r="F1130" s="635"/>
      <c r="G1130" s="3241">
        <f t="shared" si="176"/>
        <v>1</v>
      </c>
      <c r="H1130" s="635"/>
      <c r="I1130" s="3241">
        <f t="shared" si="177"/>
        <v>1</v>
      </c>
      <c r="J1130" s="635"/>
      <c r="K1130" s="3241">
        <f t="shared" si="178"/>
        <v>1</v>
      </c>
      <c r="L1130" s="635"/>
      <c r="M1130" s="3241">
        <f t="shared" si="179"/>
        <v>1</v>
      </c>
      <c r="N1130" s="635"/>
      <c r="O1130" s="3241">
        <f t="shared" si="180"/>
        <v>1</v>
      </c>
      <c r="P1130" s="635"/>
      <c r="Q1130" s="3241">
        <f t="shared" si="181"/>
        <v>1</v>
      </c>
      <c r="R1130" s="3241">
        <f t="shared" ca="1" si="182"/>
        <v>5145</v>
      </c>
      <c r="S1130" s="905">
        <f t="shared" ca="1" si="183"/>
        <v>18</v>
      </c>
    </row>
    <row r="1131" spans="1:19">
      <c r="A1131" s="3227" t="s">
        <v>5125</v>
      </c>
      <c r="B1131" s="3233">
        <v>35.799999999999997</v>
      </c>
      <c r="C1131" s="3241">
        <f t="shared" si="184"/>
        <v>1</v>
      </c>
      <c r="D1131" s="3237" t="s">
        <v>4322</v>
      </c>
      <c r="E1131" s="3241">
        <f t="shared" si="175"/>
        <v>1.02</v>
      </c>
      <c r="F1131" s="635"/>
      <c r="G1131" s="3241">
        <f t="shared" si="176"/>
        <v>1</v>
      </c>
      <c r="H1131" s="635"/>
      <c r="I1131" s="3241">
        <f t="shared" si="177"/>
        <v>1</v>
      </c>
      <c r="J1131" s="635"/>
      <c r="K1131" s="3241">
        <f t="shared" si="178"/>
        <v>1</v>
      </c>
      <c r="L1131" s="635"/>
      <c r="M1131" s="3241">
        <f t="shared" si="179"/>
        <v>1</v>
      </c>
      <c r="N1131" s="635"/>
      <c r="O1131" s="3241">
        <f t="shared" si="180"/>
        <v>1</v>
      </c>
      <c r="P1131" s="635"/>
      <c r="Q1131" s="3241">
        <f t="shared" si="181"/>
        <v>1</v>
      </c>
      <c r="R1131" s="3241">
        <f t="shared" ca="1" si="182"/>
        <v>5145</v>
      </c>
      <c r="S1131" s="905">
        <f t="shared" ca="1" si="183"/>
        <v>18</v>
      </c>
    </row>
    <row r="1132" spans="1:19">
      <c r="A1132" s="3227" t="s">
        <v>6292</v>
      </c>
      <c r="B1132" s="3233">
        <v>35.799999999999997</v>
      </c>
      <c r="C1132" s="3241">
        <f t="shared" si="184"/>
        <v>1</v>
      </c>
      <c r="D1132" s="3237" t="s">
        <v>5487</v>
      </c>
      <c r="E1132" s="3241">
        <f t="shared" si="175"/>
        <v>1.02</v>
      </c>
      <c r="F1132" s="635"/>
      <c r="G1132" s="3241">
        <f t="shared" si="176"/>
        <v>1</v>
      </c>
      <c r="H1132" s="635"/>
      <c r="I1132" s="3241">
        <f t="shared" si="177"/>
        <v>1</v>
      </c>
      <c r="J1132" s="635"/>
      <c r="K1132" s="3241">
        <f t="shared" si="178"/>
        <v>1</v>
      </c>
      <c r="L1132" s="635"/>
      <c r="M1132" s="3241">
        <f t="shared" si="179"/>
        <v>1</v>
      </c>
      <c r="N1132" s="635"/>
      <c r="O1132" s="3241">
        <f t="shared" si="180"/>
        <v>1</v>
      </c>
      <c r="P1132" s="635"/>
      <c r="Q1132" s="3241">
        <f t="shared" si="181"/>
        <v>1</v>
      </c>
      <c r="R1132" s="3241">
        <f t="shared" ca="1" si="182"/>
        <v>5145</v>
      </c>
      <c r="S1132" s="905">
        <f t="shared" ca="1" si="183"/>
        <v>18</v>
      </c>
    </row>
    <row r="1133" spans="1:19">
      <c r="A1133" s="3227" t="s">
        <v>5127</v>
      </c>
      <c r="B1133" s="3233">
        <v>35.799999999999997</v>
      </c>
      <c r="C1133" s="3241">
        <f t="shared" si="184"/>
        <v>1</v>
      </c>
      <c r="D1133" s="3237" t="s">
        <v>4322</v>
      </c>
      <c r="E1133" s="3241">
        <f t="shared" si="175"/>
        <v>1.02</v>
      </c>
      <c r="F1133" s="635"/>
      <c r="G1133" s="3241">
        <f t="shared" si="176"/>
        <v>1</v>
      </c>
      <c r="H1133" s="635"/>
      <c r="I1133" s="3241">
        <f t="shared" si="177"/>
        <v>1</v>
      </c>
      <c r="J1133" s="635"/>
      <c r="K1133" s="3241">
        <f t="shared" si="178"/>
        <v>1</v>
      </c>
      <c r="L1133" s="635"/>
      <c r="M1133" s="3241">
        <f t="shared" si="179"/>
        <v>1</v>
      </c>
      <c r="N1133" s="635"/>
      <c r="O1133" s="3241">
        <f t="shared" si="180"/>
        <v>1</v>
      </c>
      <c r="P1133" s="635"/>
      <c r="Q1133" s="3241">
        <f t="shared" si="181"/>
        <v>1</v>
      </c>
      <c r="R1133" s="3241">
        <f t="shared" ca="1" si="182"/>
        <v>5145</v>
      </c>
      <c r="S1133" s="905">
        <f t="shared" ca="1" si="183"/>
        <v>18</v>
      </c>
    </row>
    <row r="1134" spans="1:19">
      <c r="A1134" s="3227" t="s">
        <v>6294</v>
      </c>
      <c r="B1134" s="3233">
        <v>35.799999999999997</v>
      </c>
      <c r="C1134" s="3241">
        <f t="shared" si="184"/>
        <v>1</v>
      </c>
      <c r="D1134" s="3237" t="s">
        <v>5487</v>
      </c>
      <c r="E1134" s="3241">
        <f t="shared" si="175"/>
        <v>1.02</v>
      </c>
      <c r="F1134" s="635"/>
      <c r="G1134" s="3241">
        <f t="shared" si="176"/>
        <v>1</v>
      </c>
      <c r="H1134" s="635"/>
      <c r="I1134" s="3241">
        <f t="shared" si="177"/>
        <v>1</v>
      </c>
      <c r="J1134" s="635"/>
      <c r="K1134" s="3241">
        <f t="shared" si="178"/>
        <v>1</v>
      </c>
      <c r="L1134" s="635"/>
      <c r="M1134" s="3241">
        <f t="shared" si="179"/>
        <v>1</v>
      </c>
      <c r="N1134" s="635"/>
      <c r="O1134" s="3241">
        <f t="shared" si="180"/>
        <v>1</v>
      </c>
      <c r="P1134" s="635"/>
      <c r="Q1134" s="3241">
        <f t="shared" si="181"/>
        <v>1</v>
      </c>
      <c r="R1134" s="3241">
        <f t="shared" ca="1" si="182"/>
        <v>5145</v>
      </c>
      <c r="S1134" s="905">
        <f t="shared" ca="1" si="183"/>
        <v>18</v>
      </c>
    </row>
    <row r="1135" spans="1:19">
      <c r="A1135" s="3227" t="s">
        <v>5129</v>
      </c>
      <c r="B1135" s="3233">
        <v>35.799999999999997</v>
      </c>
      <c r="C1135" s="3241">
        <f t="shared" si="184"/>
        <v>1</v>
      </c>
      <c r="D1135" s="3237" t="s">
        <v>4322</v>
      </c>
      <c r="E1135" s="3241">
        <f t="shared" si="175"/>
        <v>1.02</v>
      </c>
      <c r="F1135" s="635"/>
      <c r="G1135" s="3241">
        <f t="shared" si="176"/>
        <v>1</v>
      </c>
      <c r="H1135" s="635"/>
      <c r="I1135" s="3241">
        <f t="shared" si="177"/>
        <v>1</v>
      </c>
      <c r="J1135" s="635"/>
      <c r="K1135" s="3241">
        <f t="shared" si="178"/>
        <v>1</v>
      </c>
      <c r="L1135" s="635"/>
      <c r="M1135" s="3241">
        <f t="shared" si="179"/>
        <v>1</v>
      </c>
      <c r="N1135" s="635"/>
      <c r="O1135" s="3241">
        <f t="shared" si="180"/>
        <v>1</v>
      </c>
      <c r="P1135" s="635"/>
      <c r="Q1135" s="3241">
        <f t="shared" si="181"/>
        <v>1</v>
      </c>
      <c r="R1135" s="3241">
        <f t="shared" ca="1" si="182"/>
        <v>5145</v>
      </c>
      <c r="S1135" s="905">
        <f t="shared" ca="1" si="183"/>
        <v>18</v>
      </c>
    </row>
    <row r="1136" spans="1:19">
      <c r="A1136" s="3227" t="s">
        <v>6296</v>
      </c>
      <c r="B1136" s="3233">
        <v>35.799999999999997</v>
      </c>
      <c r="C1136" s="3241">
        <f t="shared" si="184"/>
        <v>1</v>
      </c>
      <c r="D1136" s="3237" t="s">
        <v>5487</v>
      </c>
      <c r="E1136" s="3241">
        <f t="shared" si="175"/>
        <v>1.02</v>
      </c>
      <c r="F1136" s="635"/>
      <c r="G1136" s="3241">
        <f t="shared" si="176"/>
        <v>1</v>
      </c>
      <c r="H1136" s="635"/>
      <c r="I1136" s="3241">
        <f t="shared" si="177"/>
        <v>1</v>
      </c>
      <c r="J1136" s="635"/>
      <c r="K1136" s="3241">
        <f t="shared" si="178"/>
        <v>1</v>
      </c>
      <c r="L1136" s="635"/>
      <c r="M1136" s="3241">
        <f t="shared" si="179"/>
        <v>1</v>
      </c>
      <c r="N1136" s="635"/>
      <c r="O1136" s="3241">
        <f t="shared" si="180"/>
        <v>1</v>
      </c>
      <c r="P1136" s="635"/>
      <c r="Q1136" s="3241">
        <f t="shared" si="181"/>
        <v>1</v>
      </c>
      <c r="R1136" s="3241">
        <f t="shared" ca="1" si="182"/>
        <v>5145</v>
      </c>
      <c r="S1136" s="905">
        <f t="shared" ca="1" si="183"/>
        <v>18</v>
      </c>
    </row>
    <row r="1137" spans="1:19">
      <c r="A1137" s="3227" t="s">
        <v>5131</v>
      </c>
      <c r="B1137" s="3233">
        <v>35.799999999999997</v>
      </c>
      <c r="C1137" s="3241">
        <f t="shared" si="184"/>
        <v>1</v>
      </c>
      <c r="D1137" s="3237" t="s">
        <v>4322</v>
      </c>
      <c r="E1137" s="3241">
        <f t="shared" si="175"/>
        <v>1.02</v>
      </c>
      <c r="F1137" s="635"/>
      <c r="G1137" s="3241">
        <f t="shared" si="176"/>
        <v>1</v>
      </c>
      <c r="H1137" s="635"/>
      <c r="I1137" s="3241">
        <f t="shared" si="177"/>
        <v>1</v>
      </c>
      <c r="J1137" s="635"/>
      <c r="K1137" s="3241">
        <f t="shared" si="178"/>
        <v>1</v>
      </c>
      <c r="L1137" s="635"/>
      <c r="M1137" s="3241">
        <f t="shared" si="179"/>
        <v>1</v>
      </c>
      <c r="N1137" s="635"/>
      <c r="O1137" s="3241">
        <f t="shared" si="180"/>
        <v>1</v>
      </c>
      <c r="P1137" s="635"/>
      <c r="Q1137" s="3241">
        <f t="shared" si="181"/>
        <v>1</v>
      </c>
      <c r="R1137" s="3241">
        <f t="shared" ca="1" si="182"/>
        <v>5145</v>
      </c>
      <c r="S1137" s="905">
        <f t="shared" ca="1" si="183"/>
        <v>18</v>
      </c>
    </row>
    <row r="1138" spans="1:19">
      <c r="A1138" s="3227" t="s">
        <v>6298</v>
      </c>
      <c r="B1138" s="3233">
        <v>35.799999999999997</v>
      </c>
      <c r="C1138" s="3241">
        <f t="shared" si="184"/>
        <v>1</v>
      </c>
      <c r="D1138" s="3237" t="s">
        <v>5487</v>
      </c>
      <c r="E1138" s="3241">
        <f t="shared" si="175"/>
        <v>1.02</v>
      </c>
      <c r="F1138" s="635"/>
      <c r="G1138" s="3241">
        <f t="shared" si="176"/>
        <v>1</v>
      </c>
      <c r="H1138" s="635"/>
      <c r="I1138" s="3241">
        <f t="shared" si="177"/>
        <v>1</v>
      </c>
      <c r="J1138" s="635"/>
      <c r="K1138" s="3241">
        <f t="shared" si="178"/>
        <v>1</v>
      </c>
      <c r="L1138" s="635"/>
      <c r="M1138" s="3241">
        <f t="shared" si="179"/>
        <v>1</v>
      </c>
      <c r="N1138" s="635"/>
      <c r="O1138" s="3241">
        <f t="shared" si="180"/>
        <v>1</v>
      </c>
      <c r="P1138" s="635"/>
      <c r="Q1138" s="3241">
        <f t="shared" si="181"/>
        <v>1</v>
      </c>
      <c r="R1138" s="3241">
        <f t="shared" ca="1" si="182"/>
        <v>5145</v>
      </c>
      <c r="S1138" s="905">
        <f t="shared" ca="1" si="183"/>
        <v>18</v>
      </c>
    </row>
    <row r="1139" spans="1:19">
      <c r="A1139" s="3227" t="s">
        <v>5133</v>
      </c>
      <c r="B1139" s="3228">
        <v>36.549999999999997</v>
      </c>
      <c r="C1139" s="3241">
        <f t="shared" si="184"/>
        <v>1</v>
      </c>
      <c r="D1139" s="3237" t="s">
        <v>4322</v>
      </c>
      <c r="E1139" s="3241">
        <f t="shared" si="175"/>
        <v>1.02</v>
      </c>
      <c r="F1139" s="635"/>
      <c r="G1139" s="3241">
        <f t="shared" si="176"/>
        <v>1</v>
      </c>
      <c r="H1139" s="635"/>
      <c r="I1139" s="3241">
        <f t="shared" si="177"/>
        <v>1</v>
      </c>
      <c r="J1139" s="635"/>
      <c r="K1139" s="3241">
        <f t="shared" si="178"/>
        <v>1</v>
      </c>
      <c r="L1139" s="635"/>
      <c r="M1139" s="3241">
        <f t="shared" si="179"/>
        <v>1</v>
      </c>
      <c r="N1139" s="635"/>
      <c r="O1139" s="3241">
        <f t="shared" si="180"/>
        <v>1</v>
      </c>
      <c r="P1139" s="635"/>
      <c r="Q1139" s="3241">
        <f t="shared" si="181"/>
        <v>1</v>
      </c>
      <c r="R1139" s="3241">
        <f t="shared" ca="1" si="182"/>
        <v>5145</v>
      </c>
      <c r="S1139" s="905">
        <f t="shared" ca="1" si="183"/>
        <v>19</v>
      </c>
    </row>
    <row r="1140" spans="1:19">
      <c r="A1140" s="3227" t="s">
        <v>6300</v>
      </c>
      <c r="B1140" s="3228">
        <v>36.549999999999997</v>
      </c>
      <c r="C1140" s="3241">
        <f t="shared" si="184"/>
        <v>1</v>
      </c>
      <c r="D1140" s="3237" t="s">
        <v>5487</v>
      </c>
      <c r="E1140" s="3241">
        <f t="shared" si="175"/>
        <v>1.02</v>
      </c>
      <c r="F1140" s="635"/>
      <c r="G1140" s="3241">
        <f t="shared" si="176"/>
        <v>1</v>
      </c>
      <c r="H1140" s="635"/>
      <c r="I1140" s="3241">
        <f t="shared" si="177"/>
        <v>1</v>
      </c>
      <c r="J1140" s="635"/>
      <c r="K1140" s="3241">
        <f t="shared" si="178"/>
        <v>1</v>
      </c>
      <c r="L1140" s="635"/>
      <c r="M1140" s="3241">
        <f t="shared" si="179"/>
        <v>1</v>
      </c>
      <c r="N1140" s="635"/>
      <c r="O1140" s="3241">
        <f t="shared" si="180"/>
        <v>1</v>
      </c>
      <c r="P1140" s="635"/>
      <c r="Q1140" s="3241">
        <f t="shared" si="181"/>
        <v>1</v>
      </c>
      <c r="R1140" s="3241">
        <f t="shared" ca="1" si="182"/>
        <v>5145</v>
      </c>
      <c r="S1140" s="905">
        <f t="shared" ca="1" si="183"/>
        <v>19</v>
      </c>
    </row>
    <row r="1141" spans="1:19">
      <c r="A1141" s="3227" t="s">
        <v>5135</v>
      </c>
      <c r="B1141" s="3228">
        <v>37.270000000000003</v>
      </c>
      <c r="C1141" s="3241">
        <f t="shared" si="184"/>
        <v>1</v>
      </c>
      <c r="D1141" s="3237" t="s">
        <v>4322</v>
      </c>
      <c r="E1141" s="3241">
        <f t="shared" si="175"/>
        <v>1.02</v>
      </c>
      <c r="F1141" s="635"/>
      <c r="G1141" s="3241">
        <f t="shared" si="176"/>
        <v>1</v>
      </c>
      <c r="H1141" s="635"/>
      <c r="I1141" s="3241">
        <f t="shared" si="177"/>
        <v>1</v>
      </c>
      <c r="J1141" s="635"/>
      <c r="K1141" s="3241">
        <f t="shared" si="178"/>
        <v>1</v>
      </c>
      <c r="L1141" s="635"/>
      <c r="M1141" s="3241">
        <f t="shared" si="179"/>
        <v>1</v>
      </c>
      <c r="N1141" s="635"/>
      <c r="O1141" s="3241">
        <f t="shared" si="180"/>
        <v>1</v>
      </c>
      <c r="P1141" s="635"/>
      <c r="Q1141" s="3241">
        <f t="shared" si="181"/>
        <v>1</v>
      </c>
      <c r="R1141" s="3241">
        <f t="shared" ca="1" si="182"/>
        <v>5145</v>
      </c>
      <c r="S1141" s="905">
        <f t="shared" ca="1" si="183"/>
        <v>19</v>
      </c>
    </row>
    <row r="1142" spans="1:19">
      <c r="A1142" s="3227" t="s">
        <v>6302</v>
      </c>
      <c r="B1142" s="3228">
        <v>37.270000000000003</v>
      </c>
      <c r="C1142" s="3241">
        <f t="shared" si="184"/>
        <v>1</v>
      </c>
      <c r="D1142" s="3239" t="s">
        <v>5494</v>
      </c>
      <c r="E1142" s="3241">
        <f t="shared" si="175"/>
        <v>1.02</v>
      </c>
      <c r="F1142" s="635"/>
      <c r="G1142" s="3241">
        <f t="shared" si="176"/>
        <v>1</v>
      </c>
      <c r="H1142" s="635"/>
      <c r="I1142" s="3241">
        <f t="shared" si="177"/>
        <v>1</v>
      </c>
      <c r="J1142" s="635"/>
      <c r="K1142" s="3241">
        <f t="shared" si="178"/>
        <v>1</v>
      </c>
      <c r="L1142" s="635"/>
      <c r="M1142" s="3241">
        <f t="shared" si="179"/>
        <v>1</v>
      </c>
      <c r="N1142" s="635"/>
      <c r="O1142" s="3241">
        <f t="shared" si="180"/>
        <v>1</v>
      </c>
      <c r="P1142" s="635"/>
      <c r="Q1142" s="3241">
        <f t="shared" si="181"/>
        <v>1</v>
      </c>
      <c r="R1142" s="3241">
        <f t="shared" ca="1" si="182"/>
        <v>5145</v>
      </c>
      <c r="S1142" s="905">
        <f t="shared" ca="1" si="183"/>
        <v>19</v>
      </c>
    </row>
    <row r="1143" spans="1:19">
      <c r="A1143" s="3227" t="s">
        <v>5137</v>
      </c>
      <c r="B1143" s="3228">
        <v>37.270000000000003</v>
      </c>
      <c r="C1143" s="3241">
        <f t="shared" si="184"/>
        <v>1</v>
      </c>
      <c r="D1143" s="3237" t="s">
        <v>4322</v>
      </c>
      <c r="E1143" s="3241">
        <f t="shared" si="175"/>
        <v>1.02</v>
      </c>
      <c r="F1143" s="635"/>
      <c r="G1143" s="3241">
        <f t="shared" si="176"/>
        <v>1</v>
      </c>
      <c r="H1143" s="635"/>
      <c r="I1143" s="3241">
        <f t="shared" si="177"/>
        <v>1</v>
      </c>
      <c r="J1143" s="635"/>
      <c r="K1143" s="3241">
        <f t="shared" si="178"/>
        <v>1</v>
      </c>
      <c r="L1143" s="635"/>
      <c r="M1143" s="3241">
        <f t="shared" si="179"/>
        <v>1</v>
      </c>
      <c r="N1143" s="635"/>
      <c r="O1143" s="3241">
        <f t="shared" si="180"/>
        <v>1</v>
      </c>
      <c r="P1143" s="635"/>
      <c r="Q1143" s="3241">
        <f t="shared" si="181"/>
        <v>1</v>
      </c>
      <c r="R1143" s="3241">
        <f t="shared" ca="1" si="182"/>
        <v>5145</v>
      </c>
      <c r="S1143" s="905">
        <f t="shared" ca="1" si="183"/>
        <v>19</v>
      </c>
    </row>
    <row r="1144" spans="1:19">
      <c r="A1144" s="3227" t="s">
        <v>6304</v>
      </c>
      <c r="B1144" s="3228">
        <v>37.270000000000003</v>
      </c>
      <c r="C1144" s="3241">
        <f t="shared" si="184"/>
        <v>1</v>
      </c>
      <c r="D1144" s="3237" t="s">
        <v>5487</v>
      </c>
      <c r="E1144" s="3241">
        <f t="shared" si="175"/>
        <v>1.02</v>
      </c>
      <c r="F1144" s="635"/>
      <c r="G1144" s="3241">
        <f t="shared" si="176"/>
        <v>1</v>
      </c>
      <c r="H1144" s="635"/>
      <c r="I1144" s="3241">
        <f t="shared" si="177"/>
        <v>1</v>
      </c>
      <c r="J1144" s="635"/>
      <c r="K1144" s="3241">
        <f t="shared" si="178"/>
        <v>1</v>
      </c>
      <c r="L1144" s="635"/>
      <c r="M1144" s="3241">
        <f t="shared" si="179"/>
        <v>1</v>
      </c>
      <c r="N1144" s="635"/>
      <c r="O1144" s="3241">
        <f t="shared" si="180"/>
        <v>1</v>
      </c>
      <c r="P1144" s="635"/>
      <c r="Q1144" s="3241">
        <f t="shared" si="181"/>
        <v>1</v>
      </c>
      <c r="R1144" s="3241">
        <f t="shared" ca="1" si="182"/>
        <v>5145</v>
      </c>
      <c r="S1144" s="905">
        <f t="shared" ca="1" si="183"/>
        <v>19</v>
      </c>
    </row>
    <row r="1145" spans="1:19">
      <c r="A1145" s="3227" t="s">
        <v>5139</v>
      </c>
      <c r="B1145" s="3228">
        <v>37.270000000000003</v>
      </c>
      <c r="C1145" s="3241">
        <f t="shared" si="184"/>
        <v>1</v>
      </c>
      <c r="D1145" s="3239" t="s">
        <v>4330</v>
      </c>
      <c r="E1145" s="3241">
        <f t="shared" si="175"/>
        <v>1.02</v>
      </c>
      <c r="F1145" s="635"/>
      <c r="G1145" s="3241">
        <f t="shared" si="176"/>
        <v>1</v>
      </c>
      <c r="H1145" s="635"/>
      <c r="I1145" s="3241">
        <f t="shared" si="177"/>
        <v>1</v>
      </c>
      <c r="J1145" s="635"/>
      <c r="K1145" s="3241">
        <f t="shared" si="178"/>
        <v>1</v>
      </c>
      <c r="L1145" s="635"/>
      <c r="M1145" s="3241">
        <f t="shared" si="179"/>
        <v>1</v>
      </c>
      <c r="N1145" s="635"/>
      <c r="O1145" s="3241">
        <f t="shared" si="180"/>
        <v>1</v>
      </c>
      <c r="P1145" s="635"/>
      <c r="Q1145" s="3241">
        <f t="shared" si="181"/>
        <v>1</v>
      </c>
      <c r="R1145" s="3241">
        <f t="shared" ca="1" si="182"/>
        <v>5145</v>
      </c>
      <c r="S1145" s="905">
        <f t="shared" ca="1" si="183"/>
        <v>19</v>
      </c>
    </row>
    <row r="1146" spans="1:19">
      <c r="A1146" s="3227" t="s">
        <v>6306</v>
      </c>
      <c r="B1146" s="3228">
        <v>37.270000000000003</v>
      </c>
      <c r="C1146" s="3241">
        <f t="shared" si="184"/>
        <v>1</v>
      </c>
      <c r="D1146" s="3237" t="s">
        <v>5487</v>
      </c>
      <c r="E1146" s="3241">
        <f t="shared" si="175"/>
        <v>1.02</v>
      </c>
      <c r="F1146" s="635"/>
      <c r="G1146" s="3241">
        <f t="shared" si="176"/>
        <v>1</v>
      </c>
      <c r="H1146" s="635"/>
      <c r="I1146" s="3241">
        <f t="shared" si="177"/>
        <v>1</v>
      </c>
      <c r="J1146" s="635"/>
      <c r="K1146" s="3241">
        <f t="shared" si="178"/>
        <v>1</v>
      </c>
      <c r="L1146" s="635"/>
      <c r="M1146" s="3241">
        <f t="shared" si="179"/>
        <v>1</v>
      </c>
      <c r="N1146" s="635"/>
      <c r="O1146" s="3241">
        <f t="shared" si="180"/>
        <v>1</v>
      </c>
      <c r="P1146" s="635"/>
      <c r="Q1146" s="3241">
        <f t="shared" si="181"/>
        <v>1</v>
      </c>
      <c r="R1146" s="3241">
        <f t="shared" ca="1" si="182"/>
        <v>5145</v>
      </c>
      <c r="S1146" s="905">
        <f t="shared" ca="1" si="183"/>
        <v>19</v>
      </c>
    </row>
    <row r="1147" spans="1:19">
      <c r="A1147" s="3227" t="s">
        <v>5141</v>
      </c>
      <c r="B1147" s="3228">
        <v>37.270000000000003</v>
      </c>
      <c r="C1147" s="3241">
        <f t="shared" si="184"/>
        <v>1</v>
      </c>
      <c r="D1147" s="3239" t="s">
        <v>4330</v>
      </c>
      <c r="E1147" s="3241">
        <f t="shared" si="175"/>
        <v>1.02</v>
      </c>
      <c r="F1147" s="635"/>
      <c r="G1147" s="3241">
        <f t="shared" si="176"/>
        <v>1</v>
      </c>
      <c r="H1147" s="635"/>
      <c r="I1147" s="3241">
        <f t="shared" si="177"/>
        <v>1</v>
      </c>
      <c r="J1147" s="635"/>
      <c r="K1147" s="3241">
        <f t="shared" si="178"/>
        <v>1</v>
      </c>
      <c r="L1147" s="635"/>
      <c r="M1147" s="3241">
        <f t="shared" si="179"/>
        <v>1</v>
      </c>
      <c r="N1147" s="635"/>
      <c r="O1147" s="3241">
        <f t="shared" si="180"/>
        <v>1</v>
      </c>
      <c r="P1147" s="635"/>
      <c r="Q1147" s="3241">
        <f t="shared" si="181"/>
        <v>1</v>
      </c>
      <c r="R1147" s="3241">
        <f t="shared" ca="1" si="182"/>
        <v>5145</v>
      </c>
      <c r="S1147" s="905">
        <f t="shared" ca="1" si="183"/>
        <v>19</v>
      </c>
    </row>
    <row r="1148" spans="1:19">
      <c r="A1148" s="3227" t="s">
        <v>6308</v>
      </c>
      <c r="B1148" s="3228">
        <v>37.270000000000003</v>
      </c>
      <c r="C1148" s="3241">
        <f t="shared" si="184"/>
        <v>1</v>
      </c>
      <c r="D1148" s="3239" t="s">
        <v>5494</v>
      </c>
      <c r="E1148" s="3241">
        <f t="shared" si="175"/>
        <v>1.02</v>
      </c>
      <c r="F1148" s="635"/>
      <c r="G1148" s="3241">
        <f t="shared" si="176"/>
        <v>1</v>
      </c>
      <c r="H1148" s="635"/>
      <c r="I1148" s="3241">
        <f t="shared" si="177"/>
        <v>1</v>
      </c>
      <c r="J1148" s="635"/>
      <c r="K1148" s="3241">
        <f t="shared" si="178"/>
        <v>1</v>
      </c>
      <c r="L1148" s="635"/>
      <c r="M1148" s="3241">
        <f t="shared" si="179"/>
        <v>1</v>
      </c>
      <c r="N1148" s="635"/>
      <c r="O1148" s="3241">
        <f t="shared" si="180"/>
        <v>1</v>
      </c>
      <c r="P1148" s="635"/>
      <c r="Q1148" s="3241">
        <f t="shared" si="181"/>
        <v>1</v>
      </c>
      <c r="R1148" s="3241">
        <f t="shared" ca="1" si="182"/>
        <v>5145</v>
      </c>
      <c r="S1148" s="905">
        <f t="shared" ca="1" si="183"/>
        <v>19</v>
      </c>
    </row>
    <row r="1149" spans="1:19">
      <c r="A1149" s="3227" t="s">
        <v>5143</v>
      </c>
      <c r="B1149" s="3228">
        <v>37.270000000000003</v>
      </c>
      <c r="C1149" s="3241">
        <f t="shared" si="184"/>
        <v>1</v>
      </c>
      <c r="D1149" s="3237" t="s">
        <v>4322</v>
      </c>
      <c r="E1149" s="3241">
        <f t="shared" si="175"/>
        <v>1.02</v>
      </c>
      <c r="F1149" s="635"/>
      <c r="G1149" s="3241">
        <f t="shared" si="176"/>
        <v>1</v>
      </c>
      <c r="H1149" s="635"/>
      <c r="I1149" s="3241">
        <f t="shared" si="177"/>
        <v>1</v>
      </c>
      <c r="J1149" s="635"/>
      <c r="K1149" s="3241">
        <f t="shared" si="178"/>
        <v>1</v>
      </c>
      <c r="L1149" s="635"/>
      <c r="M1149" s="3241">
        <f t="shared" si="179"/>
        <v>1</v>
      </c>
      <c r="N1149" s="635"/>
      <c r="O1149" s="3241">
        <f t="shared" si="180"/>
        <v>1</v>
      </c>
      <c r="P1149" s="635"/>
      <c r="Q1149" s="3241">
        <f t="shared" si="181"/>
        <v>1</v>
      </c>
      <c r="R1149" s="3241">
        <f t="shared" ca="1" si="182"/>
        <v>5145</v>
      </c>
      <c r="S1149" s="905">
        <f t="shared" ca="1" si="183"/>
        <v>19</v>
      </c>
    </row>
    <row r="1150" spans="1:19">
      <c r="A1150" s="3227" t="s">
        <v>6310</v>
      </c>
      <c r="B1150" s="3228">
        <v>35.07</v>
      </c>
      <c r="C1150" s="3241">
        <f t="shared" si="184"/>
        <v>1</v>
      </c>
      <c r="D1150" s="3237" t="s">
        <v>5487</v>
      </c>
      <c r="E1150" s="3241">
        <f t="shared" si="175"/>
        <v>1.02</v>
      </c>
      <c r="F1150" s="635"/>
      <c r="G1150" s="3241">
        <f t="shared" si="176"/>
        <v>1</v>
      </c>
      <c r="H1150" s="635"/>
      <c r="I1150" s="3241">
        <f t="shared" si="177"/>
        <v>1</v>
      </c>
      <c r="J1150" s="635"/>
      <c r="K1150" s="3241">
        <f t="shared" si="178"/>
        <v>1</v>
      </c>
      <c r="L1150" s="635"/>
      <c r="M1150" s="3241">
        <f t="shared" si="179"/>
        <v>1</v>
      </c>
      <c r="N1150" s="635"/>
      <c r="O1150" s="3241">
        <f t="shared" si="180"/>
        <v>1</v>
      </c>
      <c r="P1150" s="635"/>
      <c r="Q1150" s="3241">
        <f t="shared" si="181"/>
        <v>1</v>
      </c>
      <c r="R1150" s="3241">
        <f t="shared" ca="1" si="182"/>
        <v>5145</v>
      </c>
      <c r="S1150" s="905">
        <f t="shared" ca="1" si="183"/>
        <v>18</v>
      </c>
    </row>
    <row r="1151" spans="1:19">
      <c r="A1151" s="3227" t="s">
        <v>5145</v>
      </c>
      <c r="B1151" s="3228">
        <v>35.07</v>
      </c>
      <c r="C1151" s="3241">
        <f t="shared" si="184"/>
        <v>1</v>
      </c>
      <c r="D1151" s="3237" t="s">
        <v>4322</v>
      </c>
      <c r="E1151" s="3241">
        <f t="shared" si="175"/>
        <v>1.02</v>
      </c>
      <c r="F1151" s="635"/>
      <c r="G1151" s="3241">
        <f t="shared" si="176"/>
        <v>1</v>
      </c>
      <c r="H1151" s="635"/>
      <c r="I1151" s="3241">
        <f t="shared" si="177"/>
        <v>1</v>
      </c>
      <c r="J1151" s="635"/>
      <c r="K1151" s="3241">
        <f t="shared" si="178"/>
        <v>1</v>
      </c>
      <c r="L1151" s="635"/>
      <c r="M1151" s="3241">
        <f t="shared" si="179"/>
        <v>1</v>
      </c>
      <c r="N1151" s="635"/>
      <c r="O1151" s="3241">
        <f t="shared" si="180"/>
        <v>1</v>
      </c>
      <c r="P1151" s="635"/>
      <c r="Q1151" s="3241">
        <f t="shared" si="181"/>
        <v>1</v>
      </c>
      <c r="R1151" s="3241">
        <f t="shared" ca="1" si="182"/>
        <v>5145</v>
      </c>
      <c r="S1151" s="905">
        <f t="shared" ca="1" si="183"/>
        <v>18</v>
      </c>
    </row>
    <row r="1152" spans="1:19">
      <c r="A1152" s="3227" t="s">
        <v>6312</v>
      </c>
      <c r="B1152" s="3228">
        <v>35.07</v>
      </c>
      <c r="C1152" s="3241">
        <f t="shared" si="184"/>
        <v>1</v>
      </c>
      <c r="D1152" s="3237" t="s">
        <v>5487</v>
      </c>
      <c r="E1152" s="3241">
        <f t="shared" si="175"/>
        <v>1.02</v>
      </c>
      <c r="F1152" s="635"/>
      <c r="G1152" s="3241">
        <f t="shared" si="176"/>
        <v>1</v>
      </c>
      <c r="H1152" s="635"/>
      <c r="I1152" s="3241">
        <f t="shared" si="177"/>
        <v>1</v>
      </c>
      <c r="J1152" s="635"/>
      <c r="K1152" s="3241">
        <f t="shared" si="178"/>
        <v>1</v>
      </c>
      <c r="L1152" s="635"/>
      <c r="M1152" s="3241">
        <f t="shared" si="179"/>
        <v>1</v>
      </c>
      <c r="N1152" s="635"/>
      <c r="O1152" s="3241">
        <f t="shared" si="180"/>
        <v>1</v>
      </c>
      <c r="P1152" s="635"/>
      <c r="Q1152" s="3241">
        <f t="shared" si="181"/>
        <v>1</v>
      </c>
      <c r="R1152" s="3241">
        <f t="shared" ca="1" si="182"/>
        <v>5145</v>
      </c>
      <c r="S1152" s="905">
        <f t="shared" ca="1" si="183"/>
        <v>18</v>
      </c>
    </row>
    <row r="1153" spans="1:19">
      <c r="A1153" s="3227" t="s">
        <v>5147</v>
      </c>
      <c r="B1153" s="3228">
        <v>37.270000000000003</v>
      </c>
      <c r="C1153" s="3241">
        <f t="shared" si="184"/>
        <v>1</v>
      </c>
      <c r="D1153" s="3237" t="s">
        <v>4322</v>
      </c>
      <c r="E1153" s="3241">
        <f t="shared" si="175"/>
        <v>1.02</v>
      </c>
      <c r="F1153" s="635"/>
      <c r="G1153" s="3241">
        <f t="shared" si="176"/>
        <v>1</v>
      </c>
      <c r="H1153" s="635"/>
      <c r="I1153" s="3241">
        <f t="shared" si="177"/>
        <v>1</v>
      </c>
      <c r="J1153" s="635"/>
      <c r="K1153" s="3241">
        <f t="shared" si="178"/>
        <v>1</v>
      </c>
      <c r="L1153" s="635"/>
      <c r="M1153" s="3241">
        <f t="shared" si="179"/>
        <v>1</v>
      </c>
      <c r="N1153" s="635"/>
      <c r="O1153" s="3241">
        <f t="shared" si="180"/>
        <v>1</v>
      </c>
      <c r="P1153" s="635"/>
      <c r="Q1153" s="3241">
        <f t="shared" si="181"/>
        <v>1</v>
      </c>
      <c r="R1153" s="3241">
        <f t="shared" ca="1" si="182"/>
        <v>5145</v>
      </c>
      <c r="S1153" s="905">
        <f t="shared" ca="1" si="183"/>
        <v>19</v>
      </c>
    </row>
    <row r="1154" spans="1:19">
      <c r="A1154" s="3227" t="s">
        <v>6314</v>
      </c>
      <c r="B1154" s="3228">
        <v>37.270000000000003</v>
      </c>
      <c r="C1154" s="3241">
        <f t="shared" si="184"/>
        <v>1</v>
      </c>
      <c r="D1154" s="3237" t="s">
        <v>5487</v>
      </c>
      <c r="E1154" s="3241">
        <f t="shared" si="175"/>
        <v>1.02</v>
      </c>
      <c r="F1154" s="635"/>
      <c r="G1154" s="3241">
        <f t="shared" si="176"/>
        <v>1</v>
      </c>
      <c r="H1154" s="635"/>
      <c r="I1154" s="3241">
        <f t="shared" si="177"/>
        <v>1</v>
      </c>
      <c r="J1154" s="635"/>
      <c r="K1154" s="3241">
        <f t="shared" si="178"/>
        <v>1</v>
      </c>
      <c r="L1154" s="635"/>
      <c r="M1154" s="3241">
        <f t="shared" si="179"/>
        <v>1</v>
      </c>
      <c r="N1154" s="635"/>
      <c r="O1154" s="3241">
        <f t="shared" si="180"/>
        <v>1</v>
      </c>
      <c r="P1154" s="635"/>
      <c r="Q1154" s="3241">
        <f t="shared" si="181"/>
        <v>1</v>
      </c>
      <c r="R1154" s="3241">
        <f t="shared" ca="1" si="182"/>
        <v>5145</v>
      </c>
      <c r="S1154" s="905">
        <f t="shared" ca="1" si="183"/>
        <v>19</v>
      </c>
    </row>
    <row r="1155" spans="1:19">
      <c r="A1155" s="3227" t="s">
        <v>5149</v>
      </c>
      <c r="B1155" s="3233">
        <v>35.799999999999997</v>
      </c>
      <c r="C1155" s="3241">
        <f t="shared" si="184"/>
        <v>1</v>
      </c>
      <c r="D1155" s="3237" t="s">
        <v>4322</v>
      </c>
      <c r="E1155" s="3241">
        <f t="shared" si="175"/>
        <v>1.02</v>
      </c>
      <c r="F1155" s="635"/>
      <c r="G1155" s="3241">
        <f t="shared" si="176"/>
        <v>1</v>
      </c>
      <c r="H1155" s="635"/>
      <c r="I1155" s="3241">
        <f t="shared" si="177"/>
        <v>1</v>
      </c>
      <c r="J1155" s="635"/>
      <c r="K1155" s="3241">
        <f t="shared" si="178"/>
        <v>1</v>
      </c>
      <c r="L1155" s="635"/>
      <c r="M1155" s="3241">
        <f t="shared" si="179"/>
        <v>1</v>
      </c>
      <c r="N1155" s="635"/>
      <c r="O1155" s="3241">
        <f t="shared" si="180"/>
        <v>1</v>
      </c>
      <c r="P1155" s="635"/>
      <c r="Q1155" s="3241">
        <f t="shared" si="181"/>
        <v>1</v>
      </c>
      <c r="R1155" s="3241">
        <f t="shared" ca="1" si="182"/>
        <v>5145</v>
      </c>
      <c r="S1155" s="905">
        <f t="shared" ca="1" si="183"/>
        <v>18</v>
      </c>
    </row>
    <row r="1156" spans="1:19">
      <c r="A1156" s="3227" t="s">
        <v>6316</v>
      </c>
      <c r="B1156" s="3233">
        <v>35.799999999999997</v>
      </c>
      <c r="C1156" s="3241">
        <f t="shared" si="184"/>
        <v>1</v>
      </c>
      <c r="D1156" s="3239" t="s">
        <v>5494</v>
      </c>
      <c r="E1156" s="3241">
        <f t="shared" si="175"/>
        <v>1.02</v>
      </c>
      <c r="F1156" s="635"/>
      <c r="G1156" s="3241">
        <f t="shared" si="176"/>
        <v>1</v>
      </c>
      <c r="H1156" s="635"/>
      <c r="I1156" s="3241">
        <f t="shared" si="177"/>
        <v>1</v>
      </c>
      <c r="J1156" s="635"/>
      <c r="K1156" s="3241">
        <f t="shared" si="178"/>
        <v>1</v>
      </c>
      <c r="L1156" s="635"/>
      <c r="M1156" s="3241">
        <f t="shared" si="179"/>
        <v>1</v>
      </c>
      <c r="N1156" s="635"/>
      <c r="O1156" s="3241">
        <f t="shared" si="180"/>
        <v>1</v>
      </c>
      <c r="P1156" s="635"/>
      <c r="Q1156" s="3241">
        <f t="shared" si="181"/>
        <v>1</v>
      </c>
      <c r="R1156" s="3241">
        <f t="shared" ca="1" si="182"/>
        <v>5145</v>
      </c>
      <c r="S1156" s="905">
        <f t="shared" ca="1" si="183"/>
        <v>18</v>
      </c>
    </row>
    <row r="1157" spans="1:19">
      <c r="A1157" s="3227" t="s">
        <v>5151</v>
      </c>
      <c r="B1157" s="3233">
        <v>35.799999999999997</v>
      </c>
      <c r="C1157" s="3241">
        <f t="shared" si="184"/>
        <v>1</v>
      </c>
      <c r="D1157" s="3237" t="s">
        <v>4322</v>
      </c>
      <c r="E1157" s="3241">
        <f t="shared" si="175"/>
        <v>1.02</v>
      </c>
      <c r="F1157" s="635"/>
      <c r="G1157" s="3241">
        <f t="shared" si="176"/>
        <v>1</v>
      </c>
      <c r="H1157" s="635"/>
      <c r="I1157" s="3241">
        <f t="shared" si="177"/>
        <v>1</v>
      </c>
      <c r="J1157" s="635"/>
      <c r="K1157" s="3241">
        <f t="shared" si="178"/>
        <v>1</v>
      </c>
      <c r="L1157" s="635"/>
      <c r="M1157" s="3241">
        <f t="shared" si="179"/>
        <v>1</v>
      </c>
      <c r="N1157" s="635"/>
      <c r="O1157" s="3241">
        <f t="shared" si="180"/>
        <v>1</v>
      </c>
      <c r="P1157" s="635"/>
      <c r="Q1157" s="3241">
        <f t="shared" si="181"/>
        <v>1</v>
      </c>
      <c r="R1157" s="3241">
        <f t="shared" ca="1" si="182"/>
        <v>5145</v>
      </c>
      <c r="S1157" s="905">
        <f t="shared" ca="1" si="183"/>
        <v>18</v>
      </c>
    </row>
    <row r="1158" spans="1:19">
      <c r="A1158" s="3227" t="s">
        <v>6318</v>
      </c>
      <c r="B1158" s="3233">
        <v>35.799999999999997</v>
      </c>
      <c r="C1158" s="3241">
        <f t="shared" si="184"/>
        <v>1</v>
      </c>
      <c r="D1158" s="3237" t="s">
        <v>5487</v>
      </c>
      <c r="E1158" s="3241">
        <f t="shared" si="175"/>
        <v>1.02</v>
      </c>
      <c r="F1158" s="635"/>
      <c r="G1158" s="3241">
        <f t="shared" si="176"/>
        <v>1</v>
      </c>
      <c r="H1158" s="635"/>
      <c r="I1158" s="3241">
        <f t="shared" si="177"/>
        <v>1</v>
      </c>
      <c r="J1158" s="635"/>
      <c r="K1158" s="3241">
        <f t="shared" si="178"/>
        <v>1</v>
      </c>
      <c r="L1158" s="635"/>
      <c r="M1158" s="3241">
        <f t="shared" si="179"/>
        <v>1</v>
      </c>
      <c r="N1158" s="635"/>
      <c r="O1158" s="3241">
        <f t="shared" si="180"/>
        <v>1</v>
      </c>
      <c r="P1158" s="635"/>
      <c r="Q1158" s="3241">
        <f t="shared" si="181"/>
        <v>1</v>
      </c>
      <c r="R1158" s="3241">
        <f t="shared" ca="1" si="182"/>
        <v>5145</v>
      </c>
      <c r="S1158" s="905">
        <f t="shared" ca="1" si="183"/>
        <v>18</v>
      </c>
    </row>
    <row r="1159" spans="1:19">
      <c r="A1159" s="3227" t="s">
        <v>5153</v>
      </c>
      <c r="B1159" s="3233">
        <v>35.799999999999997</v>
      </c>
      <c r="C1159" s="3241">
        <f t="shared" si="184"/>
        <v>1</v>
      </c>
      <c r="D1159" s="3237" t="s">
        <v>4322</v>
      </c>
      <c r="E1159" s="3241">
        <f t="shared" si="175"/>
        <v>1.02</v>
      </c>
      <c r="F1159" s="635"/>
      <c r="G1159" s="3241">
        <f t="shared" si="176"/>
        <v>1</v>
      </c>
      <c r="H1159" s="635"/>
      <c r="I1159" s="3241">
        <f t="shared" si="177"/>
        <v>1</v>
      </c>
      <c r="J1159" s="635"/>
      <c r="K1159" s="3241">
        <f t="shared" si="178"/>
        <v>1</v>
      </c>
      <c r="L1159" s="635"/>
      <c r="M1159" s="3241">
        <f t="shared" si="179"/>
        <v>1</v>
      </c>
      <c r="N1159" s="635"/>
      <c r="O1159" s="3241">
        <f t="shared" si="180"/>
        <v>1</v>
      </c>
      <c r="P1159" s="635"/>
      <c r="Q1159" s="3241">
        <f t="shared" si="181"/>
        <v>1</v>
      </c>
      <c r="R1159" s="3241">
        <f t="shared" ca="1" si="182"/>
        <v>5145</v>
      </c>
      <c r="S1159" s="905">
        <f t="shared" ca="1" si="183"/>
        <v>18</v>
      </c>
    </row>
    <row r="1160" spans="1:19">
      <c r="A1160" s="3227" t="s">
        <v>6320</v>
      </c>
      <c r="B1160" s="3233">
        <v>35.799999999999997</v>
      </c>
      <c r="C1160" s="3241">
        <f t="shared" si="184"/>
        <v>1</v>
      </c>
      <c r="D1160" s="3237" t="s">
        <v>5487</v>
      </c>
      <c r="E1160" s="3241">
        <f t="shared" si="175"/>
        <v>1.02</v>
      </c>
      <c r="F1160" s="635"/>
      <c r="G1160" s="3241">
        <f t="shared" si="176"/>
        <v>1</v>
      </c>
      <c r="H1160" s="635"/>
      <c r="I1160" s="3241">
        <f t="shared" si="177"/>
        <v>1</v>
      </c>
      <c r="J1160" s="635"/>
      <c r="K1160" s="3241">
        <f t="shared" si="178"/>
        <v>1</v>
      </c>
      <c r="L1160" s="635"/>
      <c r="M1160" s="3241">
        <f t="shared" si="179"/>
        <v>1</v>
      </c>
      <c r="N1160" s="635"/>
      <c r="O1160" s="3241">
        <f t="shared" si="180"/>
        <v>1</v>
      </c>
      <c r="P1160" s="635"/>
      <c r="Q1160" s="3241">
        <f t="shared" si="181"/>
        <v>1</v>
      </c>
      <c r="R1160" s="3241">
        <f t="shared" ca="1" si="182"/>
        <v>5145</v>
      </c>
      <c r="S1160" s="905">
        <f t="shared" ca="1" si="183"/>
        <v>18</v>
      </c>
    </row>
    <row r="1161" spans="1:19">
      <c r="A1161" s="3227" t="s">
        <v>5155</v>
      </c>
      <c r="B1161" s="3233">
        <v>35.799999999999997</v>
      </c>
      <c r="C1161" s="3241">
        <f t="shared" si="184"/>
        <v>1</v>
      </c>
      <c r="D1161" s="3237" t="s">
        <v>4322</v>
      </c>
      <c r="E1161" s="3241">
        <f t="shared" si="175"/>
        <v>1.02</v>
      </c>
      <c r="F1161" s="635"/>
      <c r="G1161" s="3241">
        <f t="shared" si="176"/>
        <v>1</v>
      </c>
      <c r="H1161" s="635"/>
      <c r="I1161" s="3241">
        <f t="shared" si="177"/>
        <v>1</v>
      </c>
      <c r="J1161" s="635"/>
      <c r="K1161" s="3241">
        <f t="shared" si="178"/>
        <v>1</v>
      </c>
      <c r="L1161" s="635"/>
      <c r="M1161" s="3241">
        <f t="shared" si="179"/>
        <v>1</v>
      </c>
      <c r="N1161" s="635"/>
      <c r="O1161" s="3241">
        <f t="shared" si="180"/>
        <v>1</v>
      </c>
      <c r="P1161" s="635"/>
      <c r="Q1161" s="3241">
        <f t="shared" si="181"/>
        <v>1</v>
      </c>
      <c r="R1161" s="3241">
        <f t="shared" ca="1" si="182"/>
        <v>5145</v>
      </c>
      <c r="S1161" s="905">
        <f t="shared" ca="1" si="183"/>
        <v>18</v>
      </c>
    </row>
    <row r="1162" spans="1:19">
      <c r="A1162" s="3227" t="s">
        <v>6322</v>
      </c>
      <c r="B1162" s="3233">
        <v>35.799999999999997</v>
      </c>
      <c r="C1162" s="3241">
        <f t="shared" si="184"/>
        <v>1</v>
      </c>
      <c r="D1162" s="3237" t="s">
        <v>5487</v>
      </c>
      <c r="E1162" s="3241">
        <f t="shared" si="175"/>
        <v>1.02</v>
      </c>
      <c r="F1162" s="635"/>
      <c r="G1162" s="3241">
        <f t="shared" si="176"/>
        <v>1</v>
      </c>
      <c r="H1162" s="635"/>
      <c r="I1162" s="3241">
        <f t="shared" si="177"/>
        <v>1</v>
      </c>
      <c r="J1162" s="635"/>
      <c r="K1162" s="3241">
        <f t="shared" si="178"/>
        <v>1</v>
      </c>
      <c r="L1162" s="635"/>
      <c r="M1162" s="3241">
        <f t="shared" si="179"/>
        <v>1</v>
      </c>
      <c r="N1162" s="635"/>
      <c r="O1162" s="3241">
        <f t="shared" si="180"/>
        <v>1</v>
      </c>
      <c r="P1162" s="635"/>
      <c r="Q1162" s="3241">
        <f t="shared" si="181"/>
        <v>1</v>
      </c>
      <c r="R1162" s="3241">
        <f t="shared" ca="1" si="182"/>
        <v>5145</v>
      </c>
      <c r="S1162" s="905">
        <f t="shared" ca="1" si="183"/>
        <v>18</v>
      </c>
    </row>
    <row r="1163" spans="1:19">
      <c r="A1163" s="3227" t="s">
        <v>5157</v>
      </c>
      <c r="B1163" s="3233">
        <v>35.799999999999997</v>
      </c>
      <c r="C1163" s="3241">
        <f t="shared" si="184"/>
        <v>1</v>
      </c>
      <c r="D1163" s="3237" t="s">
        <v>4322</v>
      </c>
      <c r="E1163" s="3241">
        <f t="shared" si="175"/>
        <v>1.02</v>
      </c>
      <c r="F1163" s="635"/>
      <c r="G1163" s="3241">
        <f t="shared" si="176"/>
        <v>1</v>
      </c>
      <c r="H1163" s="635"/>
      <c r="I1163" s="3241">
        <f t="shared" si="177"/>
        <v>1</v>
      </c>
      <c r="J1163" s="635"/>
      <c r="K1163" s="3241">
        <f t="shared" si="178"/>
        <v>1</v>
      </c>
      <c r="L1163" s="635"/>
      <c r="M1163" s="3241">
        <f t="shared" si="179"/>
        <v>1</v>
      </c>
      <c r="N1163" s="635"/>
      <c r="O1163" s="3241">
        <f t="shared" si="180"/>
        <v>1</v>
      </c>
      <c r="P1163" s="635"/>
      <c r="Q1163" s="3241">
        <f t="shared" si="181"/>
        <v>1</v>
      </c>
      <c r="R1163" s="3241">
        <f t="shared" ca="1" si="182"/>
        <v>5145</v>
      </c>
      <c r="S1163" s="905">
        <f t="shared" ca="1" si="183"/>
        <v>18</v>
      </c>
    </row>
    <row r="1164" spans="1:19">
      <c r="A1164" s="3227" t="s">
        <v>6324</v>
      </c>
      <c r="B1164" s="3233">
        <v>35.799999999999997</v>
      </c>
      <c r="C1164" s="3241">
        <f t="shared" si="184"/>
        <v>1</v>
      </c>
      <c r="D1164" s="3237" t="s">
        <v>5487</v>
      </c>
      <c r="E1164" s="3241">
        <f t="shared" si="175"/>
        <v>1.02</v>
      </c>
      <c r="F1164" s="635"/>
      <c r="G1164" s="3241">
        <f t="shared" si="176"/>
        <v>1</v>
      </c>
      <c r="H1164" s="635"/>
      <c r="I1164" s="3241">
        <f t="shared" si="177"/>
        <v>1</v>
      </c>
      <c r="J1164" s="635"/>
      <c r="K1164" s="3241">
        <f t="shared" si="178"/>
        <v>1</v>
      </c>
      <c r="L1164" s="635"/>
      <c r="M1164" s="3241">
        <f t="shared" si="179"/>
        <v>1</v>
      </c>
      <c r="N1164" s="635"/>
      <c r="O1164" s="3241">
        <f t="shared" si="180"/>
        <v>1</v>
      </c>
      <c r="P1164" s="635"/>
      <c r="Q1164" s="3241">
        <f t="shared" si="181"/>
        <v>1</v>
      </c>
      <c r="R1164" s="3241">
        <f t="shared" ca="1" si="182"/>
        <v>5145</v>
      </c>
      <c r="S1164" s="905">
        <f t="shared" ca="1" si="183"/>
        <v>18</v>
      </c>
    </row>
    <row r="1165" spans="1:19">
      <c r="A1165" s="3227" t="s">
        <v>5159</v>
      </c>
      <c r="B1165" s="3233">
        <v>35.799999999999997</v>
      </c>
      <c r="C1165" s="3241">
        <f t="shared" si="184"/>
        <v>1</v>
      </c>
      <c r="D1165" s="3239" t="s">
        <v>4330</v>
      </c>
      <c r="E1165" s="3241">
        <f t="shared" ref="E1165:E1170" si="185">(SUMIF($5:$5,D1165,$6:$6)-SUMIF($5:$5,$D$24,$6:$6)+100)/100</f>
        <v>1.02</v>
      </c>
      <c r="F1165" s="635"/>
      <c r="G1165" s="3241">
        <f t="shared" ref="G1165:G1170" si="186">(SUMIF($7:$7,F1165,$8:$8)-SUMIF($7:$7,$F$24,$8:$8)+100)/100</f>
        <v>1</v>
      </c>
      <c r="H1165" s="635"/>
      <c r="I1165" s="3241">
        <f t="shared" ref="I1165:I1170" si="187">(SUMIF($9:$9,H1165,$10:$10)-SUMIF($9:$9,$H$24,$10:$10)+100)/100</f>
        <v>1</v>
      </c>
      <c r="J1165" s="635"/>
      <c r="K1165" s="3241">
        <f t="shared" ref="K1165:K1170" si="188">(SUMIF($11:$11,J1165,$12:$12)-SUMIF($11:$11,$J$24,$12:$12)+100)/100</f>
        <v>1</v>
      </c>
      <c r="L1165" s="635"/>
      <c r="M1165" s="3241">
        <f t="shared" ref="M1165:M1170" si="189">(SUMIF($13:$13,L1165,$14:$14)-SUMIF($13:$13,$L$24,$14:$14)+100)/100</f>
        <v>1</v>
      </c>
      <c r="N1165" s="635"/>
      <c r="O1165" s="3241">
        <f t="shared" ref="O1165:O1170" si="190">(SUMIF($15:$15,N1165,$16:$16)-SUMIF($15:$15,$N$24,$16:$16)+100)/100</f>
        <v>1</v>
      </c>
      <c r="P1165" s="635"/>
      <c r="Q1165" s="3241">
        <f t="shared" ref="Q1165:Q1170" si="191">(SUMIF($17:$17,P1165,$18:$18)-SUMIF($17:$17,$P$24,$18:$18)+100)/100</f>
        <v>1</v>
      </c>
      <c r="R1165" s="3241">
        <f t="shared" ref="R1165:R1170" ca="1" si="192">IF(B1165="",0,ROUND($R$24*C1165*E1165*G1165*I1165*K1165*M1165*O1165*Q1165,0))</f>
        <v>5145</v>
      </c>
      <c r="S1165" s="905">
        <f t="shared" ref="S1165:S1170" ca="1" si="193">ROUND(R1165*B1165/10000,0)</f>
        <v>18</v>
      </c>
    </row>
    <row r="1166" spans="1:19">
      <c r="A1166" s="3227" t="s">
        <v>6326</v>
      </c>
      <c r="B1166" s="3233">
        <v>35.799999999999997</v>
      </c>
      <c r="C1166" s="3241">
        <f t="shared" si="184"/>
        <v>1</v>
      </c>
      <c r="D1166" s="3237" t="s">
        <v>5487</v>
      </c>
      <c r="E1166" s="3241">
        <f t="shared" si="185"/>
        <v>1.02</v>
      </c>
      <c r="F1166" s="635"/>
      <c r="G1166" s="3241">
        <f t="shared" si="186"/>
        <v>1</v>
      </c>
      <c r="H1166" s="635"/>
      <c r="I1166" s="3241">
        <f t="shared" si="187"/>
        <v>1</v>
      </c>
      <c r="J1166" s="635"/>
      <c r="K1166" s="3241">
        <f t="shared" si="188"/>
        <v>1</v>
      </c>
      <c r="L1166" s="635"/>
      <c r="M1166" s="3241">
        <f t="shared" si="189"/>
        <v>1</v>
      </c>
      <c r="N1166" s="635"/>
      <c r="O1166" s="3241">
        <f t="shared" si="190"/>
        <v>1</v>
      </c>
      <c r="P1166" s="635"/>
      <c r="Q1166" s="3241">
        <f t="shared" si="191"/>
        <v>1</v>
      </c>
      <c r="R1166" s="3241">
        <f t="shared" ca="1" si="192"/>
        <v>5145</v>
      </c>
      <c r="S1166" s="905">
        <f t="shared" ca="1" si="193"/>
        <v>18</v>
      </c>
    </row>
    <row r="1167" spans="1:19">
      <c r="A1167" s="3227" t="s">
        <v>5161</v>
      </c>
      <c r="B1167" s="3228">
        <v>36.549999999999997</v>
      </c>
      <c r="C1167" s="3241">
        <f t="shared" si="184"/>
        <v>1</v>
      </c>
      <c r="D1167" s="3239" t="s">
        <v>4330</v>
      </c>
      <c r="E1167" s="3241">
        <f t="shared" si="185"/>
        <v>1.02</v>
      </c>
      <c r="F1167" s="635"/>
      <c r="G1167" s="3241">
        <f t="shared" si="186"/>
        <v>1</v>
      </c>
      <c r="H1167" s="635"/>
      <c r="I1167" s="3241">
        <f t="shared" si="187"/>
        <v>1</v>
      </c>
      <c r="J1167" s="635"/>
      <c r="K1167" s="3241">
        <f t="shared" si="188"/>
        <v>1</v>
      </c>
      <c r="L1167" s="635"/>
      <c r="M1167" s="3241">
        <f t="shared" si="189"/>
        <v>1</v>
      </c>
      <c r="N1167" s="635"/>
      <c r="O1167" s="3241">
        <f t="shared" si="190"/>
        <v>1</v>
      </c>
      <c r="P1167" s="635"/>
      <c r="Q1167" s="3241">
        <f t="shared" si="191"/>
        <v>1</v>
      </c>
      <c r="R1167" s="3241">
        <f t="shared" ca="1" si="192"/>
        <v>5145</v>
      </c>
      <c r="S1167" s="905">
        <f t="shared" ca="1" si="193"/>
        <v>19</v>
      </c>
    </row>
    <row r="1168" spans="1:19">
      <c r="A1168" s="3227" t="s">
        <v>6328</v>
      </c>
      <c r="B1168" s="3228">
        <v>35.07</v>
      </c>
      <c r="C1168" s="3241">
        <f t="shared" si="184"/>
        <v>1</v>
      </c>
      <c r="D1168" s="3239" t="s">
        <v>5494</v>
      </c>
      <c r="E1168" s="3241">
        <f t="shared" si="185"/>
        <v>1.02</v>
      </c>
      <c r="F1168" s="635"/>
      <c r="G1168" s="3241">
        <f t="shared" si="186"/>
        <v>1</v>
      </c>
      <c r="H1168" s="635"/>
      <c r="I1168" s="3241">
        <f t="shared" si="187"/>
        <v>1</v>
      </c>
      <c r="J1168" s="635"/>
      <c r="K1168" s="3241">
        <f t="shared" si="188"/>
        <v>1</v>
      </c>
      <c r="L1168" s="635"/>
      <c r="M1168" s="3241">
        <f t="shared" si="189"/>
        <v>1</v>
      </c>
      <c r="N1168" s="635"/>
      <c r="O1168" s="3241">
        <f t="shared" si="190"/>
        <v>1</v>
      </c>
      <c r="P1168" s="635"/>
      <c r="Q1168" s="3241">
        <f t="shared" si="191"/>
        <v>1</v>
      </c>
      <c r="R1168" s="3241">
        <f t="shared" ca="1" si="192"/>
        <v>5145</v>
      </c>
      <c r="S1168" s="905">
        <f t="shared" ca="1" si="193"/>
        <v>18</v>
      </c>
    </row>
    <row r="1169" spans="1:19">
      <c r="A1169" s="3227" t="s">
        <v>5163</v>
      </c>
      <c r="B1169" s="3228">
        <v>35.07</v>
      </c>
      <c r="C1169" s="3241">
        <f t="shared" si="184"/>
        <v>1</v>
      </c>
      <c r="D1169" s="3237" t="s">
        <v>4322</v>
      </c>
      <c r="E1169" s="3241">
        <f t="shared" si="185"/>
        <v>1.02</v>
      </c>
      <c r="F1169" s="635"/>
      <c r="G1169" s="3241">
        <f t="shared" si="186"/>
        <v>1</v>
      </c>
      <c r="H1169" s="635"/>
      <c r="I1169" s="3241">
        <f t="shared" si="187"/>
        <v>1</v>
      </c>
      <c r="J1169" s="635"/>
      <c r="K1169" s="3241">
        <f t="shared" si="188"/>
        <v>1</v>
      </c>
      <c r="L1169" s="635"/>
      <c r="M1169" s="3241">
        <f t="shared" si="189"/>
        <v>1</v>
      </c>
      <c r="N1169" s="635"/>
      <c r="O1169" s="3241">
        <f t="shared" si="190"/>
        <v>1</v>
      </c>
      <c r="P1169" s="635"/>
      <c r="Q1169" s="3241">
        <f t="shared" si="191"/>
        <v>1</v>
      </c>
      <c r="R1169" s="3241">
        <f t="shared" ca="1" si="192"/>
        <v>5145</v>
      </c>
      <c r="S1169" s="905">
        <f t="shared" ca="1" si="193"/>
        <v>18</v>
      </c>
    </row>
    <row r="1170" spans="1:19">
      <c r="A1170" s="3227" t="s">
        <v>6330</v>
      </c>
      <c r="B1170" s="3228">
        <v>35.07</v>
      </c>
      <c r="C1170" s="3241">
        <f t="shared" si="184"/>
        <v>1</v>
      </c>
      <c r="D1170" s="3237" t="s">
        <v>5487</v>
      </c>
      <c r="E1170" s="3241">
        <f t="shared" si="185"/>
        <v>1.02</v>
      </c>
      <c r="F1170" s="635"/>
      <c r="G1170" s="3241">
        <f t="shared" si="186"/>
        <v>1</v>
      </c>
      <c r="H1170" s="635"/>
      <c r="I1170" s="3241">
        <f t="shared" si="187"/>
        <v>1</v>
      </c>
      <c r="J1170" s="635"/>
      <c r="K1170" s="3241">
        <f t="shared" si="188"/>
        <v>1</v>
      </c>
      <c r="L1170" s="635"/>
      <c r="M1170" s="3241">
        <f t="shared" si="189"/>
        <v>1</v>
      </c>
      <c r="N1170" s="635"/>
      <c r="O1170" s="3241">
        <f t="shared" si="190"/>
        <v>1</v>
      </c>
      <c r="P1170" s="635"/>
      <c r="Q1170" s="3241">
        <f t="shared" si="191"/>
        <v>1</v>
      </c>
      <c r="R1170" s="3241">
        <f t="shared" ca="1" si="192"/>
        <v>5145</v>
      </c>
      <c r="S1170" s="905">
        <f t="shared" ca="1" si="193"/>
        <v>18</v>
      </c>
    </row>
  </sheetData>
  <sheetProtection password="CEE9" sheet="1" objects="1" scenarios="1" formatCells="0" formatColumns="0" formatRows="0"/>
  <mergeCells count="2">
    <mergeCell ref="C1:S1"/>
    <mergeCell ref="C22:Q22"/>
  </mergeCells>
  <phoneticPr fontId="137" type="noConversion"/>
  <conditionalFormatting sqref="C24:C1170 E24:E1170 G24:G1170 I24:I1170 K24:K1170 M24:M1170 O24:O1170 Q24:Q1170">
    <cfRule type="cellIs" dxfId="45" priority="1" operator="notEqual">
      <formula>1</formula>
    </cfRule>
  </conditionalFormatting>
  <dataValidations count="9">
    <dataValidation type="list" allowBlank="1" showInputMessage="1" showErrorMessage="1" sqref="H20" xr:uid="{B8394BC3-5F74-459A-B371-2571ADECA7D8}">
      <formula1>估价方法</formula1>
    </dataValidation>
    <dataValidation type="list" allowBlank="1" showInputMessage="1" showErrorMessage="1" sqref="D20" xr:uid="{E3270F5C-478F-46A6-869A-6EDE5944E914}">
      <formula1>"需扣减承租人权益,——"</formula1>
    </dataValidation>
    <dataValidation type="list" allowBlank="1" showInputMessage="1" showErrorMessage="1" sqref="P24:P524" xr:uid="{5BB62857-3916-489B-8E68-C997BA2C3FA1}">
      <formula1>一修多修正项8</formula1>
    </dataValidation>
    <dataValidation type="list" allowBlank="1" showInputMessage="1" showErrorMessage="1" sqref="N24:N524" xr:uid="{987EF595-80A8-4387-A00D-3FAFDC8A7C2E}">
      <formula1>一修多修正项7</formula1>
    </dataValidation>
    <dataValidation type="list" allowBlank="1" showInputMessage="1" showErrorMessage="1" sqref="L24:L524" xr:uid="{8AA04A21-1C5C-4ECD-BCF3-F476D5BD7484}">
      <formula1>一修多修正项6</formula1>
    </dataValidation>
    <dataValidation type="list" allowBlank="1" showInputMessage="1" showErrorMessage="1" sqref="J24:J524" xr:uid="{5A2D6E85-E165-4BEB-A9F9-9BF22F44AFEF}">
      <formula1>一修多修正项5</formula1>
    </dataValidation>
    <dataValidation type="list" allowBlank="1" showInputMessage="1" showErrorMessage="1" sqref="H24:H524" xr:uid="{7B2DF46D-518E-49AF-862C-0166F9503FF1}">
      <formula1>一修多修正项4</formula1>
    </dataValidation>
    <dataValidation type="list" allowBlank="1" showInputMessage="1" showErrorMessage="1" sqref="F24:F524" xr:uid="{AB1636CB-C412-418E-B791-AB5E13152CAE}">
      <formula1>一修多修正项3</formula1>
    </dataValidation>
    <dataValidation type="list" allowBlank="1" showInputMessage="1" showErrorMessage="1" sqref="D24:D524" xr:uid="{894D8C0B-259E-489E-9124-9D412571BD43}">
      <formula1>一修多修正项2</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5FCCA-A38E-41B4-927A-2AC16ADE7C92}">
  <sheetPr>
    <tabColor rgb="FF7030A0"/>
  </sheetPr>
  <dimension ref="A1:H14"/>
  <sheetViews>
    <sheetView zoomScale="90" zoomScaleNormal="90" workbookViewId="0">
      <selection activeCell="I11" sqref="I11"/>
    </sheetView>
  </sheetViews>
  <sheetFormatPr defaultRowHeight="14.4"/>
  <cols>
    <col min="1" max="1" width="22.44140625" customWidth="1"/>
    <col min="2" max="2" width="26.5546875" customWidth="1"/>
    <col min="3" max="3" width="10.5546875" bestFit="1" customWidth="1"/>
    <col min="8" max="8" width="10.5546875" bestFit="1" customWidth="1"/>
  </cols>
  <sheetData>
    <row r="1" spans="1:8">
      <c r="A1" s="1404" t="s">
        <v>6344</v>
      </c>
      <c r="B1" s="1404" t="s">
        <v>6345</v>
      </c>
      <c r="C1" s="1404" t="s">
        <v>6347</v>
      </c>
      <c r="D1" s="1404" t="s">
        <v>2540</v>
      </c>
      <c r="E1" s="1404" t="s">
        <v>6348</v>
      </c>
      <c r="F1" s="1404" t="s">
        <v>6350</v>
      </c>
      <c r="G1" s="1404" t="s">
        <v>6353</v>
      </c>
    </row>
    <row r="2" spans="1:8" s="3243" customFormat="1" ht="28.8">
      <c r="A2" s="3242" t="s">
        <v>6343</v>
      </c>
      <c r="B2" s="3242" t="s">
        <v>6346</v>
      </c>
      <c r="C2" s="3243">
        <v>2292.08</v>
      </c>
      <c r="D2" s="3242" t="s">
        <v>2549</v>
      </c>
      <c r="E2" s="3242" t="s">
        <v>6349</v>
      </c>
      <c r="F2" s="3242" t="s">
        <v>6351</v>
      </c>
      <c r="G2" s="3242" t="s">
        <v>6352</v>
      </c>
    </row>
    <row r="3" spans="1:8" s="3243" customFormat="1" ht="28.8">
      <c r="A3" s="3242" t="s">
        <v>6354</v>
      </c>
      <c r="B3" s="3583" t="s">
        <v>6357</v>
      </c>
      <c r="C3" s="3243">
        <v>2292.08</v>
      </c>
      <c r="D3" s="3242" t="s">
        <v>2549</v>
      </c>
      <c r="E3" s="3242" t="s">
        <v>6349</v>
      </c>
      <c r="F3" s="3242" t="s">
        <v>6351</v>
      </c>
      <c r="G3" s="3242" t="s">
        <v>6355</v>
      </c>
    </row>
    <row r="4" spans="1:8" s="3243" customFormat="1" ht="28.8">
      <c r="A4" s="3242" t="s">
        <v>6356</v>
      </c>
      <c r="B4" s="3242" t="s">
        <v>6358</v>
      </c>
      <c r="C4" s="3243">
        <v>2292.08</v>
      </c>
      <c r="D4" s="3242" t="s">
        <v>2549</v>
      </c>
      <c r="E4" s="3242" t="s">
        <v>6349</v>
      </c>
      <c r="F4" s="3242" t="s">
        <v>6351</v>
      </c>
      <c r="G4" s="3242" t="s">
        <v>6359</v>
      </c>
    </row>
    <row r="5" spans="1:8" s="3243" customFormat="1" ht="28.8">
      <c r="A5" s="3242" t="s">
        <v>6360</v>
      </c>
      <c r="B5" s="3242" t="s">
        <v>6361</v>
      </c>
      <c r="C5" s="3243">
        <v>2292.08</v>
      </c>
      <c r="D5" s="3242" t="s">
        <v>2549</v>
      </c>
      <c r="E5" s="3242" t="s">
        <v>6349</v>
      </c>
      <c r="F5" s="3242" t="s">
        <v>6351</v>
      </c>
      <c r="G5" s="3242" t="s">
        <v>6362</v>
      </c>
    </row>
    <row r="6" spans="1:8" s="3243" customFormat="1" ht="28.8">
      <c r="A6" s="3242" t="s">
        <v>6363</v>
      </c>
      <c r="B6" s="3242" t="s">
        <v>6364</v>
      </c>
      <c r="C6" s="3243">
        <v>2292.08</v>
      </c>
      <c r="D6" s="3242" t="s">
        <v>2549</v>
      </c>
      <c r="E6" s="3242" t="s">
        <v>6349</v>
      </c>
      <c r="F6" s="3242" t="s">
        <v>6351</v>
      </c>
      <c r="G6" s="3242" t="s">
        <v>6365</v>
      </c>
    </row>
    <row r="7" spans="1:8" s="3243" customFormat="1" ht="28.8">
      <c r="A7" s="3242" t="s">
        <v>6366</v>
      </c>
      <c r="B7" s="3242" t="s">
        <v>6367</v>
      </c>
      <c r="C7" s="3243">
        <v>2292.08</v>
      </c>
      <c r="D7" s="3242" t="s">
        <v>2549</v>
      </c>
      <c r="E7" s="3242" t="s">
        <v>6349</v>
      </c>
      <c r="F7" s="3242" t="s">
        <v>6351</v>
      </c>
      <c r="G7" s="3242" t="s">
        <v>6368</v>
      </c>
    </row>
    <row r="8" spans="1:8" s="3243" customFormat="1" ht="28.8">
      <c r="A8" s="3242" t="s">
        <v>6369</v>
      </c>
      <c r="B8" s="3242" t="s">
        <v>6370</v>
      </c>
      <c r="C8" s="3243">
        <v>2292.08</v>
      </c>
      <c r="D8" s="3242" t="s">
        <v>2549</v>
      </c>
      <c r="E8" s="3242" t="s">
        <v>6349</v>
      </c>
      <c r="F8" s="3242" t="s">
        <v>6351</v>
      </c>
      <c r="G8" s="3242" t="s">
        <v>6371</v>
      </c>
    </row>
    <row r="9" spans="1:8" s="3243" customFormat="1" ht="28.8">
      <c r="A9" s="3242" t="s">
        <v>6372</v>
      </c>
      <c r="B9" s="3242" t="s">
        <v>6373</v>
      </c>
      <c r="C9" s="3243">
        <v>2292.08</v>
      </c>
      <c r="D9" s="3242" t="s">
        <v>2549</v>
      </c>
      <c r="E9" s="3242" t="s">
        <v>6349</v>
      </c>
      <c r="F9" s="3242" t="s">
        <v>6351</v>
      </c>
      <c r="G9" s="3242" t="s">
        <v>6374</v>
      </c>
    </row>
    <row r="10" spans="1:8" s="3243" customFormat="1"/>
    <row r="11" spans="1:8" ht="28.8">
      <c r="A11" s="3242" t="s">
        <v>6375</v>
      </c>
      <c r="B11" s="3242" t="s">
        <v>6376</v>
      </c>
      <c r="C11" s="3243">
        <v>9687.33</v>
      </c>
      <c r="D11" s="1404" t="s">
        <v>3578</v>
      </c>
      <c r="H11" s="3244">
        <v>60484</v>
      </c>
    </row>
    <row r="12" spans="1:8" ht="28.8">
      <c r="A12" s="3242" t="s">
        <v>6377</v>
      </c>
      <c r="B12" s="3583" t="s">
        <v>6378</v>
      </c>
      <c r="C12" s="3583">
        <v>9356.42</v>
      </c>
      <c r="D12" s="1404" t="s">
        <v>3578</v>
      </c>
    </row>
    <row r="13" spans="1:8" ht="28.8">
      <c r="A13" s="3242" t="s">
        <v>6379</v>
      </c>
      <c r="B13" s="3583" t="s">
        <v>6387</v>
      </c>
      <c r="C13" s="3243">
        <v>14225.96</v>
      </c>
      <c r="D13" s="3242" t="s">
        <v>6382</v>
      </c>
      <c r="E13" s="1404" t="s">
        <v>6381</v>
      </c>
      <c r="F13">
        <v>-2</v>
      </c>
      <c r="G13" s="1404" t="s">
        <v>6380</v>
      </c>
    </row>
    <row r="14" spans="1:8" ht="28.8">
      <c r="A14" s="3242" t="s">
        <v>6383</v>
      </c>
      <c r="B14" s="3583" t="s">
        <v>6384</v>
      </c>
      <c r="C14" s="3243">
        <v>16436.830000000002</v>
      </c>
      <c r="D14" s="1404" t="s">
        <v>6385</v>
      </c>
      <c r="E14" s="1404" t="s">
        <v>6381</v>
      </c>
      <c r="F14">
        <v>-2</v>
      </c>
      <c r="G14" s="1404" t="s">
        <v>6386</v>
      </c>
    </row>
  </sheetData>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3:G162"/>
  <sheetViews>
    <sheetView workbookViewId="0"/>
  </sheetViews>
  <sheetFormatPr defaultRowHeight="14.4"/>
  <cols>
    <col min="1" max="1" width="11.44140625" customWidth="1"/>
    <col min="4" max="4" width="9.44140625" bestFit="1" customWidth="1"/>
    <col min="5" max="5" width="11.44140625" customWidth="1"/>
  </cols>
  <sheetData>
    <row r="3" spans="1:7">
      <c r="A3" s="1404" t="s">
        <v>3590</v>
      </c>
    </row>
    <row r="4" spans="1:7">
      <c r="A4" s="1404" t="s">
        <v>3408</v>
      </c>
    </row>
    <row r="6" spans="1:7">
      <c r="B6" s="1404" t="s">
        <v>3411</v>
      </c>
      <c r="C6" s="1404" t="s">
        <v>3412</v>
      </c>
    </row>
    <row r="7" spans="1:7">
      <c r="A7" s="1404" t="s">
        <v>3409</v>
      </c>
      <c r="B7">
        <v>14137</v>
      </c>
      <c r="C7" s="1404">
        <v>5782</v>
      </c>
      <c r="D7" s="1404" t="s">
        <v>3410</v>
      </c>
      <c r="F7" s="1404" t="s">
        <v>3989</v>
      </c>
    </row>
    <row r="8" spans="1:7">
      <c r="A8" s="1404" t="s">
        <v>3413</v>
      </c>
      <c r="B8">
        <v>2950</v>
      </c>
      <c r="C8">
        <v>24865</v>
      </c>
      <c r="D8" s="1404" t="s">
        <v>3410</v>
      </c>
      <c r="F8">
        <f>G9+G11</f>
        <v>46608.119999999995</v>
      </c>
    </row>
    <row r="9" spans="1:7">
      <c r="F9" s="1404" t="s">
        <v>3573</v>
      </c>
      <c r="G9">
        <f>B58</f>
        <v>8890.739999999998</v>
      </c>
    </row>
    <row r="10" spans="1:7">
      <c r="A10" s="3213" t="s">
        <v>3462</v>
      </c>
      <c r="B10" s="3213" t="s">
        <v>3461</v>
      </c>
      <c r="C10" s="3214"/>
    </row>
    <row r="11" spans="1:7">
      <c r="A11" s="3215" t="s">
        <v>3414</v>
      </c>
      <c r="B11" s="3214">
        <v>200.08</v>
      </c>
      <c r="C11" s="3213" t="s">
        <v>3596</v>
      </c>
      <c r="F11" s="1404" t="s">
        <v>3463</v>
      </c>
      <c r="G11">
        <v>37717.379999999997</v>
      </c>
    </row>
    <row r="12" spans="1:7">
      <c r="A12" s="3215" t="s">
        <v>3415</v>
      </c>
      <c r="B12" s="3214">
        <v>190.42</v>
      </c>
      <c r="C12" s="3213" t="s">
        <v>3596</v>
      </c>
      <c r="F12" s="1404" t="s">
        <v>3464</v>
      </c>
      <c r="G12">
        <f>G11/1147</f>
        <v>32.883504795117695</v>
      </c>
    </row>
    <row r="13" spans="1:7">
      <c r="A13" s="3215" t="s">
        <v>3416</v>
      </c>
      <c r="B13" s="3214">
        <v>193.24</v>
      </c>
      <c r="C13" s="3213" t="s">
        <v>3597</v>
      </c>
      <c r="F13" s="1404" t="s">
        <v>3465</v>
      </c>
    </row>
    <row r="14" spans="1:7">
      <c r="A14" s="3215" t="s">
        <v>3417</v>
      </c>
      <c r="B14" s="3214">
        <v>185.94</v>
      </c>
      <c r="C14" s="3213" t="s">
        <v>3597</v>
      </c>
    </row>
    <row r="15" spans="1:7">
      <c r="A15" s="3215" t="s">
        <v>3418</v>
      </c>
      <c r="B15" s="3214">
        <v>190.42</v>
      </c>
      <c r="C15" s="3213" t="s">
        <v>3596</v>
      </c>
      <c r="E15" s="1404" t="s">
        <v>3476</v>
      </c>
      <c r="F15" s="1404" t="s">
        <v>3478</v>
      </c>
    </row>
    <row r="16" spans="1:7">
      <c r="A16" s="3215" t="s">
        <v>3419</v>
      </c>
      <c r="B16" s="3214">
        <v>190.42</v>
      </c>
      <c r="C16" s="3213" t="s">
        <v>3596</v>
      </c>
      <c r="E16" s="3159" t="s">
        <v>3477</v>
      </c>
      <c r="F16">
        <v>30.74</v>
      </c>
    </row>
    <row r="17" spans="1:3">
      <c r="A17" s="3215" t="s">
        <v>3420</v>
      </c>
      <c r="B17" s="3214">
        <v>185.94</v>
      </c>
      <c r="C17" s="3213" t="s">
        <v>3597</v>
      </c>
    </row>
    <row r="18" spans="1:3">
      <c r="A18" s="3215" t="s">
        <v>3422</v>
      </c>
      <c r="B18" s="3214">
        <v>185.94</v>
      </c>
      <c r="C18" s="3213" t="s">
        <v>3597</v>
      </c>
    </row>
    <row r="19" spans="1:3">
      <c r="A19" s="3215" t="s">
        <v>3423</v>
      </c>
      <c r="B19" s="3214">
        <v>190.42</v>
      </c>
      <c r="C19" s="3213" t="s">
        <v>3596</v>
      </c>
    </row>
    <row r="20" spans="1:3">
      <c r="A20" s="3215" t="s">
        <v>3421</v>
      </c>
      <c r="B20" s="3214">
        <v>185.94</v>
      </c>
      <c r="C20" s="3213" t="s">
        <v>3597</v>
      </c>
    </row>
    <row r="21" spans="1:3">
      <c r="A21" s="3215" t="s">
        <v>3424</v>
      </c>
      <c r="B21" s="3214">
        <v>190.42</v>
      </c>
      <c r="C21" s="3213" t="s">
        <v>3596</v>
      </c>
    </row>
    <row r="22" spans="1:3">
      <c r="A22" s="3215" t="s">
        <v>3425</v>
      </c>
      <c r="B22" s="3214">
        <v>185.94</v>
      </c>
      <c r="C22" s="3213" t="s">
        <v>3597</v>
      </c>
    </row>
    <row r="23" spans="1:3">
      <c r="A23" s="3215" t="s">
        <v>3426</v>
      </c>
      <c r="B23" s="3214">
        <v>185.94</v>
      </c>
      <c r="C23" s="3213" t="s">
        <v>3597</v>
      </c>
    </row>
    <row r="24" spans="1:3">
      <c r="A24" s="3215" t="s">
        <v>3427</v>
      </c>
      <c r="B24" s="3214">
        <v>185.94</v>
      </c>
      <c r="C24" s="3213" t="s">
        <v>3597</v>
      </c>
    </row>
    <row r="25" spans="1:3">
      <c r="A25" s="3215" t="s">
        <v>3428</v>
      </c>
      <c r="B25" s="3214">
        <v>190.42</v>
      </c>
      <c r="C25" s="3213" t="s">
        <v>3596</v>
      </c>
    </row>
    <row r="26" spans="1:3">
      <c r="A26" s="3215" t="s">
        <v>3429</v>
      </c>
      <c r="B26" s="3214">
        <v>185.94</v>
      </c>
      <c r="C26" s="3213" t="s">
        <v>3597</v>
      </c>
    </row>
    <row r="27" spans="1:3">
      <c r="A27" s="3215" t="s">
        <v>3430</v>
      </c>
      <c r="B27" s="3214">
        <v>185.94</v>
      </c>
      <c r="C27" s="3213" t="s">
        <v>3597</v>
      </c>
    </row>
    <row r="28" spans="1:3">
      <c r="A28" s="3215" t="s">
        <v>3431</v>
      </c>
      <c r="B28" s="3214">
        <v>190.42</v>
      </c>
      <c r="C28" s="3213" t="s">
        <v>3596</v>
      </c>
    </row>
    <row r="29" spans="1:3">
      <c r="A29" s="3215" t="s">
        <v>3437</v>
      </c>
      <c r="B29" s="3214">
        <v>190.42</v>
      </c>
      <c r="C29" s="3213" t="s">
        <v>3596</v>
      </c>
    </row>
    <row r="30" spans="1:3">
      <c r="A30" s="3215" t="s">
        <v>3438</v>
      </c>
      <c r="B30" s="3214">
        <v>190.42</v>
      </c>
      <c r="C30" s="3213" t="s">
        <v>3596</v>
      </c>
    </row>
    <row r="31" spans="1:3">
      <c r="A31" s="3215" t="s">
        <v>3432</v>
      </c>
      <c r="B31" s="3214">
        <v>185.94</v>
      </c>
      <c r="C31" s="3213" t="s">
        <v>3597</v>
      </c>
    </row>
    <row r="32" spans="1:3">
      <c r="A32" s="3215" t="s">
        <v>3433</v>
      </c>
      <c r="B32" s="3214">
        <v>185.94</v>
      </c>
      <c r="C32" s="3213" t="s">
        <v>3597</v>
      </c>
    </row>
    <row r="33" spans="1:3">
      <c r="A33" s="3215" t="s">
        <v>3434</v>
      </c>
      <c r="B33" s="3214">
        <v>190.42</v>
      </c>
      <c r="C33" s="3213" t="s">
        <v>3596</v>
      </c>
    </row>
    <row r="34" spans="1:3">
      <c r="A34" s="3215" t="s">
        <v>3435</v>
      </c>
      <c r="B34" s="3214">
        <v>185.94</v>
      </c>
      <c r="C34" s="3213" t="s">
        <v>3597</v>
      </c>
    </row>
    <row r="35" spans="1:3">
      <c r="A35" s="3215" t="s">
        <v>3436</v>
      </c>
      <c r="B35" s="3214">
        <v>185.94</v>
      </c>
      <c r="C35" s="3213" t="s">
        <v>3597</v>
      </c>
    </row>
    <row r="36" spans="1:3">
      <c r="A36" s="3215" t="s">
        <v>3439</v>
      </c>
      <c r="B36" s="3214">
        <v>185.94</v>
      </c>
      <c r="C36" s="3213" t="s">
        <v>3597</v>
      </c>
    </row>
    <row r="37" spans="1:3">
      <c r="A37" s="3215" t="s">
        <v>3440</v>
      </c>
      <c r="B37" s="3214">
        <v>190.42</v>
      </c>
      <c r="C37" s="3213" t="s">
        <v>3596</v>
      </c>
    </row>
    <row r="38" spans="1:3">
      <c r="A38" s="3215" t="s">
        <v>3441</v>
      </c>
      <c r="B38" s="3214">
        <v>193.24</v>
      </c>
      <c r="C38" s="3213" t="s">
        <v>3597</v>
      </c>
    </row>
    <row r="39" spans="1:3">
      <c r="A39" s="3215" t="s">
        <v>3442</v>
      </c>
      <c r="B39" s="3214">
        <v>185.94</v>
      </c>
      <c r="C39" s="3213" t="s">
        <v>3597</v>
      </c>
    </row>
    <row r="40" spans="1:3">
      <c r="A40" s="3215" t="s">
        <v>3443</v>
      </c>
      <c r="B40" s="3214">
        <v>190.42</v>
      </c>
      <c r="C40" s="3213" t="s">
        <v>3596</v>
      </c>
    </row>
    <row r="41" spans="1:3">
      <c r="A41" s="3215" t="s">
        <v>3444</v>
      </c>
      <c r="B41" s="3214">
        <v>190.42</v>
      </c>
      <c r="C41" s="3213" t="s">
        <v>3596</v>
      </c>
    </row>
    <row r="42" spans="1:3">
      <c r="A42" s="3215" t="s">
        <v>3445</v>
      </c>
      <c r="B42" s="3214">
        <v>185.94</v>
      </c>
      <c r="C42" s="3213" t="s">
        <v>3597</v>
      </c>
    </row>
    <row r="43" spans="1:3">
      <c r="A43" s="3215" t="s">
        <v>3446</v>
      </c>
      <c r="B43" s="3214">
        <v>185.94</v>
      </c>
      <c r="C43" s="3213" t="s">
        <v>3597</v>
      </c>
    </row>
    <row r="44" spans="1:3">
      <c r="A44" s="3215" t="s">
        <v>3447</v>
      </c>
      <c r="B44" s="3214">
        <v>185.94</v>
      </c>
      <c r="C44" s="3213" t="s">
        <v>3597</v>
      </c>
    </row>
    <row r="45" spans="1:3">
      <c r="A45" s="3215" t="s">
        <v>3448</v>
      </c>
      <c r="B45" s="3214">
        <v>193.24</v>
      </c>
      <c r="C45" s="3213" t="s">
        <v>3597</v>
      </c>
    </row>
    <row r="46" spans="1:3">
      <c r="A46" s="3215" t="s">
        <v>3449</v>
      </c>
      <c r="B46" s="3214">
        <v>200.08</v>
      </c>
      <c r="C46" s="3213" t="s">
        <v>3596</v>
      </c>
    </row>
    <row r="47" spans="1:3">
      <c r="A47" s="3215" t="s">
        <v>3450</v>
      </c>
      <c r="B47" s="3214">
        <v>190.42</v>
      </c>
      <c r="C47" s="3213" t="s">
        <v>3596</v>
      </c>
    </row>
    <row r="48" spans="1:3">
      <c r="A48" s="3215" t="s">
        <v>3451</v>
      </c>
      <c r="B48" s="3214">
        <v>190.42</v>
      </c>
      <c r="C48" s="3213" t="s">
        <v>3596</v>
      </c>
    </row>
    <row r="49" spans="1:3">
      <c r="A49" s="3215" t="s">
        <v>3452</v>
      </c>
      <c r="B49" s="3214">
        <v>190.42</v>
      </c>
      <c r="C49" s="3213" t="s">
        <v>3596</v>
      </c>
    </row>
    <row r="50" spans="1:3">
      <c r="A50" s="3215" t="s">
        <v>3453</v>
      </c>
      <c r="B50" s="3214">
        <v>190.42</v>
      </c>
      <c r="C50" s="3213" t="s">
        <v>3596</v>
      </c>
    </row>
    <row r="51" spans="1:3">
      <c r="A51" s="3215" t="s">
        <v>3454</v>
      </c>
      <c r="B51" s="3214">
        <v>190.42</v>
      </c>
      <c r="C51" s="3213" t="s">
        <v>3596</v>
      </c>
    </row>
    <row r="52" spans="1:3">
      <c r="A52" s="3215" t="s">
        <v>3455</v>
      </c>
      <c r="B52" s="3214">
        <v>193.24</v>
      </c>
      <c r="C52" s="3213" t="s">
        <v>3597</v>
      </c>
    </row>
    <row r="53" spans="1:3">
      <c r="A53" s="3215" t="s">
        <v>3456</v>
      </c>
      <c r="B53" s="3214">
        <v>185.94</v>
      </c>
      <c r="C53" s="3213" t="s">
        <v>3597</v>
      </c>
    </row>
    <row r="54" spans="1:3">
      <c r="A54" s="3215" t="s">
        <v>3457</v>
      </c>
      <c r="B54" s="3214">
        <v>190.42</v>
      </c>
      <c r="C54" s="3213" t="s">
        <v>3596</v>
      </c>
    </row>
    <row r="55" spans="1:3">
      <c r="A55" s="3215" t="s">
        <v>3458</v>
      </c>
      <c r="B55" s="3214">
        <v>190.42</v>
      </c>
      <c r="C55" s="3213" t="s">
        <v>3596</v>
      </c>
    </row>
    <row r="56" spans="1:3">
      <c r="A56" s="3215" t="s">
        <v>3459</v>
      </c>
      <c r="B56" s="3214">
        <v>185.94</v>
      </c>
      <c r="C56" s="3213" t="s">
        <v>3597</v>
      </c>
    </row>
    <row r="57" spans="1:3">
      <c r="A57" s="3215" t="s">
        <v>3460</v>
      </c>
      <c r="B57" s="3214">
        <v>190.42</v>
      </c>
      <c r="C57" s="3213" t="s">
        <v>3596</v>
      </c>
    </row>
    <row r="58" spans="1:3">
      <c r="A58" s="3215" t="s">
        <v>3574</v>
      </c>
      <c r="B58" s="3214">
        <f>SUM(B11:B57)</f>
        <v>8890.739999999998</v>
      </c>
      <c r="C58" s="3214"/>
    </row>
    <row r="59" spans="1:3">
      <c r="A59" s="3158"/>
    </row>
    <row r="60" spans="1:3">
      <c r="A60" s="3158"/>
    </row>
    <row r="61" spans="1:3">
      <c r="A61" s="3158"/>
    </row>
    <row r="62" spans="1:3">
      <c r="A62" s="3158"/>
    </row>
    <row r="63" spans="1:3">
      <c r="A63" s="3158"/>
    </row>
    <row r="64" spans="1:3">
      <c r="A64" s="3158"/>
    </row>
    <row r="65" spans="1:1">
      <c r="A65" s="3158"/>
    </row>
    <row r="66" spans="1:1">
      <c r="A66" s="3158"/>
    </row>
    <row r="67" spans="1:1">
      <c r="A67" s="3158"/>
    </row>
    <row r="68" spans="1:1">
      <c r="A68" s="3158"/>
    </row>
    <row r="69" spans="1:1">
      <c r="A69" s="3158"/>
    </row>
    <row r="70" spans="1:1">
      <c r="A70" s="3158"/>
    </row>
    <row r="71" spans="1:1">
      <c r="A71" s="3158"/>
    </row>
    <row r="72" spans="1:1">
      <c r="A72" s="3158"/>
    </row>
    <row r="73" spans="1:1">
      <c r="A73" s="3158"/>
    </row>
    <row r="74" spans="1:1">
      <c r="A74" s="3158"/>
    </row>
    <row r="75" spans="1:1">
      <c r="A75" s="3158"/>
    </row>
    <row r="76" spans="1:1">
      <c r="A76" s="3158"/>
    </row>
    <row r="77" spans="1:1">
      <c r="A77" s="3158"/>
    </row>
    <row r="78" spans="1:1">
      <c r="A78" s="3158"/>
    </row>
    <row r="79" spans="1:1">
      <c r="A79" s="3158"/>
    </row>
    <row r="80" spans="1:1">
      <c r="A80" s="3158"/>
    </row>
    <row r="81" spans="1:1">
      <c r="A81" s="3158"/>
    </row>
    <row r="82" spans="1:1">
      <c r="A82" s="3158"/>
    </row>
    <row r="83" spans="1:1">
      <c r="A83" s="3158"/>
    </row>
    <row r="84" spans="1:1">
      <c r="A84" s="3158"/>
    </row>
    <row r="85" spans="1:1">
      <c r="A85" s="3158"/>
    </row>
    <row r="86" spans="1:1">
      <c r="A86" s="3158"/>
    </row>
    <row r="87" spans="1:1">
      <c r="A87" s="3158"/>
    </row>
    <row r="88" spans="1:1">
      <c r="A88" s="3158"/>
    </row>
    <row r="89" spans="1:1">
      <c r="A89" s="3158"/>
    </row>
    <row r="90" spans="1:1">
      <c r="A90" s="3158"/>
    </row>
    <row r="91" spans="1:1">
      <c r="A91" s="3158"/>
    </row>
    <row r="92" spans="1:1">
      <c r="A92" s="3158"/>
    </row>
    <row r="93" spans="1:1">
      <c r="A93" s="3158"/>
    </row>
    <row r="94" spans="1:1">
      <c r="A94" s="3158"/>
    </row>
    <row r="95" spans="1:1">
      <c r="A95" s="3158"/>
    </row>
    <row r="96" spans="1:1">
      <c r="A96" s="3158"/>
    </row>
    <row r="97" spans="1:1">
      <c r="A97" s="3158"/>
    </row>
    <row r="98" spans="1:1">
      <c r="A98" s="3158"/>
    </row>
    <row r="99" spans="1:1">
      <c r="A99" s="3158"/>
    </row>
    <row r="100" spans="1:1">
      <c r="A100" s="3158"/>
    </row>
    <row r="101" spans="1:1">
      <c r="A101" s="3158"/>
    </row>
    <row r="102" spans="1:1">
      <c r="A102" s="3158"/>
    </row>
    <row r="103" spans="1:1">
      <c r="A103" s="3158"/>
    </row>
    <row r="104" spans="1:1">
      <c r="A104" s="3158"/>
    </row>
    <row r="105" spans="1:1">
      <c r="A105" s="3158"/>
    </row>
    <row r="106" spans="1:1">
      <c r="A106" s="3158"/>
    </row>
    <row r="107" spans="1:1">
      <c r="A107" s="3158"/>
    </row>
    <row r="108" spans="1:1">
      <c r="A108" s="3158"/>
    </row>
    <row r="109" spans="1:1">
      <c r="A109" s="3158"/>
    </row>
    <row r="110" spans="1:1">
      <c r="A110" s="3158"/>
    </row>
    <row r="111" spans="1:1">
      <c r="A111" s="3158"/>
    </row>
    <row r="112" spans="1:1">
      <c r="A112" s="3158"/>
    </row>
    <row r="113" spans="1:1">
      <c r="A113" s="3158"/>
    </row>
    <row r="114" spans="1:1">
      <c r="A114" s="3158"/>
    </row>
    <row r="115" spans="1:1">
      <c r="A115" s="3158"/>
    </row>
    <row r="116" spans="1:1">
      <c r="A116" s="3158"/>
    </row>
    <row r="117" spans="1:1">
      <c r="A117" s="3158"/>
    </row>
    <row r="118" spans="1:1">
      <c r="A118" s="3158"/>
    </row>
    <row r="119" spans="1:1">
      <c r="A119" s="3158"/>
    </row>
    <row r="120" spans="1:1">
      <c r="A120" s="3158"/>
    </row>
    <row r="121" spans="1:1">
      <c r="A121" s="3158"/>
    </row>
    <row r="122" spans="1:1">
      <c r="A122" s="3158"/>
    </row>
    <row r="123" spans="1:1">
      <c r="A123" s="3158"/>
    </row>
    <row r="124" spans="1:1">
      <c r="A124" s="3158"/>
    </row>
    <row r="125" spans="1:1">
      <c r="A125" s="3158"/>
    </row>
    <row r="126" spans="1:1">
      <c r="A126" s="3158"/>
    </row>
    <row r="127" spans="1:1">
      <c r="A127" s="3158"/>
    </row>
    <row r="128" spans="1:1">
      <c r="A128" s="3158"/>
    </row>
    <row r="129" spans="1:1">
      <c r="A129" s="3158"/>
    </row>
    <row r="130" spans="1:1">
      <c r="A130" s="3158"/>
    </row>
    <row r="131" spans="1:1">
      <c r="A131" s="3158"/>
    </row>
    <row r="132" spans="1:1">
      <c r="A132" s="3158"/>
    </row>
    <row r="133" spans="1:1">
      <c r="A133" s="3158"/>
    </row>
    <row r="134" spans="1:1">
      <c r="A134" s="3158"/>
    </row>
    <row r="135" spans="1:1">
      <c r="A135" s="3158"/>
    </row>
    <row r="136" spans="1:1">
      <c r="A136" s="3158"/>
    </row>
    <row r="137" spans="1:1">
      <c r="A137" s="3158"/>
    </row>
    <row r="138" spans="1:1">
      <c r="A138" s="3158"/>
    </row>
    <row r="139" spans="1:1">
      <c r="A139" s="3158"/>
    </row>
    <row r="140" spans="1:1">
      <c r="A140" s="3158"/>
    </row>
    <row r="141" spans="1:1">
      <c r="A141" s="3158"/>
    </row>
    <row r="142" spans="1:1">
      <c r="A142" s="3158"/>
    </row>
    <row r="143" spans="1:1">
      <c r="A143" s="3158"/>
    </row>
    <row r="144" spans="1:1">
      <c r="A144" s="3158"/>
    </row>
    <row r="145" spans="1:1">
      <c r="A145" s="3158"/>
    </row>
    <row r="146" spans="1:1">
      <c r="A146" s="3158"/>
    </row>
    <row r="147" spans="1:1">
      <c r="A147" s="3158"/>
    </row>
    <row r="148" spans="1:1">
      <c r="A148" s="3158"/>
    </row>
    <row r="149" spans="1:1">
      <c r="A149" s="3158"/>
    </row>
    <row r="150" spans="1:1">
      <c r="A150" s="3158"/>
    </row>
    <row r="151" spans="1:1">
      <c r="A151" s="3158"/>
    </row>
    <row r="152" spans="1:1">
      <c r="A152" s="3158"/>
    </row>
    <row r="153" spans="1:1">
      <c r="A153" s="3158"/>
    </row>
    <row r="154" spans="1:1">
      <c r="A154" s="3158"/>
    </row>
    <row r="155" spans="1:1">
      <c r="A155" s="3158"/>
    </row>
    <row r="156" spans="1:1">
      <c r="A156" s="3158"/>
    </row>
    <row r="157" spans="1:1">
      <c r="A157" s="3158"/>
    </row>
    <row r="158" spans="1:1">
      <c r="A158" s="3158"/>
    </row>
    <row r="159" spans="1:1">
      <c r="A159" s="3158"/>
    </row>
    <row r="160" spans="1:1">
      <c r="A160" s="3158"/>
    </row>
    <row r="161" spans="1:1">
      <c r="A161" s="3158"/>
    </row>
    <row r="162" spans="1:1">
      <c r="A162" s="3158"/>
    </row>
  </sheetData>
  <phoneticPr fontId="137"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2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0"/>
      <c r="C2" s="3250"/>
      <c r="D2" s="3250"/>
      <c r="E2" s="3250"/>
    </row>
    <row r="3" spans="1:5" ht="17.399999999999999">
      <c r="A3" s="3251" t="str">
        <f>IF(项目基本情况!B9="房地产市场价值","估价结果一览表（市场价值不需“结果表-1”）","估价结果一览表")</f>
        <v>估价结果一览表</v>
      </c>
      <c r="B3" s="3251"/>
      <c r="C3" s="3251"/>
      <c r="D3" s="3251"/>
      <c r="E3" s="3251"/>
    </row>
    <row r="4" spans="1:5" ht="18" thickBot="1">
      <c r="A4" s="1390"/>
      <c r="B4" s="3249" t="s">
        <v>917</v>
      </c>
      <c r="C4" s="3249"/>
      <c r="D4" s="3249"/>
      <c r="E4" s="1390"/>
    </row>
    <row r="5" spans="1:5" ht="16.2" thickTop="1">
      <c r="B5" s="3247" t="s">
        <v>909</v>
      </c>
      <c r="C5" s="1391" t="s">
        <v>910</v>
      </c>
      <c r="D5" s="797">
        <f ca="1">'结果表-住宅'!H101</f>
        <v>0</v>
      </c>
    </row>
    <row r="6" spans="1:5" ht="15.6">
      <c r="B6" s="3247"/>
      <c r="C6" s="1391" t="s">
        <v>911</v>
      </c>
      <c r="D6" s="797" t="str">
        <f ca="1">NUMBERSTRING(INT(D5*10000),2)&amp;"元整"</f>
        <v>零元整</v>
      </c>
    </row>
    <row r="7" spans="1:5" ht="15.6">
      <c r="B7" s="3252"/>
      <c r="C7" s="1392" t="s">
        <v>912</v>
      </c>
      <c r="D7" s="798">
        <f ca="1">'结果表-住宅'!H102</f>
        <v>36904</v>
      </c>
    </row>
    <row r="8" spans="1:5" ht="15.6">
      <c r="B8" s="3253" t="str">
        <f>'结果表-住宅'!E103</f>
        <v>2.估价师知悉的法定优先受偿款</v>
      </c>
      <c r="C8" s="1393" t="s">
        <v>913</v>
      </c>
      <c r="D8" s="798">
        <f>'结果表-住宅'!H103</f>
        <v>0</v>
      </c>
    </row>
    <row r="9" spans="1:5" ht="15.6">
      <c r="B9" s="3255"/>
      <c r="C9" s="1391" t="s">
        <v>911</v>
      </c>
      <c r="D9" s="797" t="str">
        <f>NUMBERSTRING(INT(D8*10000),2)&amp;"元整"</f>
        <v>零元整</v>
      </c>
    </row>
    <row r="10" spans="1:5" ht="15.6">
      <c r="B10" s="1394" t="s">
        <v>916</v>
      </c>
      <c r="C10" s="1395" t="s">
        <v>914</v>
      </c>
      <c r="D10" s="799">
        <f>'结果表-住宅'!H104</f>
        <v>0</v>
      </c>
    </row>
    <row r="11" spans="1:5" ht="15.6">
      <c r="B11" s="1394" t="s">
        <v>918</v>
      </c>
      <c r="C11" s="1395" t="s">
        <v>919</v>
      </c>
      <c r="D11" s="799">
        <f>'结果表-住宅'!H105</f>
        <v>0</v>
      </c>
    </row>
    <row r="12" spans="1:5" ht="15.6">
      <c r="B12" s="1394" t="s">
        <v>920</v>
      </c>
      <c r="C12" s="1395" t="s">
        <v>919</v>
      </c>
      <c r="D12" s="799">
        <f>'结果表-住宅'!H106</f>
        <v>0</v>
      </c>
    </row>
    <row r="13" spans="1:5" ht="15.6">
      <c r="B13" s="3246" t="str">
        <f>'结果表-住宅'!E107</f>
        <v>3.房地产抵押价值</v>
      </c>
      <c r="C13" s="1396" t="s">
        <v>910</v>
      </c>
      <c r="D13" s="800">
        <f ca="1">'结果表-住宅'!H107</f>
        <v>0</v>
      </c>
    </row>
    <row r="14" spans="1:5" ht="15.6">
      <c r="B14" s="3247"/>
      <c r="C14" s="1391" t="s">
        <v>911</v>
      </c>
      <c r="D14" s="797" t="str">
        <f ca="1">NUMBERSTRING(INT(D13*10000),2)&amp;"元整"</f>
        <v>零元整</v>
      </c>
    </row>
    <row r="15" spans="1:5" ht="15.6">
      <c r="B15" s="3252"/>
      <c r="C15" s="1392" t="s">
        <v>921</v>
      </c>
      <c r="D15" s="806">
        <f ca="1">'结果表-住宅'!H108</f>
        <v>36904</v>
      </c>
    </row>
    <row r="16" spans="1:5" ht="15.6">
      <c r="B16" s="3253" t="str">
        <f>'结果表-住宅'!E109</f>
        <v>——</v>
      </c>
      <c r="C16" s="1396" t="s">
        <v>922</v>
      </c>
      <c r="D16" s="1397" t="str">
        <f>'结果表-住宅'!H109</f>
        <v>——</v>
      </c>
    </row>
    <row r="17" spans="1:5" ht="15.6">
      <c r="B17" s="3254"/>
      <c r="C17" s="1391" t="s">
        <v>923</v>
      </c>
      <c r="D17" s="797" t="e">
        <f>NUMBERSTRING(INT(D16*10000),2)&amp;"元整"</f>
        <v>#VALUE!</v>
      </c>
    </row>
    <row r="18" spans="1:5" ht="15.6">
      <c r="B18" s="3255"/>
      <c r="C18" s="1392" t="s">
        <v>912</v>
      </c>
      <c r="D18" s="806" t="str">
        <f>'结果表-住宅'!H110</f>
        <v>——</v>
      </c>
    </row>
    <row r="19" spans="1:5" ht="15.6">
      <c r="B19" s="3246" t="str">
        <f>'结果表-住宅'!E111</f>
        <v>——</v>
      </c>
      <c r="C19" s="1396" t="s">
        <v>910</v>
      </c>
      <c r="D19" s="798" t="str">
        <f>'结果表-住宅'!H111</f>
        <v>——</v>
      </c>
    </row>
    <row r="20" spans="1:5" ht="15.6">
      <c r="B20" s="3247"/>
      <c r="C20" s="1391" t="s">
        <v>923</v>
      </c>
      <c r="D20" s="797" t="e">
        <f>NUMBERSTRING(INT(D19*10000),2)&amp;"元整"</f>
        <v>#VALUE!</v>
      </c>
    </row>
    <row r="21" spans="1:5" ht="16.2" thickBot="1">
      <c r="B21" s="3248"/>
      <c r="C21" s="1398" t="s">
        <v>921</v>
      </c>
      <c r="D21" s="807" t="str">
        <f>'结果表-住宅'!H112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F2C1B-843D-4BFB-94C2-5901520ADF2D}">
  <sheetPr>
    <tabColor rgb="FF7030A0"/>
  </sheetPr>
  <dimension ref="A1:L1149"/>
  <sheetViews>
    <sheetView workbookViewId="0">
      <selection activeCell="F2" sqref="F2:F1148"/>
    </sheetView>
  </sheetViews>
  <sheetFormatPr defaultRowHeight="11.4"/>
  <cols>
    <col min="1" max="1" width="6.109375" style="3217" customWidth="1"/>
    <col min="2" max="2" width="19.6640625" style="3217" customWidth="1"/>
    <col min="3" max="3" width="5.44140625" style="3217" customWidth="1"/>
    <col min="4" max="4" width="10.5546875" style="3217" customWidth="1"/>
    <col min="5" max="7" width="8.88671875" style="3217"/>
    <col min="8" max="9" width="11.88671875" style="3217" customWidth="1"/>
    <col min="10" max="10" width="12.5546875" style="3217" customWidth="1"/>
    <col min="11" max="11" width="12.44140625" style="3217" customWidth="1"/>
    <col min="12" max="16384" width="8.88671875" style="3217"/>
  </cols>
  <sheetData>
    <row r="1" spans="1:12">
      <c r="A1" s="3190" t="s">
        <v>5165</v>
      </c>
      <c r="B1" s="3191"/>
      <c r="C1" s="3191"/>
      <c r="D1" s="3192"/>
      <c r="E1" s="3191" t="s">
        <v>5166</v>
      </c>
      <c r="F1" s="3193" t="s">
        <v>4004</v>
      </c>
      <c r="G1" s="3190"/>
      <c r="H1" s="3191"/>
      <c r="I1" s="3191" t="s">
        <v>4005</v>
      </c>
      <c r="J1" s="3194" t="s">
        <v>5167</v>
      </c>
      <c r="K1" s="3195" t="s">
        <v>5168</v>
      </c>
      <c r="L1" s="3196"/>
    </row>
    <row r="2" spans="1:12">
      <c r="A2" s="3190">
        <v>1</v>
      </c>
      <c r="B2" s="3194" t="s">
        <v>4006</v>
      </c>
      <c r="C2" s="3194" t="s">
        <v>5169</v>
      </c>
      <c r="D2" s="3194" t="s">
        <v>5170</v>
      </c>
      <c r="E2" s="3194" t="s">
        <v>4008</v>
      </c>
      <c r="F2" s="3194" t="s">
        <v>5171</v>
      </c>
      <c r="G2" s="3197">
        <v>2001</v>
      </c>
      <c r="H2" s="3194" t="s">
        <v>4010</v>
      </c>
      <c r="I2" s="3194" t="s">
        <v>5172</v>
      </c>
      <c r="J2" s="3194">
        <v>30.74</v>
      </c>
      <c r="K2" s="3194">
        <v>11.64</v>
      </c>
      <c r="L2" s="3216" t="s">
        <v>6336</v>
      </c>
    </row>
    <row r="3" spans="1:12">
      <c r="A3" s="3190">
        <v>2</v>
      </c>
      <c r="B3" s="3191" t="s">
        <v>5173</v>
      </c>
      <c r="C3" s="3191" t="s">
        <v>4007</v>
      </c>
      <c r="D3" s="3192" t="s">
        <v>5170</v>
      </c>
      <c r="E3" s="3191" t="s">
        <v>5174</v>
      </c>
      <c r="F3" s="3193" t="s">
        <v>4009</v>
      </c>
      <c r="G3" s="3197">
        <v>2002</v>
      </c>
      <c r="H3" s="3191" t="s">
        <v>5175</v>
      </c>
      <c r="I3" s="3198" t="s">
        <v>4011</v>
      </c>
      <c r="J3" s="3194">
        <v>30.74</v>
      </c>
      <c r="K3" s="3194">
        <v>11.64</v>
      </c>
      <c r="L3" s="3196"/>
    </row>
    <row r="4" spans="1:12">
      <c r="A4" s="3190">
        <v>3</v>
      </c>
      <c r="B4" s="3191" t="s">
        <v>4006</v>
      </c>
      <c r="C4" s="3191" t="s">
        <v>5169</v>
      </c>
      <c r="D4" s="3192" t="s">
        <v>5170</v>
      </c>
      <c r="E4" s="3191" t="s">
        <v>4008</v>
      </c>
      <c r="F4" s="3193" t="s">
        <v>5171</v>
      </c>
      <c r="G4" s="3197">
        <v>2003</v>
      </c>
      <c r="H4" s="3191" t="s">
        <v>4012</v>
      </c>
      <c r="I4" s="3191" t="s">
        <v>5176</v>
      </c>
      <c r="J4" s="3194">
        <v>32.67</v>
      </c>
      <c r="K4" s="3194">
        <v>12.37</v>
      </c>
      <c r="L4" s="3196"/>
    </row>
    <row r="5" spans="1:12">
      <c r="A5" s="3190">
        <v>4</v>
      </c>
      <c r="B5" s="3191" t="s">
        <v>5173</v>
      </c>
      <c r="C5" s="3191" t="s">
        <v>4007</v>
      </c>
      <c r="D5" s="3192" t="s">
        <v>5170</v>
      </c>
      <c r="E5" s="3191" t="s">
        <v>5174</v>
      </c>
      <c r="F5" s="3193" t="s">
        <v>4009</v>
      </c>
      <c r="G5" s="3197">
        <v>2004</v>
      </c>
      <c r="H5" s="3191" t="s">
        <v>5177</v>
      </c>
      <c r="I5" s="3191" t="s">
        <v>4013</v>
      </c>
      <c r="J5" s="3194">
        <v>32.67</v>
      </c>
      <c r="K5" s="3194">
        <v>12.37</v>
      </c>
      <c r="L5" s="3196"/>
    </row>
    <row r="6" spans="1:12">
      <c r="A6" s="3190">
        <v>5</v>
      </c>
      <c r="B6" s="3194" t="s">
        <v>4006</v>
      </c>
      <c r="C6" s="3194" t="s">
        <v>5169</v>
      </c>
      <c r="D6" s="3194" t="s">
        <v>5170</v>
      </c>
      <c r="E6" s="3194" t="s">
        <v>4008</v>
      </c>
      <c r="F6" s="3194" t="s">
        <v>5171</v>
      </c>
      <c r="G6" s="3197">
        <v>2005</v>
      </c>
      <c r="H6" s="3194" t="s">
        <v>4014</v>
      </c>
      <c r="I6" s="3194" t="s">
        <v>5178</v>
      </c>
      <c r="J6" s="3194">
        <v>32.67</v>
      </c>
      <c r="K6" s="3219">
        <v>12.37</v>
      </c>
      <c r="L6" s="3222"/>
    </row>
    <row r="7" spans="1:12">
      <c r="A7" s="3190">
        <v>6</v>
      </c>
      <c r="B7" s="3194" t="s">
        <v>5173</v>
      </c>
      <c r="C7" s="3194" t="s">
        <v>4007</v>
      </c>
      <c r="D7" s="3194" t="s">
        <v>5170</v>
      </c>
      <c r="E7" s="3194" t="s">
        <v>5174</v>
      </c>
      <c r="F7" s="3194" t="s">
        <v>4009</v>
      </c>
      <c r="G7" s="3197">
        <v>2006</v>
      </c>
      <c r="H7" s="3194" t="s">
        <v>5179</v>
      </c>
      <c r="I7" s="3194" t="s">
        <v>4015</v>
      </c>
      <c r="J7" s="3194">
        <v>30.74</v>
      </c>
      <c r="K7" s="3219">
        <v>11.64</v>
      </c>
      <c r="L7" s="3222"/>
    </row>
    <row r="8" spans="1:12">
      <c r="A8" s="3190">
        <v>7</v>
      </c>
      <c r="B8" s="3194" t="s">
        <v>4006</v>
      </c>
      <c r="C8" s="3194" t="s">
        <v>5169</v>
      </c>
      <c r="D8" s="3194" t="s">
        <v>5170</v>
      </c>
      <c r="E8" s="3194" t="s">
        <v>4008</v>
      </c>
      <c r="F8" s="3194" t="s">
        <v>5171</v>
      </c>
      <c r="G8" s="3197">
        <v>2007</v>
      </c>
      <c r="H8" s="3194" t="s">
        <v>4016</v>
      </c>
      <c r="I8" s="3194" t="s">
        <v>5180</v>
      </c>
      <c r="J8" s="3194">
        <v>30.74</v>
      </c>
      <c r="K8" s="3219">
        <v>11.64</v>
      </c>
      <c r="L8" s="3222"/>
    </row>
    <row r="9" spans="1:12">
      <c r="A9" s="3190">
        <v>8</v>
      </c>
      <c r="B9" s="3194" t="s">
        <v>5173</v>
      </c>
      <c r="C9" s="3194" t="s">
        <v>4007</v>
      </c>
      <c r="D9" s="3194" t="s">
        <v>5170</v>
      </c>
      <c r="E9" s="3194" t="s">
        <v>5174</v>
      </c>
      <c r="F9" s="3194" t="s">
        <v>4009</v>
      </c>
      <c r="G9" s="3197">
        <v>2008</v>
      </c>
      <c r="H9" s="3194" t="s">
        <v>5181</v>
      </c>
      <c r="I9" s="3194" t="s">
        <v>4017</v>
      </c>
      <c r="J9" s="3194">
        <v>30.74</v>
      </c>
      <c r="K9" s="3219">
        <v>11.64</v>
      </c>
      <c r="L9" s="3222"/>
    </row>
    <row r="10" spans="1:12">
      <c r="A10" s="3190">
        <v>9</v>
      </c>
      <c r="B10" s="3194" t="s">
        <v>4006</v>
      </c>
      <c r="C10" s="3194" t="s">
        <v>5169</v>
      </c>
      <c r="D10" s="3194" t="s">
        <v>5170</v>
      </c>
      <c r="E10" s="3194" t="s">
        <v>4008</v>
      </c>
      <c r="F10" s="3194" t="s">
        <v>5171</v>
      </c>
      <c r="G10" s="3197">
        <v>2009</v>
      </c>
      <c r="H10" s="3194" t="s">
        <v>4018</v>
      </c>
      <c r="I10" s="3194" t="s">
        <v>5182</v>
      </c>
      <c r="J10" s="3194">
        <v>30.74</v>
      </c>
      <c r="K10" s="3219">
        <v>11.64</v>
      </c>
      <c r="L10" s="3222"/>
    </row>
    <row r="11" spans="1:12">
      <c r="A11" s="3190">
        <v>10</v>
      </c>
      <c r="B11" s="3194" t="s">
        <v>5173</v>
      </c>
      <c r="C11" s="3194" t="s">
        <v>4007</v>
      </c>
      <c r="D11" s="3194" t="s">
        <v>5170</v>
      </c>
      <c r="E11" s="3194" t="s">
        <v>5174</v>
      </c>
      <c r="F11" s="3194" t="s">
        <v>4009</v>
      </c>
      <c r="G11" s="3197">
        <v>2010</v>
      </c>
      <c r="H11" s="3194" t="s">
        <v>5183</v>
      </c>
      <c r="I11" s="3194" t="s">
        <v>4019</v>
      </c>
      <c r="J11" s="3194">
        <v>30.74</v>
      </c>
      <c r="K11" s="3219">
        <v>11.64</v>
      </c>
      <c r="L11" s="3222"/>
    </row>
    <row r="12" spans="1:12">
      <c r="A12" s="3190">
        <v>11</v>
      </c>
      <c r="B12" s="3194" t="s">
        <v>4006</v>
      </c>
      <c r="C12" s="3194" t="s">
        <v>5169</v>
      </c>
      <c r="D12" s="3194" t="s">
        <v>5170</v>
      </c>
      <c r="E12" s="3194" t="s">
        <v>4008</v>
      </c>
      <c r="F12" s="3194" t="s">
        <v>5171</v>
      </c>
      <c r="G12" s="3197">
        <v>2011</v>
      </c>
      <c r="H12" s="3194" t="s">
        <v>4020</v>
      </c>
      <c r="I12" s="3194" t="s">
        <v>5184</v>
      </c>
      <c r="J12" s="3194">
        <v>30.74</v>
      </c>
      <c r="K12" s="3219">
        <v>11.64</v>
      </c>
      <c r="L12" s="3222"/>
    </row>
    <row r="13" spans="1:12">
      <c r="A13" s="3190">
        <v>12</v>
      </c>
      <c r="B13" s="3194" t="s">
        <v>5173</v>
      </c>
      <c r="C13" s="3194" t="s">
        <v>4007</v>
      </c>
      <c r="D13" s="3194" t="s">
        <v>5170</v>
      </c>
      <c r="E13" s="3194" t="s">
        <v>5174</v>
      </c>
      <c r="F13" s="3194" t="s">
        <v>4009</v>
      </c>
      <c r="G13" s="3197">
        <v>2012</v>
      </c>
      <c r="H13" s="3194" t="s">
        <v>5185</v>
      </c>
      <c r="I13" s="3194" t="s">
        <v>4021</v>
      </c>
      <c r="J13" s="3194">
        <v>30.74</v>
      </c>
      <c r="K13" s="3219">
        <v>11.64</v>
      </c>
      <c r="L13" s="3222"/>
    </row>
    <row r="14" spans="1:12">
      <c r="A14" s="3190">
        <v>13</v>
      </c>
      <c r="B14" s="3194" t="s">
        <v>4006</v>
      </c>
      <c r="C14" s="3194" t="s">
        <v>5169</v>
      </c>
      <c r="D14" s="3194" t="s">
        <v>5170</v>
      </c>
      <c r="E14" s="3194" t="s">
        <v>4008</v>
      </c>
      <c r="F14" s="3194" t="s">
        <v>5171</v>
      </c>
      <c r="G14" s="3197">
        <v>2013</v>
      </c>
      <c r="H14" s="3194" t="s">
        <v>4022</v>
      </c>
      <c r="I14" s="3194" t="s">
        <v>5186</v>
      </c>
      <c r="J14" s="3194">
        <v>30.74</v>
      </c>
      <c r="K14" s="3219">
        <v>11.64</v>
      </c>
      <c r="L14" s="3222"/>
    </row>
    <row r="15" spans="1:12">
      <c r="A15" s="3190">
        <v>14</v>
      </c>
      <c r="B15" s="3194" t="s">
        <v>5173</v>
      </c>
      <c r="C15" s="3194" t="s">
        <v>4007</v>
      </c>
      <c r="D15" s="3194" t="s">
        <v>5170</v>
      </c>
      <c r="E15" s="3194" t="s">
        <v>5174</v>
      </c>
      <c r="F15" s="3194" t="s">
        <v>4009</v>
      </c>
      <c r="G15" s="3197">
        <v>2014</v>
      </c>
      <c r="H15" s="3194" t="s">
        <v>5187</v>
      </c>
      <c r="I15" s="3194" t="s">
        <v>4023</v>
      </c>
      <c r="J15" s="3194">
        <v>30.74</v>
      </c>
      <c r="K15" s="3219">
        <v>11.64</v>
      </c>
      <c r="L15" s="3222"/>
    </row>
    <row r="16" spans="1:12">
      <c r="A16" s="3190">
        <v>15</v>
      </c>
      <c r="B16" s="3194" t="s">
        <v>4006</v>
      </c>
      <c r="C16" s="3194" t="s">
        <v>5169</v>
      </c>
      <c r="D16" s="3194" t="s">
        <v>5170</v>
      </c>
      <c r="E16" s="3194" t="s">
        <v>4008</v>
      </c>
      <c r="F16" s="3194" t="s">
        <v>5171</v>
      </c>
      <c r="G16" s="3197">
        <v>2015</v>
      </c>
      <c r="H16" s="3194" t="s">
        <v>4024</v>
      </c>
      <c r="I16" s="3194" t="s">
        <v>5188</v>
      </c>
      <c r="J16" s="3194">
        <v>30.74</v>
      </c>
      <c r="K16" s="3219">
        <v>11.64</v>
      </c>
      <c r="L16" s="3222"/>
    </row>
    <row r="17" spans="1:12">
      <c r="A17" s="3190">
        <v>16</v>
      </c>
      <c r="B17" s="3194" t="s">
        <v>5173</v>
      </c>
      <c r="C17" s="3194" t="s">
        <v>4007</v>
      </c>
      <c r="D17" s="3194" t="s">
        <v>5170</v>
      </c>
      <c r="E17" s="3194" t="s">
        <v>5174</v>
      </c>
      <c r="F17" s="3194" t="s">
        <v>4009</v>
      </c>
      <c r="G17" s="3197">
        <v>2016</v>
      </c>
      <c r="H17" s="3194" t="s">
        <v>5189</v>
      </c>
      <c r="I17" s="3194" t="s">
        <v>4025</v>
      </c>
      <c r="J17" s="3194">
        <v>30.74</v>
      </c>
      <c r="K17" s="3219">
        <v>11.64</v>
      </c>
      <c r="L17" s="3222"/>
    </row>
    <row r="18" spans="1:12">
      <c r="A18" s="3190">
        <v>17</v>
      </c>
      <c r="B18" s="3194" t="s">
        <v>4006</v>
      </c>
      <c r="C18" s="3194" t="s">
        <v>5169</v>
      </c>
      <c r="D18" s="3194" t="s">
        <v>5170</v>
      </c>
      <c r="E18" s="3194" t="s">
        <v>4008</v>
      </c>
      <c r="F18" s="3194" t="s">
        <v>5171</v>
      </c>
      <c r="G18" s="3197">
        <v>2017</v>
      </c>
      <c r="H18" s="3194" t="s">
        <v>4026</v>
      </c>
      <c r="I18" s="3194" t="s">
        <v>5190</v>
      </c>
      <c r="J18" s="3194">
        <v>30.74</v>
      </c>
      <c r="K18" s="3219">
        <v>11.64</v>
      </c>
      <c r="L18" s="3222"/>
    </row>
    <row r="19" spans="1:12">
      <c r="A19" s="3190">
        <v>18</v>
      </c>
      <c r="B19" s="3194" t="s">
        <v>5173</v>
      </c>
      <c r="C19" s="3194" t="s">
        <v>4007</v>
      </c>
      <c r="D19" s="3194" t="s">
        <v>5170</v>
      </c>
      <c r="E19" s="3194" t="s">
        <v>5174</v>
      </c>
      <c r="F19" s="3194" t="s">
        <v>4009</v>
      </c>
      <c r="G19" s="3197">
        <v>2018</v>
      </c>
      <c r="H19" s="3194" t="s">
        <v>5191</v>
      </c>
      <c r="I19" s="3194" t="s">
        <v>4027</v>
      </c>
      <c r="J19" s="3194">
        <v>30.74</v>
      </c>
      <c r="K19" s="3219">
        <v>11.64</v>
      </c>
      <c r="L19" s="3222"/>
    </row>
    <row r="20" spans="1:12">
      <c r="A20" s="3190">
        <v>19</v>
      </c>
      <c r="B20" s="3194" t="s">
        <v>4006</v>
      </c>
      <c r="C20" s="3194" t="s">
        <v>5169</v>
      </c>
      <c r="D20" s="3194" t="s">
        <v>5170</v>
      </c>
      <c r="E20" s="3194" t="s">
        <v>4008</v>
      </c>
      <c r="F20" s="3194" t="s">
        <v>5171</v>
      </c>
      <c r="G20" s="3197">
        <v>2019</v>
      </c>
      <c r="H20" s="3194" t="s">
        <v>4028</v>
      </c>
      <c r="I20" s="3194" t="s">
        <v>5192</v>
      </c>
      <c r="J20" s="3194">
        <v>30.74</v>
      </c>
      <c r="K20" s="3219">
        <v>11.64</v>
      </c>
      <c r="L20" s="3222"/>
    </row>
    <row r="21" spans="1:12">
      <c r="A21" s="3190">
        <v>20</v>
      </c>
      <c r="B21" s="3194" t="s">
        <v>5173</v>
      </c>
      <c r="C21" s="3194" t="s">
        <v>4007</v>
      </c>
      <c r="D21" s="3194" t="s">
        <v>5170</v>
      </c>
      <c r="E21" s="3194" t="s">
        <v>5174</v>
      </c>
      <c r="F21" s="3194" t="s">
        <v>4009</v>
      </c>
      <c r="G21" s="3197">
        <v>2020</v>
      </c>
      <c r="H21" s="3194" t="s">
        <v>5193</v>
      </c>
      <c r="I21" s="3194" t="s">
        <v>4029</v>
      </c>
      <c r="J21" s="3194">
        <v>30.74</v>
      </c>
      <c r="K21" s="3219">
        <v>11.64</v>
      </c>
      <c r="L21" s="3222"/>
    </row>
    <row r="22" spans="1:12">
      <c r="A22" s="3190">
        <v>21</v>
      </c>
      <c r="B22" s="3194" t="s">
        <v>4006</v>
      </c>
      <c r="C22" s="3194" t="s">
        <v>5169</v>
      </c>
      <c r="D22" s="3194" t="s">
        <v>5170</v>
      </c>
      <c r="E22" s="3194" t="s">
        <v>4008</v>
      </c>
      <c r="F22" s="3194" t="s">
        <v>5171</v>
      </c>
      <c r="G22" s="3197">
        <v>2021</v>
      </c>
      <c r="H22" s="3194" t="s">
        <v>4030</v>
      </c>
      <c r="I22" s="3194" t="s">
        <v>5194</v>
      </c>
      <c r="J22" s="3194">
        <v>30.74</v>
      </c>
      <c r="K22" s="3219">
        <v>11.64</v>
      </c>
      <c r="L22" s="3222"/>
    </row>
    <row r="23" spans="1:12">
      <c r="A23" s="3190">
        <v>22</v>
      </c>
      <c r="B23" s="3194" t="s">
        <v>5173</v>
      </c>
      <c r="C23" s="3194" t="s">
        <v>4007</v>
      </c>
      <c r="D23" s="3194" t="s">
        <v>5170</v>
      </c>
      <c r="E23" s="3194" t="s">
        <v>5174</v>
      </c>
      <c r="F23" s="3194" t="s">
        <v>4009</v>
      </c>
      <c r="G23" s="3197">
        <v>2022</v>
      </c>
      <c r="H23" s="3194" t="s">
        <v>5195</v>
      </c>
      <c r="I23" s="3194" t="s">
        <v>4031</v>
      </c>
      <c r="J23" s="3194">
        <v>30.74</v>
      </c>
      <c r="K23" s="3219">
        <v>11.64</v>
      </c>
      <c r="L23" s="3222"/>
    </row>
    <row r="24" spans="1:12">
      <c r="A24" s="3190">
        <v>23</v>
      </c>
      <c r="B24" s="3194" t="s">
        <v>4006</v>
      </c>
      <c r="C24" s="3194" t="s">
        <v>5169</v>
      </c>
      <c r="D24" s="3194" t="s">
        <v>5170</v>
      </c>
      <c r="E24" s="3194" t="s">
        <v>4008</v>
      </c>
      <c r="F24" s="3194" t="s">
        <v>5171</v>
      </c>
      <c r="G24" s="3197">
        <v>2023</v>
      </c>
      <c r="H24" s="3194" t="s">
        <v>4032</v>
      </c>
      <c r="I24" s="3194" t="s">
        <v>5196</v>
      </c>
      <c r="J24" s="3194">
        <v>30.74</v>
      </c>
      <c r="K24" s="3219">
        <v>11.64</v>
      </c>
      <c r="L24" s="3222"/>
    </row>
    <row r="25" spans="1:12">
      <c r="A25" s="3190">
        <v>24</v>
      </c>
      <c r="B25" s="3194" t="s">
        <v>5173</v>
      </c>
      <c r="C25" s="3194" t="s">
        <v>4007</v>
      </c>
      <c r="D25" s="3194" t="s">
        <v>5170</v>
      </c>
      <c r="E25" s="3194" t="s">
        <v>5174</v>
      </c>
      <c r="F25" s="3194" t="s">
        <v>4009</v>
      </c>
      <c r="G25" s="3197">
        <v>2024</v>
      </c>
      <c r="H25" s="3194" t="s">
        <v>5197</v>
      </c>
      <c r="I25" s="3194" t="s">
        <v>4033</v>
      </c>
      <c r="J25" s="3194">
        <v>30.74</v>
      </c>
      <c r="K25" s="3219">
        <v>11.64</v>
      </c>
      <c r="L25" s="3222"/>
    </row>
    <row r="26" spans="1:12">
      <c r="A26" s="3190">
        <v>25</v>
      </c>
      <c r="B26" s="3194" t="s">
        <v>4006</v>
      </c>
      <c r="C26" s="3194" t="s">
        <v>5169</v>
      </c>
      <c r="D26" s="3194" t="s">
        <v>5170</v>
      </c>
      <c r="E26" s="3194" t="s">
        <v>4008</v>
      </c>
      <c r="F26" s="3194" t="s">
        <v>5171</v>
      </c>
      <c r="G26" s="3197">
        <v>2025</v>
      </c>
      <c r="H26" s="3194" t="s">
        <v>4034</v>
      </c>
      <c r="I26" s="3194" t="s">
        <v>5198</v>
      </c>
      <c r="J26" s="3194">
        <v>30.74</v>
      </c>
      <c r="K26" s="3219">
        <v>11.64</v>
      </c>
      <c r="L26" s="3222"/>
    </row>
    <row r="27" spans="1:12">
      <c r="A27" s="3190">
        <v>26</v>
      </c>
      <c r="B27" s="3194" t="s">
        <v>5173</v>
      </c>
      <c r="C27" s="3194" t="s">
        <v>4007</v>
      </c>
      <c r="D27" s="3194" t="s">
        <v>5170</v>
      </c>
      <c r="E27" s="3194" t="s">
        <v>5174</v>
      </c>
      <c r="F27" s="3194" t="s">
        <v>4009</v>
      </c>
      <c r="G27" s="3197">
        <v>2026</v>
      </c>
      <c r="H27" s="3194" t="s">
        <v>5199</v>
      </c>
      <c r="I27" s="3194" t="s">
        <v>4035</v>
      </c>
      <c r="J27" s="3194">
        <v>30.74</v>
      </c>
      <c r="K27" s="3219">
        <v>11.64</v>
      </c>
      <c r="L27" s="3222"/>
    </row>
    <row r="28" spans="1:12">
      <c r="A28" s="3190">
        <v>27</v>
      </c>
      <c r="B28" s="3194" t="s">
        <v>4006</v>
      </c>
      <c r="C28" s="3194" t="s">
        <v>5169</v>
      </c>
      <c r="D28" s="3194" t="s">
        <v>5170</v>
      </c>
      <c r="E28" s="3194" t="s">
        <v>4008</v>
      </c>
      <c r="F28" s="3194" t="s">
        <v>5171</v>
      </c>
      <c r="G28" s="3197">
        <v>2027</v>
      </c>
      <c r="H28" s="3194" t="s">
        <v>4036</v>
      </c>
      <c r="I28" s="3194" t="s">
        <v>5200</v>
      </c>
      <c r="J28" s="3194">
        <v>30.74</v>
      </c>
      <c r="K28" s="3219">
        <v>11.64</v>
      </c>
      <c r="L28" s="3222"/>
    </row>
    <row r="29" spans="1:12">
      <c r="A29" s="3190">
        <v>28</v>
      </c>
      <c r="B29" s="3194" t="s">
        <v>5173</v>
      </c>
      <c r="C29" s="3194" t="s">
        <v>4007</v>
      </c>
      <c r="D29" s="3194" t="s">
        <v>5170</v>
      </c>
      <c r="E29" s="3194" t="s">
        <v>5174</v>
      </c>
      <c r="F29" s="3194" t="s">
        <v>4009</v>
      </c>
      <c r="G29" s="3197">
        <v>2028</v>
      </c>
      <c r="H29" s="3194" t="s">
        <v>5201</v>
      </c>
      <c r="I29" s="3194" t="s">
        <v>4037</v>
      </c>
      <c r="J29" s="3194">
        <v>30.74</v>
      </c>
      <c r="K29" s="3219">
        <v>11.64</v>
      </c>
      <c r="L29" s="3222"/>
    </row>
    <row r="30" spans="1:12">
      <c r="A30" s="3190">
        <v>29</v>
      </c>
      <c r="B30" s="3194" t="s">
        <v>4006</v>
      </c>
      <c r="C30" s="3194" t="s">
        <v>5169</v>
      </c>
      <c r="D30" s="3194" t="s">
        <v>5170</v>
      </c>
      <c r="E30" s="3194" t="s">
        <v>4008</v>
      </c>
      <c r="F30" s="3194" t="s">
        <v>5171</v>
      </c>
      <c r="G30" s="3197">
        <v>2029</v>
      </c>
      <c r="H30" s="3194" t="s">
        <v>4038</v>
      </c>
      <c r="I30" s="3194" t="s">
        <v>5202</v>
      </c>
      <c r="J30" s="3194">
        <v>30.74</v>
      </c>
      <c r="K30" s="3219">
        <v>11.64</v>
      </c>
      <c r="L30" s="3222"/>
    </row>
    <row r="31" spans="1:12">
      <c r="A31" s="3190">
        <v>30</v>
      </c>
      <c r="B31" s="3194" t="s">
        <v>5173</v>
      </c>
      <c r="C31" s="3194" t="s">
        <v>4007</v>
      </c>
      <c r="D31" s="3194" t="s">
        <v>5170</v>
      </c>
      <c r="E31" s="3194" t="s">
        <v>5174</v>
      </c>
      <c r="F31" s="3194" t="s">
        <v>4009</v>
      </c>
      <c r="G31" s="3197">
        <v>2030</v>
      </c>
      <c r="H31" s="3194" t="s">
        <v>5203</v>
      </c>
      <c r="I31" s="3194" t="s">
        <v>4039</v>
      </c>
      <c r="J31" s="3194">
        <v>33.299999999999997</v>
      </c>
      <c r="K31" s="3219">
        <v>12.61</v>
      </c>
      <c r="L31" s="3222"/>
    </row>
    <row r="32" spans="1:12">
      <c r="A32" s="3190">
        <v>31</v>
      </c>
      <c r="B32" s="3194" t="s">
        <v>4006</v>
      </c>
      <c r="C32" s="3194" t="s">
        <v>5169</v>
      </c>
      <c r="D32" s="3194" t="s">
        <v>5170</v>
      </c>
      <c r="E32" s="3194" t="s">
        <v>4008</v>
      </c>
      <c r="F32" s="3194" t="s">
        <v>5171</v>
      </c>
      <c r="G32" s="3197">
        <v>2031</v>
      </c>
      <c r="H32" s="3194" t="s">
        <v>4040</v>
      </c>
      <c r="I32" s="3194" t="s">
        <v>5204</v>
      </c>
      <c r="J32" s="3194">
        <v>33.299999999999997</v>
      </c>
      <c r="K32" s="3219">
        <v>12.61</v>
      </c>
      <c r="L32" s="3222"/>
    </row>
    <row r="33" spans="1:12">
      <c r="A33" s="3190">
        <v>32</v>
      </c>
      <c r="B33" s="3194" t="s">
        <v>5173</v>
      </c>
      <c r="C33" s="3194" t="s">
        <v>4007</v>
      </c>
      <c r="D33" s="3194" t="s">
        <v>5170</v>
      </c>
      <c r="E33" s="3194" t="s">
        <v>5174</v>
      </c>
      <c r="F33" s="3193" t="s">
        <v>4041</v>
      </c>
      <c r="G33" s="3197">
        <v>2032</v>
      </c>
      <c r="H33" s="3194" t="s">
        <v>5205</v>
      </c>
      <c r="I33" s="3194" t="s">
        <v>4042</v>
      </c>
      <c r="J33" s="3194">
        <v>33.299999999999997</v>
      </c>
      <c r="K33" s="3219">
        <v>12.61</v>
      </c>
      <c r="L33" s="3222"/>
    </row>
    <row r="34" spans="1:12">
      <c r="A34" s="3190">
        <v>33</v>
      </c>
      <c r="B34" s="3194" t="s">
        <v>4006</v>
      </c>
      <c r="C34" s="3194" t="s">
        <v>5169</v>
      </c>
      <c r="D34" s="3194" t="s">
        <v>5170</v>
      </c>
      <c r="E34" s="3194" t="s">
        <v>4008</v>
      </c>
      <c r="F34" s="3194" t="s">
        <v>5171</v>
      </c>
      <c r="G34" s="3197">
        <v>2033</v>
      </c>
      <c r="H34" s="3194" t="s">
        <v>4043</v>
      </c>
      <c r="I34" s="3194" t="s">
        <v>5206</v>
      </c>
      <c r="J34" s="3194">
        <v>30.74</v>
      </c>
      <c r="K34" s="3219">
        <v>11.64</v>
      </c>
      <c r="L34" s="3222"/>
    </row>
    <row r="35" spans="1:12">
      <c r="A35" s="3190">
        <v>34</v>
      </c>
      <c r="B35" s="3194" t="s">
        <v>5173</v>
      </c>
      <c r="C35" s="3194" t="s">
        <v>4007</v>
      </c>
      <c r="D35" s="3194" t="s">
        <v>5170</v>
      </c>
      <c r="E35" s="3194" t="s">
        <v>5174</v>
      </c>
      <c r="F35" s="3194" t="s">
        <v>4009</v>
      </c>
      <c r="G35" s="3197">
        <v>2034</v>
      </c>
      <c r="H35" s="3194" t="s">
        <v>5207</v>
      </c>
      <c r="I35" s="3194" t="s">
        <v>4044</v>
      </c>
      <c r="J35" s="3194">
        <v>30.74</v>
      </c>
      <c r="K35" s="3219">
        <v>11.64</v>
      </c>
      <c r="L35" s="3222"/>
    </row>
    <row r="36" spans="1:12">
      <c r="A36" s="3190">
        <v>35</v>
      </c>
      <c r="B36" s="3194" t="s">
        <v>4006</v>
      </c>
      <c r="C36" s="3194" t="s">
        <v>5169</v>
      </c>
      <c r="D36" s="3194" t="s">
        <v>5170</v>
      </c>
      <c r="E36" s="3194" t="s">
        <v>4008</v>
      </c>
      <c r="F36" s="3193" t="s">
        <v>5208</v>
      </c>
      <c r="G36" s="3197">
        <v>2035</v>
      </c>
      <c r="H36" s="3194" t="s">
        <v>4045</v>
      </c>
      <c r="I36" s="3194" t="s">
        <v>5209</v>
      </c>
      <c r="J36" s="3194">
        <v>30.74</v>
      </c>
      <c r="K36" s="3219">
        <v>11.64</v>
      </c>
      <c r="L36" s="3222"/>
    </row>
    <row r="37" spans="1:12">
      <c r="A37" s="3190">
        <v>36</v>
      </c>
      <c r="B37" s="3194" t="s">
        <v>5173</v>
      </c>
      <c r="C37" s="3194" t="s">
        <v>4007</v>
      </c>
      <c r="D37" s="3194" t="s">
        <v>5170</v>
      </c>
      <c r="E37" s="3194" t="s">
        <v>5174</v>
      </c>
      <c r="F37" s="3194" t="s">
        <v>4009</v>
      </c>
      <c r="G37" s="3197">
        <v>2036</v>
      </c>
      <c r="H37" s="3194" t="s">
        <v>5210</v>
      </c>
      <c r="I37" s="3194" t="s">
        <v>4046</v>
      </c>
      <c r="J37" s="3194">
        <v>30.74</v>
      </c>
      <c r="K37" s="3219">
        <v>11.64</v>
      </c>
      <c r="L37" s="3222"/>
    </row>
    <row r="38" spans="1:12">
      <c r="A38" s="3190">
        <v>37</v>
      </c>
      <c r="B38" s="3194" t="s">
        <v>4006</v>
      </c>
      <c r="C38" s="3194" t="s">
        <v>5169</v>
      </c>
      <c r="D38" s="3194" t="s">
        <v>5170</v>
      </c>
      <c r="E38" s="3194" t="s">
        <v>4008</v>
      </c>
      <c r="F38" s="3194" t="s">
        <v>5171</v>
      </c>
      <c r="G38" s="3197">
        <v>2037</v>
      </c>
      <c r="H38" s="3194" t="s">
        <v>4047</v>
      </c>
      <c r="I38" s="3194" t="s">
        <v>5211</v>
      </c>
      <c r="J38" s="3194">
        <v>30.74</v>
      </c>
      <c r="K38" s="3219">
        <v>11.64</v>
      </c>
      <c r="L38" s="3222"/>
    </row>
    <row r="39" spans="1:12">
      <c r="A39" s="3190">
        <v>38</v>
      </c>
      <c r="B39" s="3194" t="s">
        <v>5173</v>
      </c>
      <c r="C39" s="3194" t="s">
        <v>4007</v>
      </c>
      <c r="D39" s="3194" t="s">
        <v>5170</v>
      </c>
      <c r="E39" s="3194" t="s">
        <v>5174</v>
      </c>
      <c r="F39" s="3194" t="s">
        <v>4009</v>
      </c>
      <c r="G39" s="3197">
        <v>2038</v>
      </c>
      <c r="H39" s="3194" t="s">
        <v>5212</v>
      </c>
      <c r="I39" s="3194" t="s">
        <v>4048</v>
      </c>
      <c r="J39" s="3194">
        <v>30.74</v>
      </c>
      <c r="K39" s="3219">
        <v>11.64</v>
      </c>
      <c r="L39" s="3222"/>
    </row>
    <row r="40" spans="1:12">
      <c r="A40" s="3190">
        <v>39</v>
      </c>
      <c r="B40" s="3194" t="s">
        <v>4006</v>
      </c>
      <c r="C40" s="3194" t="s">
        <v>5169</v>
      </c>
      <c r="D40" s="3194" t="s">
        <v>5170</v>
      </c>
      <c r="E40" s="3194" t="s">
        <v>4008</v>
      </c>
      <c r="F40" s="3194" t="s">
        <v>5171</v>
      </c>
      <c r="G40" s="3197">
        <v>2039</v>
      </c>
      <c r="H40" s="3194" t="s">
        <v>4049</v>
      </c>
      <c r="I40" s="3194" t="s">
        <v>5213</v>
      </c>
      <c r="J40" s="3194">
        <v>31.06</v>
      </c>
      <c r="K40" s="3219">
        <v>11.76</v>
      </c>
      <c r="L40" s="3222"/>
    </row>
    <row r="41" spans="1:12">
      <c r="A41" s="3190">
        <v>40</v>
      </c>
      <c r="B41" s="3194" t="s">
        <v>5173</v>
      </c>
      <c r="C41" s="3194" t="s">
        <v>4007</v>
      </c>
      <c r="D41" s="3194" t="s">
        <v>5170</v>
      </c>
      <c r="E41" s="3194" t="s">
        <v>5174</v>
      </c>
      <c r="F41" s="3194" t="s">
        <v>4009</v>
      </c>
      <c r="G41" s="3197">
        <v>2040</v>
      </c>
      <c r="H41" s="3194" t="s">
        <v>5214</v>
      </c>
      <c r="I41" s="3199" t="s">
        <v>4050</v>
      </c>
      <c r="J41" s="3194">
        <v>31.06</v>
      </c>
      <c r="K41" s="3219">
        <v>11.76</v>
      </c>
      <c r="L41" s="3222"/>
    </row>
    <row r="42" spans="1:12">
      <c r="A42" s="3190">
        <v>41</v>
      </c>
      <c r="B42" s="3194" t="s">
        <v>4006</v>
      </c>
      <c r="C42" s="3194" t="s">
        <v>5169</v>
      </c>
      <c r="D42" s="3194" t="s">
        <v>5170</v>
      </c>
      <c r="E42" s="3194" t="s">
        <v>4008</v>
      </c>
      <c r="F42" s="3194" t="s">
        <v>5171</v>
      </c>
      <c r="G42" s="3197">
        <v>2041</v>
      </c>
      <c r="H42" s="3194" t="s">
        <v>4051</v>
      </c>
      <c r="I42" s="3194" t="s">
        <v>5215</v>
      </c>
      <c r="J42" s="3194">
        <v>31.06</v>
      </c>
      <c r="K42" s="3219">
        <v>11.76</v>
      </c>
      <c r="L42" s="3222"/>
    </row>
    <row r="43" spans="1:12">
      <c r="A43" s="3190">
        <v>42</v>
      </c>
      <c r="B43" s="3194" t="s">
        <v>5173</v>
      </c>
      <c r="C43" s="3194" t="s">
        <v>4007</v>
      </c>
      <c r="D43" s="3194" t="s">
        <v>5170</v>
      </c>
      <c r="E43" s="3194" t="s">
        <v>5174</v>
      </c>
      <c r="F43" s="3194" t="s">
        <v>4009</v>
      </c>
      <c r="G43" s="3197">
        <v>2042</v>
      </c>
      <c r="H43" s="3194" t="s">
        <v>5216</v>
      </c>
      <c r="I43" s="3194" t="s">
        <v>4052</v>
      </c>
      <c r="J43" s="3194">
        <v>31.06</v>
      </c>
      <c r="K43" s="3219">
        <v>11.76</v>
      </c>
      <c r="L43" s="3222"/>
    </row>
    <row r="44" spans="1:12">
      <c r="A44" s="3190">
        <v>43</v>
      </c>
      <c r="B44" s="3194" t="s">
        <v>4006</v>
      </c>
      <c r="C44" s="3194" t="s">
        <v>5169</v>
      </c>
      <c r="D44" s="3194" t="s">
        <v>5170</v>
      </c>
      <c r="E44" s="3194" t="s">
        <v>4008</v>
      </c>
      <c r="F44" s="3194" t="s">
        <v>5171</v>
      </c>
      <c r="G44" s="3197">
        <v>2043</v>
      </c>
      <c r="H44" s="3194" t="s">
        <v>4053</v>
      </c>
      <c r="I44" s="3194" t="s">
        <v>5217</v>
      </c>
      <c r="J44" s="3194">
        <v>31.06</v>
      </c>
      <c r="K44" s="3219">
        <v>11.76</v>
      </c>
      <c r="L44" s="3222"/>
    </row>
    <row r="45" spans="1:12">
      <c r="A45" s="3190">
        <v>44</v>
      </c>
      <c r="B45" s="3194" t="s">
        <v>5173</v>
      </c>
      <c r="C45" s="3194" t="s">
        <v>4007</v>
      </c>
      <c r="D45" s="3194" t="s">
        <v>5170</v>
      </c>
      <c r="E45" s="3194" t="s">
        <v>5174</v>
      </c>
      <c r="F45" s="3194" t="s">
        <v>4009</v>
      </c>
      <c r="G45" s="3197">
        <v>2044</v>
      </c>
      <c r="H45" s="3194" t="s">
        <v>5218</v>
      </c>
      <c r="I45" s="3194" t="s">
        <v>4054</v>
      </c>
      <c r="J45" s="3194">
        <v>31.06</v>
      </c>
      <c r="K45" s="3219">
        <v>11.76</v>
      </c>
      <c r="L45" s="3222"/>
    </row>
    <row r="46" spans="1:12">
      <c r="A46" s="3190">
        <v>45</v>
      </c>
      <c r="B46" s="3194" t="s">
        <v>4006</v>
      </c>
      <c r="C46" s="3194" t="s">
        <v>5169</v>
      </c>
      <c r="D46" s="3194" t="s">
        <v>5170</v>
      </c>
      <c r="E46" s="3194" t="s">
        <v>4008</v>
      </c>
      <c r="F46" s="3194" t="s">
        <v>5171</v>
      </c>
      <c r="G46" s="3197">
        <v>2045</v>
      </c>
      <c r="H46" s="3194" t="s">
        <v>4055</v>
      </c>
      <c r="I46" s="3194" t="s">
        <v>5219</v>
      </c>
      <c r="J46" s="3194">
        <v>31.06</v>
      </c>
      <c r="K46" s="3219">
        <v>11.76</v>
      </c>
      <c r="L46" s="3222"/>
    </row>
    <row r="47" spans="1:12">
      <c r="A47" s="3190">
        <v>46</v>
      </c>
      <c r="B47" s="3194" t="s">
        <v>5173</v>
      </c>
      <c r="C47" s="3194" t="s">
        <v>4007</v>
      </c>
      <c r="D47" s="3194" t="s">
        <v>5170</v>
      </c>
      <c r="E47" s="3194" t="s">
        <v>5174</v>
      </c>
      <c r="F47" s="3194" t="s">
        <v>4009</v>
      </c>
      <c r="G47" s="3197">
        <v>2046</v>
      </c>
      <c r="H47" s="3194" t="s">
        <v>5220</v>
      </c>
      <c r="I47" s="3194" t="s">
        <v>4056</v>
      </c>
      <c r="J47" s="3194">
        <v>31.06</v>
      </c>
      <c r="K47" s="3219">
        <v>11.76</v>
      </c>
      <c r="L47" s="3222"/>
    </row>
    <row r="48" spans="1:12">
      <c r="A48" s="3190">
        <v>47</v>
      </c>
      <c r="B48" s="3194" t="s">
        <v>4006</v>
      </c>
      <c r="C48" s="3194" t="s">
        <v>5169</v>
      </c>
      <c r="D48" s="3194" t="s">
        <v>5170</v>
      </c>
      <c r="E48" s="3194" t="s">
        <v>4008</v>
      </c>
      <c r="F48" s="3194" t="s">
        <v>5171</v>
      </c>
      <c r="G48" s="3197">
        <v>2047</v>
      </c>
      <c r="H48" s="3194" t="s">
        <v>4057</v>
      </c>
      <c r="I48" s="3194" t="s">
        <v>5221</v>
      </c>
      <c r="J48" s="3194">
        <v>31.06</v>
      </c>
      <c r="K48" s="3219">
        <v>11.76</v>
      </c>
      <c r="L48" s="3222"/>
    </row>
    <row r="49" spans="1:12">
      <c r="A49" s="3190">
        <v>48</v>
      </c>
      <c r="B49" s="3194" t="s">
        <v>5173</v>
      </c>
      <c r="C49" s="3194" t="s">
        <v>4007</v>
      </c>
      <c r="D49" s="3194" t="s">
        <v>5170</v>
      </c>
      <c r="E49" s="3194" t="s">
        <v>5174</v>
      </c>
      <c r="F49" s="3194" t="s">
        <v>4009</v>
      </c>
      <c r="G49" s="3197">
        <v>2048</v>
      </c>
      <c r="H49" s="3194" t="s">
        <v>5222</v>
      </c>
      <c r="I49" s="3194" t="s">
        <v>4058</v>
      </c>
      <c r="J49" s="3194">
        <v>31.06</v>
      </c>
      <c r="K49" s="3219">
        <v>11.76</v>
      </c>
      <c r="L49" s="3222"/>
    </row>
    <row r="50" spans="1:12">
      <c r="A50" s="3190">
        <v>49</v>
      </c>
      <c r="B50" s="3194" t="s">
        <v>4006</v>
      </c>
      <c r="C50" s="3194" t="s">
        <v>5169</v>
      </c>
      <c r="D50" s="3194" t="s">
        <v>5170</v>
      </c>
      <c r="E50" s="3194" t="s">
        <v>4008</v>
      </c>
      <c r="F50" s="3193" t="s">
        <v>5208</v>
      </c>
      <c r="G50" s="3197">
        <v>2049</v>
      </c>
      <c r="H50" s="3194" t="s">
        <v>4059</v>
      </c>
      <c r="I50" s="3194" t="s">
        <v>5223</v>
      </c>
      <c r="J50" s="3194">
        <v>31.06</v>
      </c>
      <c r="K50" s="3219">
        <v>11.76</v>
      </c>
      <c r="L50" s="3222"/>
    </row>
    <row r="51" spans="1:12">
      <c r="A51" s="3190">
        <v>50</v>
      </c>
      <c r="B51" s="3194" t="s">
        <v>5173</v>
      </c>
      <c r="C51" s="3194" t="s">
        <v>4007</v>
      </c>
      <c r="D51" s="3194" t="s">
        <v>5170</v>
      </c>
      <c r="E51" s="3194" t="s">
        <v>5174</v>
      </c>
      <c r="F51" s="3194" t="s">
        <v>4009</v>
      </c>
      <c r="G51" s="3197">
        <v>2050</v>
      </c>
      <c r="H51" s="3194" t="s">
        <v>5224</v>
      </c>
      <c r="I51" s="3194" t="s">
        <v>4060</v>
      </c>
      <c r="J51" s="3194">
        <v>31.06</v>
      </c>
      <c r="K51" s="3219">
        <v>11.76</v>
      </c>
      <c r="L51" s="3222"/>
    </row>
    <row r="52" spans="1:12">
      <c r="A52" s="3190">
        <v>51</v>
      </c>
      <c r="B52" s="3194" t="s">
        <v>4006</v>
      </c>
      <c r="C52" s="3194" t="s">
        <v>5169</v>
      </c>
      <c r="D52" s="3194" t="s">
        <v>5170</v>
      </c>
      <c r="E52" s="3194" t="s">
        <v>4008</v>
      </c>
      <c r="F52" s="3193" t="s">
        <v>5208</v>
      </c>
      <c r="G52" s="3197">
        <v>2051</v>
      </c>
      <c r="H52" s="3194" t="s">
        <v>4061</v>
      </c>
      <c r="I52" s="3194" t="s">
        <v>5225</v>
      </c>
      <c r="J52" s="3194">
        <v>33.01</v>
      </c>
      <c r="K52" s="3219">
        <v>12.5</v>
      </c>
      <c r="L52" s="3222"/>
    </row>
    <row r="53" spans="1:12">
      <c r="A53" s="3190">
        <v>52</v>
      </c>
      <c r="B53" s="3194" t="s">
        <v>5173</v>
      </c>
      <c r="C53" s="3194" t="s">
        <v>4007</v>
      </c>
      <c r="D53" s="3194" t="s">
        <v>5170</v>
      </c>
      <c r="E53" s="3194" t="s">
        <v>5174</v>
      </c>
      <c r="F53" s="3194" t="s">
        <v>4009</v>
      </c>
      <c r="G53" s="3197">
        <v>2052</v>
      </c>
      <c r="H53" s="3194" t="s">
        <v>5226</v>
      </c>
      <c r="I53" s="3194" t="s">
        <v>4062</v>
      </c>
      <c r="J53" s="3194">
        <v>33.01</v>
      </c>
      <c r="K53" s="3219">
        <v>12.5</v>
      </c>
      <c r="L53" s="3222"/>
    </row>
    <row r="54" spans="1:12">
      <c r="A54" s="3190">
        <v>53</v>
      </c>
      <c r="B54" s="3194" t="s">
        <v>4006</v>
      </c>
      <c r="C54" s="3194" t="s">
        <v>5169</v>
      </c>
      <c r="D54" s="3194" t="s">
        <v>5170</v>
      </c>
      <c r="E54" s="3194" t="s">
        <v>4008</v>
      </c>
      <c r="F54" s="3194" t="s">
        <v>5171</v>
      </c>
      <c r="G54" s="3197">
        <v>2053</v>
      </c>
      <c r="H54" s="3194" t="s">
        <v>4063</v>
      </c>
      <c r="I54" s="3194" t="s">
        <v>5227</v>
      </c>
      <c r="J54" s="3194">
        <v>33.01</v>
      </c>
      <c r="K54" s="3219">
        <v>12.5</v>
      </c>
      <c r="L54" s="3222"/>
    </row>
    <row r="55" spans="1:12">
      <c r="A55" s="3190">
        <v>54</v>
      </c>
      <c r="B55" s="3194" t="s">
        <v>5173</v>
      </c>
      <c r="C55" s="3194" t="s">
        <v>4007</v>
      </c>
      <c r="D55" s="3194" t="s">
        <v>5170</v>
      </c>
      <c r="E55" s="3194" t="s">
        <v>5174</v>
      </c>
      <c r="F55" s="3194" t="s">
        <v>4009</v>
      </c>
      <c r="G55" s="3197">
        <v>2054</v>
      </c>
      <c r="H55" s="3194" t="s">
        <v>5228</v>
      </c>
      <c r="I55" s="3194" t="s">
        <v>4064</v>
      </c>
      <c r="J55" s="3194">
        <v>31.06</v>
      </c>
      <c r="K55" s="3219">
        <v>11.76</v>
      </c>
      <c r="L55" s="3222"/>
    </row>
    <row r="56" spans="1:12">
      <c r="A56" s="3190">
        <v>55</v>
      </c>
      <c r="B56" s="3194" t="s">
        <v>4006</v>
      </c>
      <c r="C56" s="3194" t="s">
        <v>5169</v>
      </c>
      <c r="D56" s="3194" t="s">
        <v>5170</v>
      </c>
      <c r="E56" s="3194" t="s">
        <v>4008</v>
      </c>
      <c r="F56" s="3194" t="s">
        <v>5171</v>
      </c>
      <c r="G56" s="3197">
        <v>2055</v>
      </c>
      <c r="H56" s="3194" t="s">
        <v>4065</v>
      </c>
      <c r="I56" s="3194" t="s">
        <v>5229</v>
      </c>
      <c r="J56" s="3194">
        <v>31.06</v>
      </c>
      <c r="K56" s="3219">
        <v>11.76</v>
      </c>
      <c r="L56" s="3222"/>
    </row>
    <row r="57" spans="1:12">
      <c r="A57" s="3190">
        <v>56</v>
      </c>
      <c r="B57" s="3194" t="s">
        <v>5173</v>
      </c>
      <c r="C57" s="3194" t="s">
        <v>4007</v>
      </c>
      <c r="D57" s="3194" t="s">
        <v>5170</v>
      </c>
      <c r="E57" s="3194" t="s">
        <v>5174</v>
      </c>
      <c r="F57" s="3194" t="s">
        <v>4009</v>
      </c>
      <c r="G57" s="3197">
        <v>2056</v>
      </c>
      <c r="H57" s="3194" t="s">
        <v>5230</v>
      </c>
      <c r="I57" s="3194" t="s">
        <v>4066</v>
      </c>
      <c r="J57" s="3194">
        <v>31.06</v>
      </c>
      <c r="K57" s="3219">
        <v>11.76</v>
      </c>
      <c r="L57" s="3222"/>
    </row>
    <row r="58" spans="1:12">
      <c r="A58" s="3190">
        <v>57</v>
      </c>
      <c r="B58" s="3194" t="s">
        <v>4006</v>
      </c>
      <c r="C58" s="3194" t="s">
        <v>5169</v>
      </c>
      <c r="D58" s="3194" t="s">
        <v>5170</v>
      </c>
      <c r="E58" s="3194" t="s">
        <v>4008</v>
      </c>
      <c r="F58" s="3194" t="s">
        <v>5171</v>
      </c>
      <c r="G58" s="3197">
        <v>2057</v>
      </c>
      <c r="H58" s="3194" t="s">
        <v>4067</v>
      </c>
      <c r="I58" s="3194" t="s">
        <v>5231</v>
      </c>
      <c r="J58" s="3194">
        <v>29.76</v>
      </c>
      <c r="K58" s="3219">
        <v>11.27</v>
      </c>
      <c r="L58" s="3222"/>
    </row>
    <row r="59" spans="1:12">
      <c r="A59" s="3190">
        <v>58</v>
      </c>
      <c r="B59" s="3194" t="s">
        <v>5173</v>
      </c>
      <c r="C59" s="3194" t="s">
        <v>4007</v>
      </c>
      <c r="D59" s="3194" t="s">
        <v>5170</v>
      </c>
      <c r="E59" s="3194" t="s">
        <v>5174</v>
      </c>
      <c r="F59" s="3194" t="s">
        <v>4009</v>
      </c>
      <c r="G59" s="3197">
        <v>2058</v>
      </c>
      <c r="H59" s="3194" t="s">
        <v>5232</v>
      </c>
      <c r="I59" s="3194" t="s">
        <v>4068</v>
      </c>
      <c r="J59" s="3194">
        <v>29.76</v>
      </c>
      <c r="K59" s="3219">
        <v>11.27</v>
      </c>
      <c r="L59" s="3222"/>
    </row>
    <row r="60" spans="1:12">
      <c r="A60" s="3190">
        <v>59</v>
      </c>
      <c r="B60" s="3194" t="s">
        <v>4006</v>
      </c>
      <c r="C60" s="3194" t="s">
        <v>5169</v>
      </c>
      <c r="D60" s="3194" t="s">
        <v>5170</v>
      </c>
      <c r="E60" s="3194" t="s">
        <v>4008</v>
      </c>
      <c r="F60" s="3194" t="s">
        <v>5171</v>
      </c>
      <c r="G60" s="3197">
        <v>2059</v>
      </c>
      <c r="H60" s="3194" t="s">
        <v>4069</v>
      </c>
      <c r="I60" s="3194" t="s">
        <v>5233</v>
      </c>
      <c r="J60" s="3194">
        <v>31.06</v>
      </c>
      <c r="K60" s="3219">
        <v>11.76</v>
      </c>
      <c r="L60" s="3222"/>
    </row>
    <row r="61" spans="1:12">
      <c r="A61" s="3190">
        <v>60</v>
      </c>
      <c r="B61" s="3194" t="s">
        <v>5173</v>
      </c>
      <c r="C61" s="3194" t="s">
        <v>4007</v>
      </c>
      <c r="D61" s="3194" t="s">
        <v>5170</v>
      </c>
      <c r="E61" s="3194" t="s">
        <v>5174</v>
      </c>
      <c r="F61" s="3194" t="s">
        <v>4009</v>
      </c>
      <c r="G61" s="3197">
        <v>2060</v>
      </c>
      <c r="H61" s="3194" t="s">
        <v>5234</v>
      </c>
      <c r="I61" s="3194" t="s">
        <v>4070</v>
      </c>
      <c r="J61" s="3194">
        <v>31.06</v>
      </c>
      <c r="K61" s="3219">
        <v>11.76</v>
      </c>
      <c r="L61" s="3222"/>
    </row>
    <row r="62" spans="1:12">
      <c r="A62" s="3190">
        <v>61</v>
      </c>
      <c r="B62" s="3194" t="s">
        <v>4006</v>
      </c>
      <c r="C62" s="3194" t="s">
        <v>5169</v>
      </c>
      <c r="D62" s="3194" t="s">
        <v>5170</v>
      </c>
      <c r="E62" s="3194" t="s">
        <v>4008</v>
      </c>
      <c r="F62" s="3194" t="s">
        <v>5171</v>
      </c>
      <c r="G62" s="3197">
        <v>2061</v>
      </c>
      <c r="H62" s="3194" t="s">
        <v>4071</v>
      </c>
      <c r="I62" s="3194" t="s">
        <v>5235</v>
      </c>
      <c r="J62" s="3194">
        <v>31.06</v>
      </c>
      <c r="K62" s="3219">
        <v>11.76</v>
      </c>
      <c r="L62" s="3222"/>
    </row>
    <row r="63" spans="1:12">
      <c r="A63" s="3190">
        <v>62</v>
      </c>
      <c r="B63" s="3194" t="s">
        <v>5173</v>
      </c>
      <c r="C63" s="3194" t="s">
        <v>4007</v>
      </c>
      <c r="D63" s="3194" t="s">
        <v>5170</v>
      </c>
      <c r="E63" s="3194" t="s">
        <v>5174</v>
      </c>
      <c r="F63" s="3194" t="s">
        <v>4009</v>
      </c>
      <c r="G63" s="3197">
        <v>2062</v>
      </c>
      <c r="H63" s="3194" t="s">
        <v>5236</v>
      </c>
      <c r="I63" s="3194" t="s">
        <v>4072</v>
      </c>
      <c r="J63" s="3194">
        <v>33.01</v>
      </c>
      <c r="K63" s="3219">
        <v>12.5</v>
      </c>
      <c r="L63" s="3222"/>
    </row>
    <row r="64" spans="1:12">
      <c r="A64" s="3190">
        <v>63</v>
      </c>
      <c r="B64" s="3194" t="s">
        <v>4006</v>
      </c>
      <c r="C64" s="3194" t="s">
        <v>5169</v>
      </c>
      <c r="D64" s="3194" t="s">
        <v>5170</v>
      </c>
      <c r="E64" s="3194" t="s">
        <v>4008</v>
      </c>
      <c r="F64" s="3194" t="s">
        <v>5171</v>
      </c>
      <c r="G64" s="3197">
        <v>2063</v>
      </c>
      <c r="H64" s="3194" t="s">
        <v>4073</v>
      </c>
      <c r="I64" s="3194" t="s">
        <v>5237</v>
      </c>
      <c r="J64" s="3194">
        <v>33.01</v>
      </c>
      <c r="K64" s="3219">
        <v>12.5</v>
      </c>
      <c r="L64" s="3222"/>
    </row>
    <row r="65" spans="1:12">
      <c r="A65" s="3190">
        <v>64</v>
      </c>
      <c r="B65" s="3194" t="s">
        <v>5173</v>
      </c>
      <c r="C65" s="3194" t="s">
        <v>4007</v>
      </c>
      <c r="D65" s="3194" t="s">
        <v>5170</v>
      </c>
      <c r="E65" s="3194" t="s">
        <v>5174</v>
      </c>
      <c r="F65" s="3193" t="s">
        <v>4041</v>
      </c>
      <c r="G65" s="3197">
        <v>2064</v>
      </c>
      <c r="H65" s="3194" t="s">
        <v>5238</v>
      </c>
      <c r="I65" s="3194" t="s">
        <v>4074</v>
      </c>
      <c r="J65" s="3194">
        <v>33.01</v>
      </c>
      <c r="K65" s="3219">
        <v>12.5</v>
      </c>
      <c r="L65" s="3222"/>
    </row>
    <row r="66" spans="1:12">
      <c r="A66" s="3190">
        <v>65</v>
      </c>
      <c r="B66" s="3194" t="s">
        <v>4006</v>
      </c>
      <c r="C66" s="3194" t="s">
        <v>5169</v>
      </c>
      <c r="D66" s="3194" t="s">
        <v>5170</v>
      </c>
      <c r="E66" s="3194" t="s">
        <v>4008</v>
      </c>
      <c r="F66" s="3194" t="s">
        <v>5171</v>
      </c>
      <c r="G66" s="3197">
        <v>2065</v>
      </c>
      <c r="H66" s="3194" t="s">
        <v>4075</v>
      </c>
      <c r="I66" s="3194" t="s">
        <v>5239</v>
      </c>
      <c r="J66" s="3194">
        <v>31.06</v>
      </c>
      <c r="K66" s="3219">
        <v>11.76</v>
      </c>
      <c r="L66" s="3222"/>
    </row>
    <row r="67" spans="1:12">
      <c r="A67" s="3190">
        <v>66</v>
      </c>
      <c r="B67" s="3194" t="s">
        <v>5173</v>
      </c>
      <c r="C67" s="3194" t="s">
        <v>4007</v>
      </c>
      <c r="D67" s="3194" t="s">
        <v>5170</v>
      </c>
      <c r="E67" s="3194" t="s">
        <v>5174</v>
      </c>
      <c r="F67" s="3193" t="s">
        <v>4041</v>
      </c>
      <c r="G67" s="3197">
        <v>2066</v>
      </c>
      <c r="H67" s="3194" t="s">
        <v>5240</v>
      </c>
      <c r="I67" s="3194" t="s">
        <v>4076</v>
      </c>
      <c r="J67" s="3194">
        <v>31.06</v>
      </c>
      <c r="K67" s="3219">
        <v>11.76</v>
      </c>
      <c r="L67" s="3222"/>
    </row>
    <row r="68" spans="1:12">
      <c r="A68" s="3190">
        <v>67</v>
      </c>
      <c r="B68" s="3194" t="s">
        <v>4006</v>
      </c>
      <c r="C68" s="3194" t="s">
        <v>5169</v>
      </c>
      <c r="D68" s="3194" t="s">
        <v>5170</v>
      </c>
      <c r="E68" s="3194" t="s">
        <v>4008</v>
      </c>
      <c r="F68" s="3194" t="s">
        <v>5171</v>
      </c>
      <c r="G68" s="3197">
        <v>2067</v>
      </c>
      <c r="H68" s="3194" t="s">
        <v>4077</v>
      </c>
      <c r="I68" s="3194" t="s">
        <v>5241</v>
      </c>
      <c r="J68" s="3194">
        <v>31.06</v>
      </c>
      <c r="K68" s="3219">
        <v>11.76</v>
      </c>
      <c r="L68" s="3222"/>
    </row>
    <row r="69" spans="1:12">
      <c r="A69" s="3190">
        <v>68</v>
      </c>
      <c r="B69" s="3194" t="s">
        <v>5173</v>
      </c>
      <c r="C69" s="3194" t="s">
        <v>4007</v>
      </c>
      <c r="D69" s="3194" t="s">
        <v>5170</v>
      </c>
      <c r="E69" s="3194" t="s">
        <v>5174</v>
      </c>
      <c r="F69" s="3194" t="s">
        <v>4009</v>
      </c>
      <c r="G69" s="3197">
        <v>2068</v>
      </c>
      <c r="H69" s="3194" t="s">
        <v>5242</v>
      </c>
      <c r="I69" s="3194" t="s">
        <v>4078</v>
      </c>
      <c r="J69" s="3194">
        <v>31.06</v>
      </c>
      <c r="K69" s="3219">
        <v>11.76</v>
      </c>
      <c r="L69" s="3222"/>
    </row>
    <row r="70" spans="1:12">
      <c r="A70" s="3190">
        <v>69</v>
      </c>
      <c r="B70" s="3194" t="s">
        <v>4006</v>
      </c>
      <c r="C70" s="3194" t="s">
        <v>5169</v>
      </c>
      <c r="D70" s="3194" t="s">
        <v>5170</v>
      </c>
      <c r="E70" s="3194" t="s">
        <v>4008</v>
      </c>
      <c r="F70" s="3194" t="s">
        <v>5171</v>
      </c>
      <c r="G70" s="3197">
        <v>2069</v>
      </c>
      <c r="H70" s="3194" t="s">
        <v>4079</v>
      </c>
      <c r="I70" s="3194" t="s">
        <v>5243</v>
      </c>
      <c r="J70" s="3194">
        <v>31.06</v>
      </c>
      <c r="K70" s="3219">
        <v>11.76</v>
      </c>
      <c r="L70" s="3222"/>
    </row>
    <row r="71" spans="1:12">
      <c r="A71" s="3190">
        <v>70</v>
      </c>
      <c r="B71" s="3194" t="s">
        <v>5173</v>
      </c>
      <c r="C71" s="3194" t="s">
        <v>4007</v>
      </c>
      <c r="D71" s="3194" t="s">
        <v>5170</v>
      </c>
      <c r="E71" s="3194" t="s">
        <v>5174</v>
      </c>
      <c r="F71" s="3194" t="s">
        <v>4009</v>
      </c>
      <c r="G71" s="3197">
        <v>2070</v>
      </c>
      <c r="H71" s="3194" t="s">
        <v>5244</v>
      </c>
      <c r="I71" s="3194" t="s">
        <v>4080</v>
      </c>
      <c r="J71" s="3194">
        <v>31.06</v>
      </c>
      <c r="K71" s="3219">
        <v>11.76</v>
      </c>
      <c r="L71" s="3222"/>
    </row>
    <row r="72" spans="1:12">
      <c r="A72" s="3190">
        <v>71</v>
      </c>
      <c r="B72" s="3194" t="s">
        <v>4006</v>
      </c>
      <c r="C72" s="3194" t="s">
        <v>5169</v>
      </c>
      <c r="D72" s="3194" t="s">
        <v>5170</v>
      </c>
      <c r="E72" s="3194" t="s">
        <v>4008</v>
      </c>
      <c r="F72" s="3194" t="s">
        <v>5171</v>
      </c>
      <c r="G72" s="3197">
        <v>2071</v>
      </c>
      <c r="H72" s="3194" t="s">
        <v>4081</v>
      </c>
      <c r="I72" s="3194" t="s">
        <v>5245</v>
      </c>
      <c r="J72" s="3194">
        <v>31.06</v>
      </c>
      <c r="K72" s="3219">
        <v>11.76</v>
      </c>
      <c r="L72" s="3222"/>
    </row>
    <row r="73" spans="1:12">
      <c r="A73" s="3190">
        <v>72</v>
      </c>
      <c r="B73" s="3194" t="s">
        <v>5173</v>
      </c>
      <c r="C73" s="3194" t="s">
        <v>4007</v>
      </c>
      <c r="D73" s="3194" t="s">
        <v>5170</v>
      </c>
      <c r="E73" s="3194" t="s">
        <v>5174</v>
      </c>
      <c r="F73" s="3194" t="s">
        <v>4009</v>
      </c>
      <c r="G73" s="3197">
        <v>2072</v>
      </c>
      <c r="H73" s="3194" t="s">
        <v>5246</v>
      </c>
      <c r="I73" s="3194" t="s">
        <v>4082</v>
      </c>
      <c r="J73" s="3194">
        <v>31.06</v>
      </c>
      <c r="K73" s="3219">
        <v>11.76</v>
      </c>
      <c r="L73" s="3222"/>
    </row>
    <row r="74" spans="1:12">
      <c r="A74" s="3190">
        <v>73</v>
      </c>
      <c r="B74" s="3194" t="s">
        <v>4006</v>
      </c>
      <c r="C74" s="3194" t="s">
        <v>5169</v>
      </c>
      <c r="D74" s="3194" t="s">
        <v>5170</v>
      </c>
      <c r="E74" s="3194" t="s">
        <v>4008</v>
      </c>
      <c r="F74" s="3194" t="s">
        <v>5171</v>
      </c>
      <c r="G74" s="3197">
        <v>2073</v>
      </c>
      <c r="H74" s="3194" t="s">
        <v>4083</v>
      </c>
      <c r="I74" s="3194" t="s">
        <v>5247</v>
      </c>
      <c r="J74" s="3194">
        <v>31.06</v>
      </c>
      <c r="K74" s="3219">
        <v>11.76</v>
      </c>
      <c r="L74" s="3222"/>
    </row>
    <row r="75" spans="1:12">
      <c r="A75" s="3190">
        <v>74</v>
      </c>
      <c r="B75" s="3194" t="s">
        <v>5173</v>
      </c>
      <c r="C75" s="3194" t="s">
        <v>4007</v>
      </c>
      <c r="D75" s="3194" t="s">
        <v>5170</v>
      </c>
      <c r="E75" s="3194" t="s">
        <v>5174</v>
      </c>
      <c r="F75" s="3194" t="s">
        <v>4009</v>
      </c>
      <c r="G75" s="3197">
        <v>2074</v>
      </c>
      <c r="H75" s="3194" t="s">
        <v>5248</v>
      </c>
      <c r="I75" s="3194" t="s">
        <v>4084</v>
      </c>
      <c r="J75" s="3194">
        <v>31.06</v>
      </c>
      <c r="K75" s="3219">
        <v>11.76</v>
      </c>
      <c r="L75" s="3222"/>
    </row>
    <row r="76" spans="1:12">
      <c r="A76" s="3190">
        <v>75</v>
      </c>
      <c r="B76" s="3194" t="s">
        <v>4006</v>
      </c>
      <c r="C76" s="3194" t="s">
        <v>5169</v>
      </c>
      <c r="D76" s="3194" t="s">
        <v>5170</v>
      </c>
      <c r="E76" s="3194" t="s">
        <v>4008</v>
      </c>
      <c r="F76" s="3194" t="s">
        <v>5171</v>
      </c>
      <c r="G76" s="3197">
        <v>2075</v>
      </c>
      <c r="H76" s="3194" t="s">
        <v>4085</v>
      </c>
      <c r="I76" s="3194" t="s">
        <v>5249</v>
      </c>
      <c r="J76" s="3194">
        <v>31.06</v>
      </c>
      <c r="K76" s="3219">
        <v>11.76</v>
      </c>
      <c r="L76" s="3222"/>
    </row>
    <row r="77" spans="1:12">
      <c r="A77" s="3190">
        <v>76</v>
      </c>
      <c r="B77" s="3194" t="s">
        <v>5173</v>
      </c>
      <c r="C77" s="3194" t="s">
        <v>4007</v>
      </c>
      <c r="D77" s="3194" t="s">
        <v>5170</v>
      </c>
      <c r="E77" s="3194" t="s">
        <v>5174</v>
      </c>
      <c r="F77" s="3194" t="s">
        <v>4009</v>
      </c>
      <c r="G77" s="3197">
        <v>2076</v>
      </c>
      <c r="H77" s="3194" t="s">
        <v>5250</v>
      </c>
      <c r="I77" s="3194" t="s">
        <v>4086</v>
      </c>
      <c r="J77" s="3194">
        <v>31.06</v>
      </c>
      <c r="K77" s="3219">
        <v>11.76</v>
      </c>
      <c r="L77" s="3222"/>
    </row>
    <row r="78" spans="1:12">
      <c r="A78" s="3200">
        <v>77</v>
      </c>
      <c r="B78" s="3201" t="s">
        <v>4006</v>
      </c>
      <c r="C78" s="3201" t="s">
        <v>5169</v>
      </c>
      <c r="D78" s="3201" t="s">
        <v>5170</v>
      </c>
      <c r="E78" s="3201" t="s">
        <v>4008</v>
      </c>
      <c r="F78" s="3201" t="s">
        <v>5171</v>
      </c>
      <c r="G78" s="3202">
        <v>2077</v>
      </c>
      <c r="H78" s="3201" t="s">
        <v>4087</v>
      </c>
      <c r="I78" s="3201" t="s">
        <v>5251</v>
      </c>
      <c r="J78" s="3201">
        <v>25.88</v>
      </c>
      <c r="K78" s="3220">
        <v>9.8000000000000007</v>
      </c>
      <c r="L78" s="3223"/>
    </row>
    <row r="79" spans="1:12">
      <c r="A79" s="3190">
        <v>78</v>
      </c>
      <c r="B79" s="3194" t="s">
        <v>5173</v>
      </c>
      <c r="C79" s="3194" t="s">
        <v>4007</v>
      </c>
      <c r="D79" s="3194" t="s">
        <v>5170</v>
      </c>
      <c r="E79" s="3194" t="s">
        <v>5174</v>
      </c>
      <c r="F79" s="3194" t="s">
        <v>4009</v>
      </c>
      <c r="G79" s="3197">
        <v>2078</v>
      </c>
      <c r="H79" s="3194" t="s">
        <v>5252</v>
      </c>
      <c r="I79" s="3194" t="s">
        <v>4088</v>
      </c>
      <c r="J79" s="3194">
        <v>31.06</v>
      </c>
      <c r="K79" s="3219">
        <v>11.76</v>
      </c>
      <c r="L79" s="3222"/>
    </row>
    <row r="80" spans="1:12">
      <c r="A80" s="3190">
        <v>79</v>
      </c>
      <c r="B80" s="3194" t="s">
        <v>4006</v>
      </c>
      <c r="C80" s="3194" t="s">
        <v>5169</v>
      </c>
      <c r="D80" s="3194" t="s">
        <v>5170</v>
      </c>
      <c r="E80" s="3194" t="s">
        <v>4008</v>
      </c>
      <c r="F80" s="3194" t="s">
        <v>5171</v>
      </c>
      <c r="G80" s="3197">
        <v>2079</v>
      </c>
      <c r="H80" s="3194" t="s">
        <v>4089</v>
      </c>
      <c r="I80" s="3194" t="s">
        <v>5253</v>
      </c>
      <c r="J80" s="3194">
        <v>31.06</v>
      </c>
      <c r="K80" s="3219">
        <v>11.76</v>
      </c>
      <c r="L80" s="3222"/>
    </row>
    <row r="81" spans="1:12">
      <c r="A81" s="3190">
        <v>80</v>
      </c>
      <c r="B81" s="3194" t="s">
        <v>5173</v>
      </c>
      <c r="C81" s="3194" t="s">
        <v>4007</v>
      </c>
      <c r="D81" s="3194" t="s">
        <v>5170</v>
      </c>
      <c r="E81" s="3194" t="s">
        <v>5174</v>
      </c>
      <c r="F81" s="3194" t="s">
        <v>4009</v>
      </c>
      <c r="G81" s="3197">
        <v>2080</v>
      </c>
      <c r="H81" s="3194" t="s">
        <v>5254</v>
      </c>
      <c r="I81" s="3194" t="s">
        <v>4090</v>
      </c>
      <c r="J81" s="3194">
        <v>31.06</v>
      </c>
      <c r="K81" s="3219">
        <v>11.76</v>
      </c>
      <c r="L81" s="3222"/>
    </row>
    <row r="82" spans="1:12">
      <c r="A82" s="3190">
        <v>81</v>
      </c>
      <c r="B82" s="3194" t="s">
        <v>4006</v>
      </c>
      <c r="C82" s="3194" t="s">
        <v>5169</v>
      </c>
      <c r="D82" s="3194" t="s">
        <v>5170</v>
      </c>
      <c r="E82" s="3194" t="s">
        <v>4008</v>
      </c>
      <c r="F82" s="3194" t="s">
        <v>5171</v>
      </c>
      <c r="G82" s="3197">
        <v>2081</v>
      </c>
      <c r="H82" s="3194" t="s">
        <v>4091</v>
      </c>
      <c r="I82" s="3194" t="s">
        <v>5255</v>
      </c>
      <c r="J82" s="3194">
        <v>31.06</v>
      </c>
      <c r="K82" s="3219">
        <v>11.76</v>
      </c>
      <c r="L82" s="3222"/>
    </row>
    <row r="83" spans="1:12">
      <c r="A83" s="3190">
        <v>82</v>
      </c>
      <c r="B83" s="3194" t="s">
        <v>5173</v>
      </c>
      <c r="C83" s="3194" t="s">
        <v>4007</v>
      </c>
      <c r="D83" s="3194" t="s">
        <v>5170</v>
      </c>
      <c r="E83" s="3194" t="s">
        <v>5174</v>
      </c>
      <c r="F83" s="3194" t="s">
        <v>4009</v>
      </c>
      <c r="G83" s="3197">
        <v>2082</v>
      </c>
      <c r="H83" s="3194" t="s">
        <v>5256</v>
      </c>
      <c r="I83" s="3194" t="s">
        <v>4092</v>
      </c>
      <c r="J83" s="3194">
        <v>31.06</v>
      </c>
      <c r="K83" s="3219">
        <v>11.76</v>
      </c>
      <c r="L83" s="3222"/>
    </row>
    <row r="84" spans="1:12">
      <c r="A84" s="3190">
        <v>83</v>
      </c>
      <c r="B84" s="3194" t="s">
        <v>4006</v>
      </c>
      <c r="C84" s="3194" t="s">
        <v>5169</v>
      </c>
      <c r="D84" s="3194" t="s">
        <v>5170</v>
      </c>
      <c r="E84" s="3194" t="s">
        <v>4008</v>
      </c>
      <c r="F84" s="3194" t="s">
        <v>5171</v>
      </c>
      <c r="G84" s="3197">
        <v>2083</v>
      </c>
      <c r="H84" s="3194" t="s">
        <v>4093</v>
      </c>
      <c r="I84" s="3194" t="s">
        <v>5257</v>
      </c>
      <c r="J84" s="3194">
        <v>31.06</v>
      </c>
      <c r="K84" s="3219">
        <v>11.76</v>
      </c>
      <c r="L84" s="3222"/>
    </row>
    <row r="85" spans="1:12">
      <c r="A85" s="3190">
        <v>84</v>
      </c>
      <c r="B85" s="3194" t="s">
        <v>5173</v>
      </c>
      <c r="C85" s="3194" t="s">
        <v>4007</v>
      </c>
      <c r="D85" s="3194" t="s">
        <v>5170</v>
      </c>
      <c r="E85" s="3194" t="s">
        <v>5174</v>
      </c>
      <c r="F85" s="3194" t="s">
        <v>4009</v>
      </c>
      <c r="G85" s="3197">
        <v>2084</v>
      </c>
      <c r="H85" s="3194" t="s">
        <v>5258</v>
      </c>
      <c r="I85" s="3194" t="s">
        <v>4094</v>
      </c>
      <c r="J85" s="3194">
        <v>31.06</v>
      </c>
      <c r="K85" s="3219">
        <v>11.76</v>
      </c>
      <c r="L85" s="3222"/>
    </row>
    <row r="86" spans="1:12">
      <c r="A86" s="3190">
        <v>85</v>
      </c>
      <c r="B86" s="3194" t="s">
        <v>4006</v>
      </c>
      <c r="C86" s="3194" t="s">
        <v>5169</v>
      </c>
      <c r="D86" s="3194" t="s">
        <v>5170</v>
      </c>
      <c r="E86" s="3194" t="s">
        <v>4008</v>
      </c>
      <c r="F86" s="3194" t="s">
        <v>5171</v>
      </c>
      <c r="G86" s="3197">
        <v>2085</v>
      </c>
      <c r="H86" s="3194" t="s">
        <v>4095</v>
      </c>
      <c r="I86" s="3194" t="s">
        <v>5259</v>
      </c>
      <c r="J86" s="3194">
        <v>31.06</v>
      </c>
      <c r="K86" s="3219">
        <v>11.76</v>
      </c>
      <c r="L86" s="3222"/>
    </row>
    <row r="87" spans="1:12">
      <c r="A87" s="3190">
        <v>86</v>
      </c>
      <c r="B87" s="3194" t="s">
        <v>5173</v>
      </c>
      <c r="C87" s="3194" t="s">
        <v>4007</v>
      </c>
      <c r="D87" s="3194" t="s">
        <v>5170</v>
      </c>
      <c r="E87" s="3194" t="s">
        <v>5174</v>
      </c>
      <c r="F87" s="3194" t="s">
        <v>4009</v>
      </c>
      <c r="G87" s="3197">
        <v>2086</v>
      </c>
      <c r="H87" s="3194" t="s">
        <v>5260</v>
      </c>
      <c r="I87" s="3194" t="s">
        <v>4096</v>
      </c>
      <c r="J87" s="3194">
        <v>31.06</v>
      </c>
      <c r="K87" s="3219">
        <v>11.76</v>
      </c>
      <c r="L87" s="3222"/>
    </row>
    <row r="88" spans="1:12">
      <c r="A88" s="3190">
        <v>87</v>
      </c>
      <c r="B88" s="3194" t="s">
        <v>4006</v>
      </c>
      <c r="C88" s="3194" t="s">
        <v>5169</v>
      </c>
      <c r="D88" s="3194" t="s">
        <v>5170</v>
      </c>
      <c r="E88" s="3194" t="s">
        <v>4008</v>
      </c>
      <c r="F88" s="3194" t="s">
        <v>5171</v>
      </c>
      <c r="G88" s="3197">
        <v>2087</v>
      </c>
      <c r="H88" s="3194" t="s">
        <v>4097</v>
      </c>
      <c r="I88" s="3194" t="s">
        <v>5261</v>
      </c>
      <c r="J88" s="3194">
        <v>33.01</v>
      </c>
      <c r="K88" s="3219">
        <v>12.5</v>
      </c>
      <c r="L88" s="3222"/>
    </row>
    <row r="89" spans="1:12">
      <c r="A89" s="3190">
        <v>88</v>
      </c>
      <c r="B89" s="3194" t="s">
        <v>5173</v>
      </c>
      <c r="C89" s="3194" t="s">
        <v>4007</v>
      </c>
      <c r="D89" s="3194" t="s">
        <v>5170</v>
      </c>
      <c r="E89" s="3194" t="s">
        <v>5174</v>
      </c>
      <c r="F89" s="3194" t="s">
        <v>4009</v>
      </c>
      <c r="G89" s="3197">
        <v>2088</v>
      </c>
      <c r="H89" s="3194" t="s">
        <v>5262</v>
      </c>
      <c r="I89" s="3194" t="s">
        <v>4098</v>
      </c>
      <c r="J89" s="3194">
        <v>33.01</v>
      </c>
      <c r="K89" s="3219">
        <v>12.5</v>
      </c>
      <c r="L89" s="3222"/>
    </row>
    <row r="90" spans="1:12">
      <c r="A90" s="3190">
        <v>89</v>
      </c>
      <c r="B90" s="3194" t="s">
        <v>4006</v>
      </c>
      <c r="C90" s="3194" t="s">
        <v>5169</v>
      </c>
      <c r="D90" s="3194" t="s">
        <v>5170</v>
      </c>
      <c r="E90" s="3194" t="s">
        <v>4008</v>
      </c>
      <c r="F90" s="3194" t="s">
        <v>5171</v>
      </c>
      <c r="G90" s="3197">
        <v>2089</v>
      </c>
      <c r="H90" s="3194" t="s">
        <v>4099</v>
      </c>
      <c r="I90" s="3194" t="s">
        <v>5263</v>
      </c>
      <c r="J90" s="3194">
        <v>33.01</v>
      </c>
      <c r="K90" s="3219">
        <v>12.5</v>
      </c>
      <c r="L90" s="3222"/>
    </row>
    <row r="91" spans="1:12">
      <c r="A91" s="3190">
        <v>90</v>
      </c>
      <c r="B91" s="3194" t="s">
        <v>5173</v>
      </c>
      <c r="C91" s="3194" t="s">
        <v>4007</v>
      </c>
      <c r="D91" s="3194" t="s">
        <v>5170</v>
      </c>
      <c r="E91" s="3194" t="s">
        <v>5174</v>
      </c>
      <c r="F91" s="3194" t="s">
        <v>4009</v>
      </c>
      <c r="G91" s="3197">
        <v>2090</v>
      </c>
      <c r="H91" s="3194" t="s">
        <v>5264</v>
      </c>
      <c r="I91" s="3199" t="s">
        <v>4100</v>
      </c>
      <c r="J91" s="3194">
        <v>31.06</v>
      </c>
      <c r="K91" s="3219">
        <v>11.76</v>
      </c>
      <c r="L91" s="3222"/>
    </row>
    <row r="92" spans="1:12">
      <c r="A92" s="3190">
        <v>91</v>
      </c>
      <c r="B92" s="3194" t="s">
        <v>4006</v>
      </c>
      <c r="C92" s="3194" t="s">
        <v>5169</v>
      </c>
      <c r="D92" s="3194" t="s">
        <v>5170</v>
      </c>
      <c r="E92" s="3194" t="s">
        <v>4008</v>
      </c>
      <c r="F92" s="3194" t="s">
        <v>5171</v>
      </c>
      <c r="G92" s="3197">
        <v>2091</v>
      </c>
      <c r="H92" s="3194" t="s">
        <v>4101</v>
      </c>
      <c r="I92" s="3194" t="s">
        <v>5265</v>
      </c>
      <c r="J92" s="3194">
        <v>31.06</v>
      </c>
      <c r="K92" s="3219">
        <v>11.76</v>
      </c>
      <c r="L92" s="3222"/>
    </row>
    <row r="93" spans="1:12">
      <c r="A93" s="3190">
        <v>92</v>
      </c>
      <c r="B93" s="3194" t="s">
        <v>5173</v>
      </c>
      <c r="C93" s="3194" t="s">
        <v>4007</v>
      </c>
      <c r="D93" s="3194" t="s">
        <v>5170</v>
      </c>
      <c r="E93" s="3194" t="s">
        <v>5174</v>
      </c>
      <c r="F93" s="3194" t="s">
        <v>4009</v>
      </c>
      <c r="G93" s="3197">
        <v>2092</v>
      </c>
      <c r="H93" s="3194" t="s">
        <v>5266</v>
      </c>
      <c r="I93" s="3194" t="s">
        <v>4102</v>
      </c>
      <c r="J93" s="3194">
        <v>31.06</v>
      </c>
      <c r="K93" s="3219">
        <v>11.76</v>
      </c>
      <c r="L93" s="3222"/>
    </row>
    <row r="94" spans="1:12">
      <c r="A94" s="3190">
        <v>93</v>
      </c>
      <c r="B94" s="3194" t="s">
        <v>4006</v>
      </c>
      <c r="C94" s="3194" t="s">
        <v>5169</v>
      </c>
      <c r="D94" s="3194" t="s">
        <v>5170</v>
      </c>
      <c r="E94" s="3194" t="s">
        <v>4008</v>
      </c>
      <c r="F94" s="3194" t="s">
        <v>5171</v>
      </c>
      <c r="G94" s="3197">
        <v>2093</v>
      </c>
      <c r="H94" s="3194" t="s">
        <v>4103</v>
      </c>
      <c r="I94" s="3194" t="s">
        <v>5267</v>
      </c>
      <c r="J94" s="3194">
        <v>29.76</v>
      </c>
      <c r="K94" s="3219">
        <v>11.27</v>
      </c>
      <c r="L94" s="3222"/>
    </row>
    <row r="95" spans="1:12">
      <c r="A95" s="3190">
        <v>94</v>
      </c>
      <c r="B95" s="3194" t="s">
        <v>5173</v>
      </c>
      <c r="C95" s="3194" t="s">
        <v>4007</v>
      </c>
      <c r="D95" s="3194" t="s">
        <v>5170</v>
      </c>
      <c r="E95" s="3194" t="s">
        <v>5174</v>
      </c>
      <c r="F95" s="3194" t="s">
        <v>4009</v>
      </c>
      <c r="G95" s="3197">
        <v>2094</v>
      </c>
      <c r="H95" s="3194" t="s">
        <v>5268</v>
      </c>
      <c r="I95" s="3194" t="s">
        <v>4104</v>
      </c>
      <c r="J95" s="3194">
        <v>29.76</v>
      </c>
      <c r="K95" s="3219">
        <v>11.27</v>
      </c>
      <c r="L95" s="3222"/>
    </row>
    <row r="96" spans="1:12">
      <c r="A96" s="3190">
        <v>95</v>
      </c>
      <c r="B96" s="3194" t="s">
        <v>4006</v>
      </c>
      <c r="C96" s="3194" t="s">
        <v>5169</v>
      </c>
      <c r="D96" s="3194" t="s">
        <v>5170</v>
      </c>
      <c r="E96" s="3194" t="s">
        <v>4008</v>
      </c>
      <c r="F96" s="3194" t="s">
        <v>5171</v>
      </c>
      <c r="G96" s="3197">
        <v>2095</v>
      </c>
      <c r="H96" s="3194" t="s">
        <v>4105</v>
      </c>
      <c r="I96" s="3194" t="s">
        <v>5269</v>
      </c>
      <c r="J96" s="3194">
        <v>31.06</v>
      </c>
      <c r="K96" s="3219">
        <v>11.76</v>
      </c>
      <c r="L96" s="3222"/>
    </row>
    <row r="97" spans="1:12">
      <c r="A97" s="3190">
        <v>96</v>
      </c>
      <c r="B97" s="3194" t="s">
        <v>5173</v>
      </c>
      <c r="C97" s="3194" t="s">
        <v>4007</v>
      </c>
      <c r="D97" s="3194" t="s">
        <v>5170</v>
      </c>
      <c r="E97" s="3194" t="s">
        <v>5174</v>
      </c>
      <c r="F97" s="3194" t="s">
        <v>4009</v>
      </c>
      <c r="G97" s="3197">
        <v>2096</v>
      </c>
      <c r="H97" s="3194" t="s">
        <v>5270</v>
      </c>
      <c r="I97" s="3194" t="s">
        <v>4106</v>
      </c>
      <c r="J97" s="3194">
        <v>31.06</v>
      </c>
      <c r="K97" s="3219">
        <v>11.76</v>
      </c>
      <c r="L97" s="3222"/>
    </row>
    <row r="98" spans="1:12">
      <c r="A98" s="3190">
        <v>97</v>
      </c>
      <c r="B98" s="3194" t="s">
        <v>4006</v>
      </c>
      <c r="C98" s="3194" t="s">
        <v>5169</v>
      </c>
      <c r="D98" s="3194" t="s">
        <v>5170</v>
      </c>
      <c r="E98" s="3194" t="s">
        <v>4008</v>
      </c>
      <c r="F98" s="3194" t="s">
        <v>5171</v>
      </c>
      <c r="G98" s="3197">
        <v>2097</v>
      </c>
      <c r="H98" s="3194" t="s">
        <v>4107</v>
      </c>
      <c r="I98" s="3194" t="s">
        <v>5271</v>
      </c>
      <c r="J98" s="3194">
        <v>31.06</v>
      </c>
      <c r="K98" s="3219">
        <v>11.76</v>
      </c>
      <c r="L98" s="3222"/>
    </row>
    <row r="99" spans="1:12">
      <c r="A99" s="3190">
        <v>98</v>
      </c>
      <c r="B99" s="3194" t="s">
        <v>5173</v>
      </c>
      <c r="C99" s="3194" t="s">
        <v>4007</v>
      </c>
      <c r="D99" s="3194" t="s">
        <v>5170</v>
      </c>
      <c r="E99" s="3194" t="s">
        <v>5174</v>
      </c>
      <c r="F99" s="3194" t="s">
        <v>4009</v>
      </c>
      <c r="G99" s="3197">
        <v>2098</v>
      </c>
      <c r="H99" s="3194" t="s">
        <v>5272</v>
      </c>
      <c r="I99" s="3194" t="s">
        <v>4108</v>
      </c>
      <c r="J99" s="3194">
        <v>33.01</v>
      </c>
      <c r="K99" s="3219">
        <v>12.5</v>
      </c>
      <c r="L99" s="3222"/>
    </row>
    <row r="100" spans="1:12">
      <c r="A100" s="3190">
        <v>99</v>
      </c>
      <c r="B100" s="3194" t="s">
        <v>4006</v>
      </c>
      <c r="C100" s="3194" t="s">
        <v>5169</v>
      </c>
      <c r="D100" s="3194" t="s">
        <v>5170</v>
      </c>
      <c r="E100" s="3194" t="s">
        <v>4008</v>
      </c>
      <c r="F100" s="3194" t="s">
        <v>5171</v>
      </c>
      <c r="G100" s="3197">
        <v>2099</v>
      </c>
      <c r="H100" s="3194" t="s">
        <v>4109</v>
      </c>
      <c r="I100" s="3194" t="s">
        <v>5273</v>
      </c>
      <c r="J100" s="3194">
        <v>33.01</v>
      </c>
      <c r="K100" s="3219">
        <v>12.5</v>
      </c>
      <c r="L100" s="3222"/>
    </row>
    <row r="101" spans="1:12">
      <c r="A101" s="3190">
        <v>100</v>
      </c>
      <c r="B101" s="3194" t="s">
        <v>5173</v>
      </c>
      <c r="C101" s="3194" t="s">
        <v>4007</v>
      </c>
      <c r="D101" s="3194" t="s">
        <v>5170</v>
      </c>
      <c r="E101" s="3194" t="s">
        <v>5174</v>
      </c>
      <c r="F101" s="3194" t="s">
        <v>4009</v>
      </c>
      <c r="G101" s="3197">
        <v>2100</v>
      </c>
      <c r="H101" s="3194" t="s">
        <v>5274</v>
      </c>
      <c r="I101" s="3194" t="s">
        <v>4110</v>
      </c>
      <c r="J101" s="3194">
        <v>33.01</v>
      </c>
      <c r="K101" s="3219">
        <v>12.5</v>
      </c>
      <c r="L101" s="3222"/>
    </row>
    <row r="102" spans="1:12">
      <c r="A102" s="3190">
        <v>101</v>
      </c>
      <c r="B102" s="3194" t="s">
        <v>4006</v>
      </c>
      <c r="C102" s="3194" t="s">
        <v>5169</v>
      </c>
      <c r="D102" s="3194" t="s">
        <v>5170</v>
      </c>
      <c r="E102" s="3194" t="s">
        <v>4008</v>
      </c>
      <c r="F102" s="3194" t="s">
        <v>5171</v>
      </c>
      <c r="G102" s="3197">
        <v>2101</v>
      </c>
      <c r="H102" s="3194" t="s">
        <v>4111</v>
      </c>
      <c r="I102" s="3194" t="s">
        <v>5275</v>
      </c>
      <c r="J102" s="3194">
        <v>31.06</v>
      </c>
      <c r="K102" s="3219">
        <v>11.76</v>
      </c>
      <c r="L102" s="3222"/>
    </row>
    <row r="103" spans="1:12">
      <c r="A103" s="3190">
        <v>102</v>
      </c>
      <c r="B103" s="3194" t="s">
        <v>5173</v>
      </c>
      <c r="C103" s="3194" t="s">
        <v>4007</v>
      </c>
      <c r="D103" s="3194" t="s">
        <v>5170</v>
      </c>
      <c r="E103" s="3194" t="s">
        <v>5174</v>
      </c>
      <c r="F103" s="3194" t="s">
        <v>4009</v>
      </c>
      <c r="G103" s="3197">
        <v>2102</v>
      </c>
      <c r="H103" s="3194" t="s">
        <v>5276</v>
      </c>
      <c r="I103" s="3194" t="s">
        <v>4112</v>
      </c>
      <c r="J103" s="3194">
        <v>31.06</v>
      </c>
      <c r="K103" s="3219">
        <v>11.76</v>
      </c>
      <c r="L103" s="3222"/>
    </row>
    <row r="104" spans="1:12">
      <c r="A104" s="3190">
        <v>103</v>
      </c>
      <c r="B104" s="3194" t="s">
        <v>4006</v>
      </c>
      <c r="C104" s="3194" t="s">
        <v>5169</v>
      </c>
      <c r="D104" s="3194" t="s">
        <v>5170</v>
      </c>
      <c r="E104" s="3194" t="s">
        <v>4008</v>
      </c>
      <c r="F104" s="3194" t="s">
        <v>5171</v>
      </c>
      <c r="G104" s="3197">
        <v>2103</v>
      </c>
      <c r="H104" s="3194" t="s">
        <v>4113</v>
      </c>
      <c r="I104" s="3194" t="s">
        <v>5277</v>
      </c>
      <c r="J104" s="3194">
        <v>31.06</v>
      </c>
      <c r="K104" s="3219">
        <v>11.76</v>
      </c>
      <c r="L104" s="3222"/>
    </row>
    <row r="105" spans="1:12">
      <c r="A105" s="3190">
        <v>104</v>
      </c>
      <c r="B105" s="3194" t="s">
        <v>5173</v>
      </c>
      <c r="C105" s="3194" t="s">
        <v>4007</v>
      </c>
      <c r="D105" s="3194" t="s">
        <v>5170</v>
      </c>
      <c r="E105" s="3194" t="s">
        <v>5174</v>
      </c>
      <c r="F105" s="3194" t="s">
        <v>4009</v>
      </c>
      <c r="G105" s="3197">
        <v>2104</v>
      </c>
      <c r="H105" s="3194" t="s">
        <v>5278</v>
      </c>
      <c r="I105" s="3194" t="s">
        <v>4114</v>
      </c>
      <c r="J105" s="3194">
        <v>31.06</v>
      </c>
      <c r="K105" s="3219">
        <v>11.76</v>
      </c>
      <c r="L105" s="3222"/>
    </row>
    <row r="106" spans="1:12">
      <c r="A106" s="3190">
        <v>105</v>
      </c>
      <c r="B106" s="3194" t="s">
        <v>4006</v>
      </c>
      <c r="C106" s="3194" t="s">
        <v>5169</v>
      </c>
      <c r="D106" s="3194" t="s">
        <v>5170</v>
      </c>
      <c r="E106" s="3194" t="s">
        <v>4008</v>
      </c>
      <c r="F106" s="3194" t="s">
        <v>5171</v>
      </c>
      <c r="G106" s="3197">
        <v>2105</v>
      </c>
      <c r="H106" s="3194" t="s">
        <v>4115</v>
      </c>
      <c r="I106" s="3194" t="s">
        <v>5279</v>
      </c>
      <c r="J106" s="3194">
        <v>31.06</v>
      </c>
      <c r="K106" s="3219">
        <v>11.76</v>
      </c>
      <c r="L106" s="3222"/>
    </row>
    <row r="107" spans="1:12">
      <c r="A107" s="3190">
        <v>106</v>
      </c>
      <c r="B107" s="3194" t="s">
        <v>5173</v>
      </c>
      <c r="C107" s="3194" t="s">
        <v>4007</v>
      </c>
      <c r="D107" s="3194" t="s">
        <v>5170</v>
      </c>
      <c r="E107" s="3194" t="s">
        <v>5174</v>
      </c>
      <c r="F107" s="3194" t="s">
        <v>4009</v>
      </c>
      <c r="G107" s="3197">
        <v>2106</v>
      </c>
      <c r="H107" s="3194" t="s">
        <v>5280</v>
      </c>
      <c r="I107" s="3194" t="s">
        <v>4116</v>
      </c>
      <c r="J107" s="3194">
        <v>31.06</v>
      </c>
      <c r="K107" s="3219">
        <v>11.76</v>
      </c>
      <c r="L107" s="3222"/>
    </row>
    <row r="108" spans="1:12">
      <c r="A108" s="3190">
        <v>107</v>
      </c>
      <c r="B108" s="3194" t="s">
        <v>4006</v>
      </c>
      <c r="C108" s="3194" t="s">
        <v>5169</v>
      </c>
      <c r="D108" s="3194" t="s">
        <v>5170</v>
      </c>
      <c r="E108" s="3194" t="s">
        <v>4008</v>
      </c>
      <c r="F108" s="3194" t="s">
        <v>5171</v>
      </c>
      <c r="G108" s="3197">
        <v>2107</v>
      </c>
      <c r="H108" s="3194" t="s">
        <v>4117</v>
      </c>
      <c r="I108" s="3194" t="s">
        <v>5281</v>
      </c>
      <c r="J108" s="3194">
        <v>31.06</v>
      </c>
      <c r="K108" s="3219">
        <v>11.76</v>
      </c>
      <c r="L108" s="3222"/>
    </row>
    <row r="109" spans="1:12">
      <c r="A109" s="3190">
        <v>108</v>
      </c>
      <c r="B109" s="3194" t="s">
        <v>5173</v>
      </c>
      <c r="C109" s="3194" t="s">
        <v>4007</v>
      </c>
      <c r="D109" s="3194" t="s">
        <v>5170</v>
      </c>
      <c r="E109" s="3194" t="s">
        <v>5174</v>
      </c>
      <c r="F109" s="3194" t="s">
        <v>4009</v>
      </c>
      <c r="G109" s="3197">
        <v>2108</v>
      </c>
      <c r="H109" s="3194" t="s">
        <v>5282</v>
      </c>
      <c r="I109" s="3194" t="s">
        <v>4118</v>
      </c>
      <c r="J109" s="3194">
        <v>31.06</v>
      </c>
      <c r="K109" s="3219">
        <v>11.76</v>
      </c>
      <c r="L109" s="3222"/>
    </row>
    <row r="110" spans="1:12">
      <c r="A110" s="3190">
        <v>109</v>
      </c>
      <c r="B110" s="3194" t="s">
        <v>4006</v>
      </c>
      <c r="C110" s="3194" t="s">
        <v>5169</v>
      </c>
      <c r="D110" s="3194" t="s">
        <v>5170</v>
      </c>
      <c r="E110" s="3194" t="s">
        <v>4008</v>
      </c>
      <c r="F110" s="3194" t="s">
        <v>5171</v>
      </c>
      <c r="G110" s="3197">
        <v>2109</v>
      </c>
      <c r="H110" s="3194" t="s">
        <v>4119</v>
      </c>
      <c r="I110" s="3194" t="s">
        <v>5283</v>
      </c>
      <c r="J110" s="3194">
        <v>31.06</v>
      </c>
      <c r="K110" s="3219">
        <v>11.76</v>
      </c>
      <c r="L110" s="3222"/>
    </row>
    <row r="111" spans="1:12">
      <c r="A111" s="3200">
        <v>110</v>
      </c>
      <c r="B111" s="3201" t="s">
        <v>5173</v>
      </c>
      <c r="C111" s="3201" t="s">
        <v>4007</v>
      </c>
      <c r="D111" s="3201" t="s">
        <v>5170</v>
      </c>
      <c r="E111" s="3201" t="s">
        <v>5174</v>
      </c>
      <c r="F111" s="3201" t="s">
        <v>4009</v>
      </c>
      <c r="G111" s="3202">
        <v>2110</v>
      </c>
      <c r="H111" s="3201" t="s">
        <v>5284</v>
      </c>
      <c r="I111" s="3201" t="s">
        <v>4120</v>
      </c>
      <c r="J111" s="3201">
        <v>25.88</v>
      </c>
      <c r="K111" s="3220">
        <v>9.8000000000000007</v>
      </c>
      <c r="L111" s="3223"/>
    </row>
    <row r="112" spans="1:12">
      <c r="A112" s="3190">
        <v>111</v>
      </c>
      <c r="B112" s="3194" t="s">
        <v>4006</v>
      </c>
      <c r="C112" s="3194" t="s">
        <v>5169</v>
      </c>
      <c r="D112" s="3194" t="s">
        <v>5170</v>
      </c>
      <c r="E112" s="3194" t="s">
        <v>4008</v>
      </c>
      <c r="F112" s="3194" t="s">
        <v>5171</v>
      </c>
      <c r="G112" s="3197">
        <v>2111</v>
      </c>
      <c r="H112" s="3194" t="s">
        <v>4121</v>
      </c>
      <c r="I112" s="3194" t="s">
        <v>5285</v>
      </c>
      <c r="J112" s="3194">
        <v>29.47</v>
      </c>
      <c r="K112" s="3219">
        <v>11.16</v>
      </c>
      <c r="L112" s="3222"/>
    </row>
    <row r="113" spans="1:12">
      <c r="A113" s="3190">
        <v>112</v>
      </c>
      <c r="B113" s="3194" t="s">
        <v>5173</v>
      </c>
      <c r="C113" s="3194" t="s">
        <v>4007</v>
      </c>
      <c r="D113" s="3194" t="s">
        <v>5170</v>
      </c>
      <c r="E113" s="3194" t="s">
        <v>5174</v>
      </c>
      <c r="F113" s="3194" t="s">
        <v>4009</v>
      </c>
      <c r="G113" s="3197">
        <v>2112</v>
      </c>
      <c r="H113" s="3194" t="s">
        <v>5286</v>
      </c>
      <c r="I113" s="3194" t="s">
        <v>4122</v>
      </c>
      <c r="J113" s="3194">
        <v>32.67</v>
      </c>
      <c r="K113" s="3219">
        <v>12.37</v>
      </c>
      <c r="L113" s="3222"/>
    </row>
    <row r="114" spans="1:12">
      <c r="A114" s="3190">
        <v>113</v>
      </c>
      <c r="B114" s="3194" t="s">
        <v>4006</v>
      </c>
      <c r="C114" s="3194" t="s">
        <v>5169</v>
      </c>
      <c r="D114" s="3194" t="s">
        <v>5170</v>
      </c>
      <c r="E114" s="3194" t="s">
        <v>4008</v>
      </c>
      <c r="F114" s="3194" t="s">
        <v>5171</v>
      </c>
      <c r="G114" s="3197">
        <v>2113</v>
      </c>
      <c r="H114" s="3194" t="s">
        <v>4123</v>
      </c>
      <c r="I114" s="3194" t="s">
        <v>5287</v>
      </c>
      <c r="J114" s="3194">
        <v>32.67</v>
      </c>
      <c r="K114" s="3219">
        <v>12.37</v>
      </c>
      <c r="L114" s="3222"/>
    </row>
    <row r="115" spans="1:12">
      <c r="A115" s="3190">
        <v>114</v>
      </c>
      <c r="B115" s="3194" t="s">
        <v>5173</v>
      </c>
      <c r="C115" s="3194" t="s">
        <v>4007</v>
      </c>
      <c r="D115" s="3194" t="s">
        <v>5170</v>
      </c>
      <c r="E115" s="3194" t="s">
        <v>5174</v>
      </c>
      <c r="F115" s="3194" t="s">
        <v>4009</v>
      </c>
      <c r="G115" s="3197">
        <v>2114</v>
      </c>
      <c r="H115" s="3194" t="s">
        <v>5288</v>
      </c>
      <c r="I115" s="3194" t="s">
        <v>4124</v>
      </c>
      <c r="J115" s="3194">
        <v>32.67</v>
      </c>
      <c r="K115" s="3219">
        <v>12.37</v>
      </c>
      <c r="L115" s="3222"/>
    </row>
    <row r="116" spans="1:12">
      <c r="A116" s="3190">
        <v>115</v>
      </c>
      <c r="B116" s="3194" t="s">
        <v>4006</v>
      </c>
      <c r="C116" s="3194" t="s">
        <v>5169</v>
      </c>
      <c r="D116" s="3194" t="s">
        <v>5170</v>
      </c>
      <c r="E116" s="3194" t="s">
        <v>4008</v>
      </c>
      <c r="F116" s="3194" t="s">
        <v>5171</v>
      </c>
      <c r="G116" s="3197">
        <v>2115</v>
      </c>
      <c r="H116" s="3194" t="s">
        <v>4125</v>
      </c>
      <c r="I116" s="3194" t="s">
        <v>5289</v>
      </c>
      <c r="J116" s="3194">
        <v>30.74</v>
      </c>
      <c r="K116" s="3219">
        <v>11.64</v>
      </c>
      <c r="L116" s="3222"/>
    </row>
    <row r="117" spans="1:12">
      <c r="A117" s="3190">
        <v>116</v>
      </c>
      <c r="B117" s="3194" t="s">
        <v>5173</v>
      </c>
      <c r="C117" s="3194" t="s">
        <v>4007</v>
      </c>
      <c r="D117" s="3194" t="s">
        <v>5170</v>
      </c>
      <c r="E117" s="3194" t="s">
        <v>5174</v>
      </c>
      <c r="F117" s="3194" t="s">
        <v>4009</v>
      </c>
      <c r="G117" s="3197">
        <v>2116</v>
      </c>
      <c r="H117" s="3194" t="s">
        <v>5290</v>
      </c>
      <c r="I117" s="3194" t="s">
        <v>4126</v>
      </c>
      <c r="J117" s="3194">
        <v>30.74</v>
      </c>
      <c r="K117" s="3219">
        <v>11.64</v>
      </c>
      <c r="L117" s="3222"/>
    </row>
    <row r="118" spans="1:12">
      <c r="A118" s="3190">
        <v>117</v>
      </c>
      <c r="B118" s="3194" t="s">
        <v>4006</v>
      </c>
      <c r="C118" s="3194" t="s">
        <v>5169</v>
      </c>
      <c r="D118" s="3194" t="s">
        <v>5170</v>
      </c>
      <c r="E118" s="3194" t="s">
        <v>4008</v>
      </c>
      <c r="F118" s="3194" t="s">
        <v>5171</v>
      </c>
      <c r="G118" s="3197">
        <v>2117</v>
      </c>
      <c r="H118" s="3194" t="s">
        <v>4127</v>
      </c>
      <c r="I118" s="3194" t="s">
        <v>5291</v>
      </c>
      <c r="J118" s="3194">
        <v>30.74</v>
      </c>
      <c r="K118" s="3219">
        <v>11.64</v>
      </c>
      <c r="L118" s="3222"/>
    </row>
    <row r="119" spans="1:12">
      <c r="A119" s="3190">
        <v>118</v>
      </c>
      <c r="B119" s="3194" t="s">
        <v>5173</v>
      </c>
      <c r="C119" s="3194" t="s">
        <v>4007</v>
      </c>
      <c r="D119" s="3194" t="s">
        <v>5170</v>
      </c>
      <c r="E119" s="3194" t="s">
        <v>5174</v>
      </c>
      <c r="F119" s="3194" t="s">
        <v>4009</v>
      </c>
      <c r="G119" s="3197">
        <v>2118</v>
      </c>
      <c r="H119" s="3194" t="s">
        <v>5292</v>
      </c>
      <c r="I119" s="3194" t="s">
        <v>4128</v>
      </c>
      <c r="J119" s="3194">
        <v>29.47</v>
      </c>
      <c r="K119" s="3219">
        <v>11.16</v>
      </c>
      <c r="L119" s="3222"/>
    </row>
    <row r="120" spans="1:12">
      <c r="A120" s="3190">
        <v>119</v>
      </c>
      <c r="B120" s="3194" t="s">
        <v>4006</v>
      </c>
      <c r="C120" s="3194" t="s">
        <v>5169</v>
      </c>
      <c r="D120" s="3194" t="s">
        <v>5170</v>
      </c>
      <c r="E120" s="3194" t="s">
        <v>4008</v>
      </c>
      <c r="F120" s="3194" t="s">
        <v>5171</v>
      </c>
      <c r="G120" s="3197">
        <v>2119</v>
      </c>
      <c r="H120" s="3194" t="s">
        <v>4129</v>
      </c>
      <c r="I120" s="3194" t="s">
        <v>5293</v>
      </c>
      <c r="J120" s="3194">
        <v>29.47</v>
      </c>
      <c r="K120" s="3219">
        <v>11.16</v>
      </c>
      <c r="L120" s="3222"/>
    </row>
    <row r="121" spans="1:12">
      <c r="A121" s="3190">
        <v>120</v>
      </c>
      <c r="B121" s="3194" t="s">
        <v>5173</v>
      </c>
      <c r="C121" s="3194" t="s">
        <v>4007</v>
      </c>
      <c r="D121" s="3194" t="s">
        <v>5170</v>
      </c>
      <c r="E121" s="3194" t="s">
        <v>5174</v>
      </c>
      <c r="F121" s="3194" t="s">
        <v>4009</v>
      </c>
      <c r="G121" s="3197">
        <v>2120</v>
      </c>
      <c r="H121" s="3194" t="s">
        <v>5294</v>
      </c>
      <c r="I121" s="3194" t="s">
        <v>4130</v>
      </c>
      <c r="J121" s="3194">
        <v>32.67</v>
      </c>
      <c r="K121" s="3219">
        <v>12.37</v>
      </c>
      <c r="L121" s="3222"/>
    </row>
    <row r="122" spans="1:12">
      <c r="A122" s="3190">
        <v>121</v>
      </c>
      <c r="B122" s="3194" t="s">
        <v>4006</v>
      </c>
      <c r="C122" s="3194" t="s">
        <v>5169</v>
      </c>
      <c r="D122" s="3194" t="s">
        <v>5170</v>
      </c>
      <c r="E122" s="3194" t="s">
        <v>4008</v>
      </c>
      <c r="F122" s="3194" t="s">
        <v>5171</v>
      </c>
      <c r="G122" s="3197">
        <v>2121</v>
      </c>
      <c r="H122" s="3194" t="s">
        <v>4131</v>
      </c>
      <c r="I122" s="3194" t="s">
        <v>5295</v>
      </c>
      <c r="J122" s="3194">
        <v>32.67</v>
      </c>
      <c r="K122" s="3219">
        <v>12.37</v>
      </c>
      <c r="L122" s="3222"/>
    </row>
    <row r="123" spans="1:12">
      <c r="A123" s="3190">
        <v>122</v>
      </c>
      <c r="B123" s="3194" t="s">
        <v>5173</v>
      </c>
      <c r="C123" s="3194" t="s">
        <v>4007</v>
      </c>
      <c r="D123" s="3194" t="s">
        <v>5170</v>
      </c>
      <c r="E123" s="3194" t="s">
        <v>5174</v>
      </c>
      <c r="F123" s="3194" t="s">
        <v>4009</v>
      </c>
      <c r="G123" s="3197">
        <v>2122</v>
      </c>
      <c r="H123" s="3194" t="s">
        <v>5296</v>
      </c>
      <c r="I123" s="3194" t="s">
        <v>4132</v>
      </c>
      <c r="J123" s="3194">
        <v>32.67</v>
      </c>
      <c r="K123" s="3219">
        <v>12.37</v>
      </c>
      <c r="L123" s="3222"/>
    </row>
    <row r="124" spans="1:12">
      <c r="A124" s="3190">
        <v>123</v>
      </c>
      <c r="B124" s="3194" t="s">
        <v>4006</v>
      </c>
      <c r="C124" s="3194" t="s">
        <v>5169</v>
      </c>
      <c r="D124" s="3194" t="s">
        <v>5170</v>
      </c>
      <c r="E124" s="3194" t="s">
        <v>4008</v>
      </c>
      <c r="F124" s="3193" t="s">
        <v>5208</v>
      </c>
      <c r="G124" s="3197">
        <v>2123</v>
      </c>
      <c r="H124" s="3194" t="s">
        <v>4133</v>
      </c>
      <c r="I124" s="3194" t="s">
        <v>5297</v>
      </c>
      <c r="J124" s="3194">
        <v>30.74</v>
      </c>
      <c r="K124" s="3219">
        <v>11.64</v>
      </c>
      <c r="L124" s="3222"/>
    </row>
    <row r="125" spans="1:12">
      <c r="A125" s="3190">
        <v>124</v>
      </c>
      <c r="B125" s="3194" t="s">
        <v>5173</v>
      </c>
      <c r="C125" s="3194" t="s">
        <v>4007</v>
      </c>
      <c r="D125" s="3194" t="s">
        <v>5170</v>
      </c>
      <c r="E125" s="3194" t="s">
        <v>5174</v>
      </c>
      <c r="F125" s="3194" t="s">
        <v>4009</v>
      </c>
      <c r="G125" s="3197">
        <v>2124</v>
      </c>
      <c r="H125" s="3194" t="s">
        <v>5298</v>
      </c>
      <c r="I125" s="3194" t="s">
        <v>4134</v>
      </c>
      <c r="J125" s="3194">
        <v>30.74</v>
      </c>
      <c r="K125" s="3219">
        <v>11.64</v>
      </c>
      <c r="L125" s="3222"/>
    </row>
    <row r="126" spans="1:12">
      <c r="A126" s="3190">
        <v>125</v>
      </c>
      <c r="B126" s="3194" t="s">
        <v>4006</v>
      </c>
      <c r="C126" s="3194" t="s">
        <v>5169</v>
      </c>
      <c r="D126" s="3194" t="s">
        <v>5170</v>
      </c>
      <c r="E126" s="3199" t="s">
        <v>6333</v>
      </c>
      <c r="F126" s="3194" t="s">
        <v>5171</v>
      </c>
      <c r="G126" s="3197">
        <v>2125</v>
      </c>
      <c r="H126" s="3194" t="s">
        <v>4135</v>
      </c>
      <c r="I126" s="3194" t="s">
        <v>5299</v>
      </c>
      <c r="J126" s="3194">
        <v>30.74</v>
      </c>
      <c r="K126" s="3219">
        <v>11.64</v>
      </c>
      <c r="L126" s="3222"/>
    </row>
    <row r="127" spans="1:12">
      <c r="A127" s="3190">
        <v>126</v>
      </c>
      <c r="B127" s="3194" t="s">
        <v>5173</v>
      </c>
      <c r="C127" s="3194" t="s">
        <v>4007</v>
      </c>
      <c r="D127" s="3194" t="s">
        <v>5170</v>
      </c>
      <c r="E127" s="3194" t="s">
        <v>5174</v>
      </c>
      <c r="F127" s="3193" t="s">
        <v>4041</v>
      </c>
      <c r="G127" s="3197">
        <v>2126</v>
      </c>
      <c r="H127" s="3194" t="s">
        <v>5300</v>
      </c>
      <c r="I127" s="3194" t="s">
        <v>4136</v>
      </c>
      <c r="J127" s="3194">
        <v>29.47</v>
      </c>
      <c r="K127" s="3219">
        <v>11.16</v>
      </c>
      <c r="L127" s="3222"/>
    </row>
    <row r="128" spans="1:12">
      <c r="A128" s="3190">
        <v>127</v>
      </c>
      <c r="B128" s="3194" t="s">
        <v>4006</v>
      </c>
      <c r="C128" s="3194" t="s">
        <v>5169</v>
      </c>
      <c r="D128" s="3194" t="s">
        <v>5170</v>
      </c>
      <c r="E128" s="3194" t="s">
        <v>4008</v>
      </c>
      <c r="F128" s="3194" t="s">
        <v>5171</v>
      </c>
      <c r="G128" s="3197">
        <v>2127</v>
      </c>
      <c r="H128" s="3194" t="s">
        <v>4137</v>
      </c>
      <c r="I128" s="3194" t="s">
        <v>5301</v>
      </c>
      <c r="J128" s="3194">
        <v>30.74</v>
      </c>
      <c r="K128" s="3219">
        <v>11.64</v>
      </c>
      <c r="L128" s="3222"/>
    </row>
    <row r="129" spans="1:12">
      <c r="A129" s="3190">
        <v>128</v>
      </c>
      <c r="B129" s="3194" t="s">
        <v>5173</v>
      </c>
      <c r="C129" s="3194" t="s">
        <v>4007</v>
      </c>
      <c r="D129" s="3194" t="s">
        <v>5170</v>
      </c>
      <c r="E129" s="3194" t="s">
        <v>5174</v>
      </c>
      <c r="F129" s="3194" t="s">
        <v>4009</v>
      </c>
      <c r="G129" s="3197">
        <v>2128</v>
      </c>
      <c r="H129" s="3194" t="s">
        <v>5302</v>
      </c>
      <c r="I129" s="3194" t="s">
        <v>4138</v>
      </c>
      <c r="J129" s="3194">
        <v>30.74</v>
      </c>
      <c r="K129" s="3219">
        <v>11.64</v>
      </c>
      <c r="L129" s="3222"/>
    </row>
    <row r="130" spans="1:12">
      <c r="A130" s="3190">
        <v>129</v>
      </c>
      <c r="B130" s="3194" t="s">
        <v>4006</v>
      </c>
      <c r="C130" s="3194" t="s">
        <v>5169</v>
      </c>
      <c r="D130" s="3194" t="s">
        <v>5170</v>
      </c>
      <c r="E130" s="3194" t="s">
        <v>4008</v>
      </c>
      <c r="F130" s="3194" t="s">
        <v>5171</v>
      </c>
      <c r="G130" s="3197">
        <v>2129</v>
      </c>
      <c r="H130" s="3194" t="s">
        <v>4139</v>
      </c>
      <c r="I130" s="3194" t="s">
        <v>5303</v>
      </c>
      <c r="J130" s="3194">
        <v>30.74</v>
      </c>
      <c r="K130" s="3219">
        <v>11.64</v>
      </c>
      <c r="L130" s="3222"/>
    </row>
    <row r="131" spans="1:12">
      <c r="A131" s="3190">
        <v>130</v>
      </c>
      <c r="B131" s="3194" t="s">
        <v>5173</v>
      </c>
      <c r="C131" s="3194" t="s">
        <v>4007</v>
      </c>
      <c r="D131" s="3194" t="s">
        <v>5170</v>
      </c>
      <c r="E131" s="3194" t="s">
        <v>5174</v>
      </c>
      <c r="F131" s="3194" t="s">
        <v>4009</v>
      </c>
      <c r="G131" s="3197">
        <v>2130</v>
      </c>
      <c r="H131" s="3194" t="s">
        <v>5304</v>
      </c>
      <c r="I131" s="3194" t="s">
        <v>4140</v>
      </c>
      <c r="J131" s="3194">
        <v>30.74</v>
      </c>
      <c r="K131" s="3219">
        <v>11.64</v>
      </c>
      <c r="L131" s="3222"/>
    </row>
    <row r="132" spans="1:12">
      <c r="A132" s="3190">
        <v>131</v>
      </c>
      <c r="B132" s="3194" t="s">
        <v>4006</v>
      </c>
      <c r="C132" s="3194" t="s">
        <v>5169</v>
      </c>
      <c r="D132" s="3194" t="s">
        <v>5170</v>
      </c>
      <c r="E132" s="3194" t="s">
        <v>4008</v>
      </c>
      <c r="F132" s="3194" t="s">
        <v>5171</v>
      </c>
      <c r="G132" s="3197">
        <v>2131</v>
      </c>
      <c r="H132" s="3194" t="s">
        <v>4141</v>
      </c>
      <c r="I132" s="3194" t="s">
        <v>5305</v>
      </c>
      <c r="J132" s="3194">
        <v>30.74</v>
      </c>
      <c r="K132" s="3219">
        <v>11.64</v>
      </c>
      <c r="L132" s="3222"/>
    </row>
    <row r="133" spans="1:12">
      <c r="A133" s="3190">
        <v>132</v>
      </c>
      <c r="B133" s="3194" t="s">
        <v>5173</v>
      </c>
      <c r="C133" s="3194" t="s">
        <v>4007</v>
      </c>
      <c r="D133" s="3194" t="s">
        <v>5170</v>
      </c>
      <c r="E133" s="3194" t="s">
        <v>5174</v>
      </c>
      <c r="F133" s="3194" t="s">
        <v>4009</v>
      </c>
      <c r="G133" s="3197">
        <v>2132</v>
      </c>
      <c r="H133" s="3194" t="s">
        <v>5306</v>
      </c>
      <c r="I133" s="3194" t="s">
        <v>4142</v>
      </c>
      <c r="J133" s="3194">
        <v>30.74</v>
      </c>
      <c r="K133" s="3219">
        <v>11.64</v>
      </c>
      <c r="L133" s="3222"/>
    </row>
    <row r="134" spans="1:12">
      <c r="A134" s="3190">
        <v>133</v>
      </c>
      <c r="B134" s="3194" t="s">
        <v>4006</v>
      </c>
      <c r="C134" s="3194" t="s">
        <v>5169</v>
      </c>
      <c r="D134" s="3194" t="s">
        <v>5170</v>
      </c>
      <c r="E134" s="3194" t="s">
        <v>4008</v>
      </c>
      <c r="F134" s="3194" t="s">
        <v>5171</v>
      </c>
      <c r="G134" s="3197">
        <v>2133</v>
      </c>
      <c r="H134" s="3194" t="s">
        <v>4143</v>
      </c>
      <c r="I134" s="3194" t="s">
        <v>5307</v>
      </c>
      <c r="J134" s="3194">
        <v>30.74</v>
      </c>
      <c r="K134" s="3219">
        <v>11.64</v>
      </c>
      <c r="L134" s="3222"/>
    </row>
    <row r="135" spans="1:12">
      <c r="A135" s="3190">
        <v>134</v>
      </c>
      <c r="B135" s="3194" t="s">
        <v>5173</v>
      </c>
      <c r="C135" s="3194" t="s">
        <v>4007</v>
      </c>
      <c r="D135" s="3194" t="s">
        <v>5170</v>
      </c>
      <c r="E135" s="3194" t="s">
        <v>5174</v>
      </c>
      <c r="F135" s="3194" t="s">
        <v>4009</v>
      </c>
      <c r="G135" s="3197">
        <v>2134</v>
      </c>
      <c r="H135" s="3194" t="s">
        <v>5308</v>
      </c>
      <c r="I135" s="3194" t="s">
        <v>4144</v>
      </c>
      <c r="J135" s="3194">
        <v>29.47</v>
      </c>
      <c r="K135" s="3219">
        <v>11.16</v>
      </c>
      <c r="L135" s="3222"/>
    </row>
    <row r="136" spans="1:12">
      <c r="A136" s="3190">
        <v>135</v>
      </c>
      <c r="B136" s="3194" t="s">
        <v>4006</v>
      </c>
      <c r="C136" s="3194" t="s">
        <v>5169</v>
      </c>
      <c r="D136" s="3194" t="s">
        <v>5170</v>
      </c>
      <c r="E136" s="3194" t="s">
        <v>4008</v>
      </c>
      <c r="F136" s="3194" t="s">
        <v>5171</v>
      </c>
      <c r="G136" s="3197">
        <v>2135</v>
      </c>
      <c r="H136" s="3194" t="s">
        <v>4145</v>
      </c>
      <c r="I136" s="3194" t="s">
        <v>5309</v>
      </c>
      <c r="J136" s="3194">
        <v>29.47</v>
      </c>
      <c r="K136" s="3219">
        <v>11.16</v>
      </c>
      <c r="L136" s="3222"/>
    </row>
    <row r="137" spans="1:12">
      <c r="A137" s="3190">
        <v>136</v>
      </c>
      <c r="B137" s="3194" t="s">
        <v>5173</v>
      </c>
      <c r="C137" s="3194" t="s">
        <v>4007</v>
      </c>
      <c r="D137" s="3194" t="s">
        <v>5170</v>
      </c>
      <c r="E137" s="3194" t="s">
        <v>5174</v>
      </c>
      <c r="F137" s="3194" t="s">
        <v>4009</v>
      </c>
      <c r="G137" s="3197">
        <v>2136</v>
      </c>
      <c r="H137" s="3194" t="s">
        <v>5310</v>
      </c>
      <c r="I137" s="3194" t="s">
        <v>4146</v>
      </c>
      <c r="J137" s="3194">
        <v>29.47</v>
      </c>
      <c r="K137" s="3219">
        <v>11.16</v>
      </c>
      <c r="L137" s="3222"/>
    </row>
    <row r="138" spans="1:12">
      <c r="A138" s="3190">
        <v>137</v>
      </c>
      <c r="B138" s="3194" t="s">
        <v>4006</v>
      </c>
      <c r="C138" s="3194" t="s">
        <v>5169</v>
      </c>
      <c r="D138" s="3194" t="s">
        <v>5170</v>
      </c>
      <c r="E138" s="3194" t="s">
        <v>4008</v>
      </c>
      <c r="F138" s="3194" t="s">
        <v>5171</v>
      </c>
      <c r="G138" s="3197">
        <v>2137</v>
      </c>
      <c r="H138" s="3194" t="s">
        <v>4147</v>
      </c>
      <c r="I138" s="3194" t="s">
        <v>5311</v>
      </c>
      <c r="J138" s="3194">
        <v>29.47</v>
      </c>
      <c r="K138" s="3219">
        <v>11.16</v>
      </c>
      <c r="L138" s="3222"/>
    </row>
    <row r="139" spans="1:12">
      <c r="A139" s="3190">
        <v>138</v>
      </c>
      <c r="B139" s="3194" t="s">
        <v>5173</v>
      </c>
      <c r="C139" s="3194" t="s">
        <v>4007</v>
      </c>
      <c r="D139" s="3194" t="s">
        <v>5170</v>
      </c>
      <c r="E139" s="3194" t="s">
        <v>5174</v>
      </c>
      <c r="F139" s="3194" t="s">
        <v>4009</v>
      </c>
      <c r="G139" s="3197">
        <v>2138</v>
      </c>
      <c r="H139" s="3194" t="s">
        <v>5312</v>
      </c>
      <c r="I139" s="3194" t="s">
        <v>4148</v>
      </c>
      <c r="J139" s="3194">
        <v>29.47</v>
      </c>
      <c r="K139" s="3219">
        <v>11.16</v>
      </c>
      <c r="L139" s="3222"/>
    </row>
    <row r="140" spans="1:12">
      <c r="A140" s="3190">
        <v>139</v>
      </c>
      <c r="B140" s="3194" t="s">
        <v>4006</v>
      </c>
      <c r="C140" s="3194" t="s">
        <v>5169</v>
      </c>
      <c r="D140" s="3194" t="s">
        <v>5170</v>
      </c>
      <c r="E140" s="3194" t="s">
        <v>4008</v>
      </c>
      <c r="F140" s="3194" t="s">
        <v>5171</v>
      </c>
      <c r="G140" s="3197">
        <v>2139</v>
      </c>
      <c r="H140" s="3194" t="s">
        <v>4149</v>
      </c>
      <c r="I140" s="3194" t="s">
        <v>5313</v>
      </c>
      <c r="J140" s="3194">
        <v>29.47</v>
      </c>
      <c r="K140" s="3219">
        <v>11.16</v>
      </c>
      <c r="L140" s="3222"/>
    </row>
    <row r="141" spans="1:12">
      <c r="A141" s="3190">
        <v>140</v>
      </c>
      <c r="B141" s="3194" t="s">
        <v>5173</v>
      </c>
      <c r="C141" s="3194" t="s">
        <v>4007</v>
      </c>
      <c r="D141" s="3194" t="s">
        <v>5170</v>
      </c>
      <c r="E141" s="3194" t="s">
        <v>5174</v>
      </c>
      <c r="F141" s="3194" t="s">
        <v>4009</v>
      </c>
      <c r="G141" s="3197">
        <v>2140</v>
      </c>
      <c r="H141" s="3194" t="s">
        <v>5314</v>
      </c>
      <c r="I141" s="3194" t="s">
        <v>4150</v>
      </c>
      <c r="J141" s="3194">
        <v>29.47</v>
      </c>
      <c r="K141" s="3219">
        <v>11.16</v>
      </c>
      <c r="L141" s="3222"/>
    </row>
    <row r="142" spans="1:12">
      <c r="A142" s="3190">
        <v>141</v>
      </c>
      <c r="B142" s="3194" t="s">
        <v>4006</v>
      </c>
      <c r="C142" s="3194" t="s">
        <v>5169</v>
      </c>
      <c r="D142" s="3194" t="s">
        <v>5170</v>
      </c>
      <c r="E142" s="3194" t="s">
        <v>4008</v>
      </c>
      <c r="F142" s="3194" t="s">
        <v>5171</v>
      </c>
      <c r="G142" s="3197">
        <v>2141</v>
      </c>
      <c r="H142" s="3194" t="s">
        <v>4151</v>
      </c>
      <c r="I142" s="3194" t="s">
        <v>5315</v>
      </c>
      <c r="J142" s="3194">
        <v>29.47</v>
      </c>
      <c r="K142" s="3219">
        <v>11.16</v>
      </c>
      <c r="L142" s="3222"/>
    </row>
    <row r="143" spans="1:12">
      <c r="A143" s="3190">
        <v>142</v>
      </c>
      <c r="B143" s="3194" t="s">
        <v>5173</v>
      </c>
      <c r="C143" s="3194" t="s">
        <v>4007</v>
      </c>
      <c r="D143" s="3194" t="s">
        <v>5170</v>
      </c>
      <c r="E143" s="3194" t="s">
        <v>5174</v>
      </c>
      <c r="F143" s="3194" t="s">
        <v>4009</v>
      </c>
      <c r="G143" s="3197">
        <v>2142</v>
      </c>
      <c r="H143" s="3194" t="s">
        <v>5316</v>
      </c>
      <c r="I143" s="3194" t="s">
        <v>4152</v>
      </c>
      <c r="J143" s="3194">
        <v>29.47</v>
      </c>
      <c r="K143" s="3219">
        <v>11.16</v>
      </c>
      <c r="L143" s="3222"/>
    </row>
    <row r="144" spans="1:12">
      <c r="A144" s="3190">
        <v>143</v>
      </c>
      <c r="B144" s="3194" t="s">
        <v>4006</v>
      </c>
      <c r="C144" s="3194" t="s">
        <v>5169</v>
      </c>
      <c r="D144" s="3194" t="s">
        <v>5170</v>
      </c>
      <c r="E144" s="3194" t="s">
        <v>4008</v>
      </c>
      <c r="F144" s="3194" t="s">
        <v>5171</v>
      </c>
      <c r="G144" s="3197">
        <v>2143</v>
      </c>
      <c r="H144" s="3194" t="s">
        <v>4153</v>
      </c>
      <c r="I144" s="3194" t="s">
        <v>5317</v>
      </c>
      <c r="J144" s="3194">
        <v>29.47</v>
      </c>
      <c r="K144" s="3219">
        <v>11.16</v>
      </c>
      <c r="L144" s="3222"/>
    </row>
    <row r="145" spans="1:12">
      <c r="A145" s="3190">
        <v>144</v>
      </c>
      <c r="B145" s="3194" t="s">
        <v>5173</v>
      </c>
      <c r="C145" s="3194" t="s">
        <v>4007</v>
      </c>
      <c r="D145" s="3194" t="s">
        <v>5170</v>
      </c>
      <c r="E145" s="3194" t="s">
        <v>5174</v>
      </c>
      <c r="F145" s="3193" t="s">
        <v>4041</v>
      </c>
      <c r="G145" s="3197">
        <v>2144</v>
      </c>
      <c r="H145" s="3194" t="s">
        <v>5318</v>
      </c>
      <c r="I145" s="3194" t="s">
        <v>4154</v>
      </c>
      <c r="J145" s="3194">
        <v>29.47</v>
      </c>
      <c r="K145" s="3219">
        <v>11.16</v>
      </c>
      <c r="L145" s="3222"/>
    </row>
    <row r="146" spans="1:12">
      <c r="A146" s="3190">
        <v>145</v>
      </c>
      <c r="B146" s="3194" t="s">
        <v>4006</v>
      </c>
      <c r="C146" s="3194" t="s">
        <v>5169</v>
      </c>
      <c r="D146" s="3194" t="s">
        <v>5170</v>
      </c>
      <c r="E146" s="3194" t="s">
        <v>4008</v>
      </c>
      <c r="F146" s="3194" t="s">
        <v>5171</v>
      </c>
      <c r="G146" s="3197">
        <v>2145</v>
      </c>
      <c r="H146" s="3194" t="s">
        <v>4155</v>
      </c>
      <c r="I146" s="3194" t="s">
        <v>5319</v>
      </c>
      <c r="J146" s="3194">
        <v>29.47</v>
      </c>
      <c r="K146" s="3219">
        <v>11.16</v>
      </c>
      <c r="L146" s="3222"/>
    </row>
    <row r="147" spans="1:12">
      <c r="A147" s="3190">
        <v>146</v>
      </c>
      <c r="B147" s="3194" t="s">
        <v>5173</v>
      </c>
      <c r="C147" s="3194" t="s">
        <v>4007</v>
      </c>
      <c r="D147" s="3194" t="s">
        <v>5170</v>
      </c>
      <c r="E147" s="3194" t="s">
        <v>5174</v>
      </c>
      <c r="F147" s="3194" t="s">
        <v>4009</v>
      </c>
      <c r="G147" s="3197">
        <v>2146</v>
      </c>
      <c r="H147" s="3194" t="s">
        <v>5320</v>
      </c>
      <c r="I147" s="3194" t="s">
        <v>4156</v>
      </c>
      <c r="J147" s="3194">
        <v>29.47</v>
      </c>
      <c r="K147" s="3219">
        <v>11.16</v>
      </c>
      <c r="L147" s="3222"/>
    </row>
    <row r="148" spans="1:12">
      <c r="A148" s="3190">
        <v>147</v>
      </c>
      <c r="B148" s="3194" t="s">
        <v>4006</v>
      </c>
      <c r="C148" s="3194" t="s">
        <v>5169</v>
      </c>
      <c r="D148" s="3194" t="s">
        <v>5170</v>
      </c>
      <c r="E148" s="3194" t="s">
        <v>4008</v>
      </c>
      <c r="F148" s="3194" t="s">
        <v>5171</v>
      </c>
      <c r="G148" s="3197">
        <v>2147</v>
      </c>
      <c r="H148" s="3194" t="s">
        <v>4157</v>
      </c>
      <c r="I148" s="3194" t="s">
        <v>5321</v>
      </c>
      <c r="J148" s="3194">
        <v>29.47</v>
      </c>
      <c r="K148" s="3219">
        <v>11.16</v>
      </c>
      <c r="L148" s="3222"/>
    </row>
    <row r="149" spans="1:12">
      <c r="A149" s="3190">
        <v>148</v>
      </c>
      <c r="B149" s="3194" t="s">
        <v>5173</v>
      </c>
      <c r="C149" s="3194" t="s">
        <v>4007</v>
      </c>
      <c r="D149" s="3194" t="s">
        <v>5170</v>
      </c>
      <c r="E149" s="3194" t="s">
        <v>5174</v>
      </c>
      <c r="F149" s="3194" t="s">
        <v>4009</v>
      </c>
      <c r="G149" s="3197">
        <v>2148</v>
      </c>
      <c r="H149" s="3194" t="s">
        <v>5322</v>
      </c>
      <c r="I149" s="3194" t="s">
        <v>4158</v>
      </c>
      <c r="J149" s="3194">
        <v>29.47</v>
      </c>
      <c r="K149" s="3219">
        <v>11.16</v>
      </c>
      <c r="L149" s="3222"/>
    </row>
    <row r="150" spans="1:12">
      <c r="A150" s="3190">
        <v>149</v>
      </c>
      <c r="B150" s="3194" t="s">
        <v>4006</v>
      </c>
      <c r="C150" s="3194" t="s">
        <v>5169</v>
      </c>
      <c r="D150" s="3194" t="s">
        <v>5170</v>
      </c>
      <c r="E150" s="3194" t="s">
        <v>4008</v>
      </c>
      <c r="F150" s="3194" t="s">
        <v>5171</v>
      </c>
      <c r="G150" s="3197">
        <v>2149</v>
      </c>
      <c r="H150" s="3194" t="s">
        <v>4159</v>
      </c>
      <c r="I150" s="3194" t="s">
        <v>5323</v>
      </c>
      <c r="J150" s="3194">
        <v>29.47</v>
      </c>
      <c r="K150" s="3219">
        <v>11.16</v>
      </c>
      <c r="L150" s="3222"/>
    </row>
    <row r="151" spans="1:12">
      <c r="A151" s="3190">
        <v>150</v>
      </c>
      <c r="B151" s="3194" t="s">
        <v>5173</v>
      </c>
      <c r="C151" s="3194" t="s">
        <v>4007</v>
      </c>
      <c r="D151" s="3194" t="s">
        <v>5170</v>
      </c>
      <c r="E151" s="3194" t="s">
        <v>5174</v>
      </c>
      <c r="F151" s="3194" t="s">
        <v>4009</v>
      </c>
      <c r="G151" s="3197">
        <v>2150</v>
      </c>
      <c r="H151" s="3194" t="s">
        <v>5324</v>
      </c>
      <c r="I151" s="3194" t="s">
        <v>4160</v>
      </c>
      <c r="J151" s="3194">
        <v>29.47</v>
      </c>
      <c r="K151" s="3219">
        <v>11.16</v>
      </c>
      <c r="L151" s="3222"/>
    </row>
    <row r="152" spans="1:12">
      <c r="A152" s="3190">
        <v>151</v>
      </c>
      <c r="B152" s="3194" t="s">
        <v>4006</v>
      </c>
      <c r="C152" s="3194" t="s">
        <v>5169</v>
      </c>
      <c r="D152" s="3194" t="s">
        <v>5170</v>
      </c>
      <c r="E152" s="3194" t="s">
        <v>4008</v>
      </c>
      <c r="F152" s="3194" t="s">
        <v>5171</v>
      </c>
      <c r="G152" s="3197">
        <v>2151</v>
      </c>
      <c r="H152" s="3194" t="s">
        <v>4161</v>
      </c>
      <c r="I152" s="3194" t="s">
        <v>5325</v>
      </c>
      <c r="J152" s="3194">
        <v>29.47</v>
      </c>
      <c r="K152" s="3219">
        <v>11.16</v>
      </c>
      <c r="L152" s="3222"/>
    </row>
    <row r="153" spans="1:12">
      <c r="A153" s="3190">
        <v>152</v>
      </c>
      <c r="B153" s="3194" t="s">
        <v>5173</v>
      </c>
      <c r="C153" s="3194" t="s">
        <v>4007</v>
      </c>
      <c r="D153" s="3194" t="s">
        <v>5170</v>
      </c>
      <c r="E153" s="3194" t="s">
        <v>5174</v>
      </c>
      <c r="F153" s="3194" t="s">
        <v>4009</v>
      </c>
      <c r="G153" s="3197">
        <v>2152</v>
      </c>
      <c r="H153" s="3194" t="s">
        <v>5326</v>
      </c>
      <c r="I153" s="3194" t="s">
        <v>4162</v>
      </c>
      <c r="J153" s="3194">
        <v>29.47</v>
      </c>
      <c r="K153" s="3219">
        <v>11.16</v>
      </c>
      <c r="L153" s="3222"/>
    </row>
    <row r="154" spans="1:12">
      <c r="A154" s="3190">
        <v>153</v>
      </c>
      <c r="B154" s="3194" t="s">
        <v>4006</v>
      </c>
      <c r="C154" s="3194" t="s">
        <v>5169</v>
      </c>
      <c r="D154" s="3194" t="s">
        <v>5170</v>
      </c>
      <c r="E154" s="3194" t="s">
        <v>4008</v>
      </c>
      <c r="F154" s="3194" t="s">
        <v>5171</v>
      </c>
      <c r="G154" s="3197">
        <v>2153</v>
      </c>
      <c r="H154" s="3194" t="s">
        <v>4163</v>
      </c>
      <c r="I154" s="3194" t="s">
        <v>5327</v>
      </c>
      <c r="J154" s="3194">
        <v>29.47</v>
      </c>
      <c r="K154" s="3219">
        <v>11.16</v>
      </c>
      <c r="L154" s="3222"/>
    </row>
    <row r="155" spans="1:12">
      <c r="A155" s="3190">
        <v>154</v>
      </c>
      <c r="B155" s="3194" t="s">
        <v>5173</v>
      </c>
      <c r="C155" s="3194" t="s">
        <v>4007</v>
      </c>
      <c r="D155" s="3194" t="s">
        <v>5170</v>
      </c>
      <c r="E155" s="3194" t="s">
        <v>5174</v>
      </c>
      <c r="F155" s="3194" t="s">
        <v>4009</v>
      </c>
      <c r="G155" s="3197">
        <v>2154</v>
      </c>
      <c r="H155" s="3194" t="s">
        <v>5328</v>
      </c>
      <c r="I155" s="3194" t="s">
        <v>4164</v>
      </c>
      <c r="J155" s="3194">
        <v>29.47</v>
      </c>
      <c r="K155" s="3219">
        <v>11.16</v>
      </c>
      <c r="L155" s="3222"/>
    </row>
    <row r="156" spans="1:12">
      <c r="A156" s="3190">
        <v>155</v>
      </c>
      <c r="B156" s="3194" t="s">
        <v>4006</v>
      </c>
      <c r="C156" s="3194" t="s">
        <v>5169</v>
      </c>
      <c r="D156" s="3194" t="s">
        <v>5170</v>
      </c>
      <c r="E156" s="3194" t="s">
        <v>4008</v>
      </c>
      <c r="F156" s="3194" t="s">
        <v>5171</v>
      </c>
      <c r="G156" s="3197">
        <v>2155</v>
      </c>
      <c r="H156" s="3194" t="s">
        <v>4165</v>
      </c>
      <c r="I156" s="3194" t="s">
        <v>5329</v>
      </c>
      <c r="J156" s="3194">
        <v>29.47</v>
      </c>
      <c r="K156" s="3219">
        <v>11.16</v>
      </c>
      <c r="L156" s="3222"/>
    </row>
    <row r="157" spans="1:12">
      <c r="A157" s="3190">
        <v>156</v>
      </c>
      <c r="B157" s="3194" t="s">
        <v>5173</v>
      </c>
      <c r="C157" s="3194" t="s">
        <v>4007</v>
      </c>
      <c r="D157" s="3194" t="s">
        <v>5170</v>
      </c>
      <c r="E157" s="3194" t="s">
        <v>5174</v>
      </c>
      <c r="F157" s="3194" t="s">
        <v>4009</v>
      </c>
      <c r="G157" s="3197">
        <v>2156</v>
      </c>
      <c r="H157" s="3194" t="s">
        <v>5330</v>
      </c>
      <c r="I157" s="3194" t="s">
        <v>4166</v>
      </c>
      <c r="J157" s="3194">
        <v>29.47</v>
      </c>
      <c r="K157" s="3219">
        <v>11.16</v>
      </c>
      <c r="L157" s="3222"/>
    </row>
    <row r="158" spans="1:12">
      <c r="A158" s="3190">
        <v>157</v>
      </c>
      <c r="B158" s="3194" t="s">
        <v>4006</v>
      </c>
      <c r="C158" s="3194" t="s">
        <v>5169</v>
      </c>
      <c r="D158" s="3194" t="s">
        <v>5170</v>
      </c>
      <c r="E158" s="3194" t="s">
        <v>4008</v>
      </c>
      <c r="F158" s="3193" t="s">
        <v>5208</v>
      </c>
      <c r="G158" s="3197">
        <v>2157</v>
      </c>
      <c r="H158" s="3194" t="s">
        <v>4167</v>
      </c>
      <c r="I158" s="3194" t="s">
        <v>5331</v>
      </c>
      <c r="J158" s="3194">
        <v>29.76</v>
      </c>
      <c r="K158" s="3219">
        <v>11.27</v>
      </c>
      <c r="L158" s="3222"/>
    </row>
    <row r="159" spans="1:12">
      <c r="A159" s="3190">
        <v>158</v>
      </c>
      <c r="B159" s="3194" t="s">
        <v>5173</v>
      </c>
      <c r="C159" s="3194" t="s">
        <v>4007</v>
      </c>
      <c r="D159" s="3194" t="s">
        <v>5170</v>
      </c>
      <c r="E159" s="3194" t="s">
        <v>5174</v>
      </c>
      <c r="F159" s="3193" t="s">
        <v>4041</v>
      </c>
      <c r="G159" s="3197">
        <v>2158</v>
      </c>
      <c r="H159" s="3194" t="s">
        <v>5332</v>
      </c>
      <c r="I159" s="3194" t="s">
        <v>4168</v>
      </c>
      <c r="J159" s="3194">
        <v>29.76</v>
      </c>
      <c r="K159" s="3219">
        <v>11.27</v>
      </c>
      <c r="L159" s="3222"/>
    </row>
    <row r="160" spans="1:12">
      <c r="A160" s="3190">
        <v>159</v>
      </c>
      <c r="B160" s="3194" t="s">
        <v>4006</v>
      </c>
      <c r="C160" s="3194" t="s">
        <v>5169</v>
      </c>
      <c r="D160" s="3194" t="s">
        <v>5170</v>
      </c>
      <c r="E160" s="3194" t="s">
        <v>4008</v>
      </c>
      <c r="F160" s="3194" t="s">
        <v>5171</v>
      </c>
      <c r="G160" s="3197">
        <v>2159</v>
      </c>
      <c r="H160" s="3194" t="s">
        <v>4169</v>
      </c>
      <c r="I160" s="3194" t="s">
        <v>5333</v>
      </c>
      <c r="J160" s="3194">
        <v>29.76</v>
      </c>
      <c r="K160" s="3219">
        <v>11.27</v>
      </c>
      <c r="L160" s="3222"/>
    </row>
    <row r="161" spans="1:12">
      <c r="A161" s="3190">
        <v>160</v>
      </c>
      <c r="B161" s="3194" t="s">
        <v>5173</v>
      </c>
      <c r="C161" s="3194" t="s">
        <v>4007</v>
      </c>
      <c r="D161" s="3194" t="s">
        <v>5170</v>
      </c>
      <c r="E161" s="3194" t="s">
        <v>5174</v>
      </c>
      <c r="F161" s="3194" t="s">
        <v>4009</v>
      </c>
      <c r="G161" s="3197">
        <v>2160</v>
      </c>
      <c r="H161" s="3194" t="s">
        <v>5334</v>
      </c>
      <c r="I161" s="3194" t="s">
        <v>4170</v>
      </c>
      <c r="J161" s="3194">
        <v>29.76</v>
      </c>
      <c r="K161" s="3219">
        <v>11.27</v>
      </c>
      <c r="L161" s="3222"/>
    </row>
    <row r="162" spans="1:12">
      <c r="A162" s="3190">
        <v>161</v>
      </c>
      <c r="B162" s="3194" t="s">
        <v>4006</v>
      </c>
      <c r="C162" s="3194" t="s">
        <v>5169</v>
      </c>
      <c r="D162" s="3194" t="s">
        <v>5170</v>
      </c>
      <c r="E162" s="3194" t="s">
        <v>4008</v>
      </c>
      <c r="F162" s="3194" t="s">
        <v>5171</v>
      </c>
      <c r="G162" s="3197">
        <v>2161</v>
      </c>
      <c r="H162" s="3194" t="s">
        <v>4171</v>
      </c>
      <c r="I162" s="3194" t="s">
        <v>5335</v>
      </c>
      <c r="J162" s="3194">
        <v>29.76</v>
      </c>
      <c r="K162" s="3219">
        <v>11.27</v>
      </c>
      <c r="L162" s="3222"/>
    </row>
    <row r="163" spans="1:12">
      <c r="A163" s="3190">
        <v>162</v>
      </c>
      <c r="B163" s="3194" t="s">
        <v>5173</v>
      </c>
      <c r="C163" s="3194" t="s">
        <v>4007</v>
      </c>
      <c r="D163" s="3194" t="s">
        <v>5170</v>
      </c>
      <c r="E163" s="3194" t="s">
        <v>5174</v>
      </c>
      <c r="F163" s="3194" t="s">
        <v>4009</v>
      </c>
      <c r="G163" s="3197">
        <v>2162</v>
      </c>
      <c r="H163" s="3194" t="s">
        <v>5336</v>
      </c>
      <c r="I163" s="3194" t="s">
        <v>4172</v>
      </c>
      <c r="J163" s="3194">
        <v>29.76</v>
      </c>
      <c r="K163" s="3219">
        <v>11.27</v>
      </c>
      <c r="L163" s="3222"/>
    </row>
    <row r="164" spans="1:12">
      <c r="A164" s="3190">
        <v>163</v>
      </c>
      <c r="B164" s="3194" t="s">
        <v>4006</v>
      </c>
      <c r="C164" s="3194" t="s">
        <v>5169</v>
      </c>
      <c r="D164" s="3194" t="s">
        <v>5170</v>
      </c>
      <c r="E164" s="3194" t="s">
        <v>4008</v>
      </c>
      <c r="F164" s="3194" t="s">
        <v>5171</v>
      </c>
      <c r="G164" s="3197">
        <v>2163</v>
      </c>
      <c r="H164" s="3194" t="s">
        <v>4173</v>
      </c>
      <c r="I164" s="3194" t="s">
        <v>5337</v>
      </c>
      <c r="J164" s="3194">
        <v>29.76</v>
      </c>
      <c r="K164" s="3219">
        <v>11.27</v>
      </c>
      <c r="L164" s="3222"/>
    </row>
    <row r="165" spans="1:12">
      <c r="A165" s="3190">
        <v>164</v>
      </c>
      <c r="B165" s="3194" t="s">
        <v>5173</v>
      </c>
      <c r="C165" s="3194" t="s">
        <v>4007</v>
      </c>
      <c r="D165" s="3194" t="s">
        <v>5170</v>
      </c>
      <c r="E165" s="3194" t="s">
        <v>5174</v>
      </c>
      <c r="F165" s="3194" t="s">
        <v>4009</v>
      </c>
      <c r="G165" s="3197">
        <v>2164</v>
      </c>
      <c r="H165" s="3194" t="s">
        <v>5338</v>
      </c>
      <c r="I165" s="3194" t="s">
        <v>4174</v>
      </c>
      <c r="J165" s="3194">
        <v>29.76</v>
      </c>
      <c r="K165" s="3219">
        <v>11.27</v>
      </c>
      <c r="L165" s="3222"/>
    </row>
    <row r="166" spans="1:12">
      <c r="A166" s="3190">
        <v>165</v>
      </c>
      <c r="B166" s="3194" t="s">
        <v>4006</v>
      </c>
      <c r="C166" s="3194" t="s">
        <v>5169</v>
      </c>
      <c r="D166" s="3194" t="s">
        <v>5170</v>
      </c>
      <c r="E166" s="3194" t="s">
        <v>4008</v>
      </c>
      <c r="F166" s="3194" t="s">
        <v>5171</v>
      </c>
      <c r="G166" s="3197">
        <v>2165</v>
      </c>
      <c r="H166" s="3194" t="s">
        <v>4175</v>
      </c>
      <c r="I166" s="3194" t="s">
        <v>5339</v>
      </c>
      <c r="J166" s="3194">
        <v>29.76</v>
      </c>
      <c r="K166" s="3219">
        <v>11.27</v>
      </c>
      <c r="L166" s="3222"/>
    </row>
    <row r="167" spans="1:12">
      <c r="A167" s="3190">
        <v>166</v>
      </c>
      <c r="B167" s="3194" t="s">
        <v>5173</v>
      </c>
      <c r="C167" s="3194" t="s">
        <v>4007</v>
      </c>
      <c r="D167" s="3194" t="s">
        <v>5170</v>
      </c>
      <c r="E167" s="3194" t="s">
        <v>5174</v>
      </c>
      <c r="F167" s="3194" t="s">
        <v>4009</v>
      </c>
      <c r="G167" s="3197">
        <v>2166</v>
      </c>
      <c r="H167" s="3194" t="s">
        <v>5340</v>
      </c>
      <c r="I167" s="3194" t="s">
        <v>4176</v>
      </c>
      <c r="J167" s="3194">
        <v>29.76</v>
      </c>
      <c r="K167" s="3219">
        <v>11.27</v>
      </c>
      <c r="L167" s="3222"/>
    </row>
    <row r="168" spans="1:12">
      <c r="A168" s="3190">
        <v>167</v>
      </c>
      <c r="B168" s="3194" t="s">
        <v>4006</v>
      </c>
      <c r="C168" s="3194" t="s">
        <v>5169</v>
      </c>
      <c r="D168" s="3194" t="s">
        <v>5170</v>
      </c>
      <c r="E168" s="3194" t="s">
        <v>4008</v>
      </c>
      <c r="F168" s="3194" t="s">
        <v>5171</v>
      </c>
      <c r="G168" s="3197">
        <v>2167</v>
      </c>
      <c r="H168" s="3194" t="s">
        <v>4177</v>
      </c>
      <c r="I168" s="3194" t="s">
        <v>5341</v>
      </c>
      <c r="J168" s="3194">
        <v>29.76</v>
      </c>
      <c r="K168" s="3219">
        <v>11.27</v>
      </c>
      <c r="L168" s="3222"/>
    </row>
    <row r="169" spans="1:12">
      <c r="A169" s="3190">
        <v>168</v>
      </c>
      <c r="B169" s="3194" t="s">
        <v>5173</v>
      </c>
      <c r="C169" s="3194" t="s">
        <v>4007</v>
      </c>
      <c r="D169" s="3194" t="s">
        <v>5170</v>
      </c>
      <c r="E169" s="3194" t="s">
        <v>5174</v>
      </c>
      <c r="F169" s="3194" t="s">
        <v>4009</v>
      </c>
      <c r="G169" s="3197">
        <v>2168</v>
      </c>
      <c r="H169" s="3194" t="s">
        <v>5342</v>
      </c>
      <c r="I169" s="3194" t="s">
        <v>4178</v>
      </c>
      <c r="J169" s="3194">
        <v>29.76</v>
      </c>
      <c r="K169" s="3219">
        <v>11.27</v>
      </c>
      <c r="L169" s="3222"/>
    </row>
    <row r="170" spans="1:12">
      <c r="A170" s="3190">
        <v>169</v>
      </c>
      <c r="B170" s="3194" t="s">
        <v>4006</v>
      </c>
      <c r="C170" s="3194" t="s">
        <v>5169</v>
      </c>
      <c r="D170" s="3194" t="s">
        <v>5170</v>
      </c>
      <c r="E170" s="3194" t="s">
        <v>4008</v>
      </c>
      <c r="F170" s="3194" t="s">
        <v>5171</v>
      </c>
      <c r="G170" s="3197">
        <v>2169</v>
      </c>
      <c r="H170" s="3194" t="s">
        <v>4179</v>
      </c>
      <c r="I170" s="3194" t="s">
        <v>5343</v>
      </c>
      <c r="J170" s="3194">
        <v>29.76</v>
      </c>
      <c r="K170" s="3219">
        <v>11.27</v>
      </c>
      <c r="L170" s="3222"/>
    </row>
    <row r="171" spans="1:12">
      <c r="A171" s="3190">
        <v>170</v>
      </c>
      <c r="B171" s="3194" t="s">
        <v>5173</v>
      </c>
      <c r="C171" s="3194" t="s">
        <v>4007</v>
      </c>
      <c r="D171" s="3194" t="s">
        <v>5170</v>
      </c>
      <c r="E171" s="3194" t="s">
        <v>5174</v>
      </c>
      <c r="F171" s="3194" t="s">
        <v>4009</v>
      </c>
      <c r="G171" s="3197">
        <v>2170</v>
      </c>
      <c r="H171" s="3194" t="s">
        <v>5344</v>
      </c>
      <c r="I171" s="3194" t="s">
        <v>4180</v>
      </c>
      <c r="J171" s="3194">
        <v>29.76</v>
      </c>
      <c r="K171" s="3219">
        <v>11.27</v>
      </c>
      <c r="L171" s="3222"/>
    </row>
    <row r="172" spans="1:12">
      <c r="A172" s="3190">
        <v>171</v>
      </c>
      <c r="B172" s="3194" t="s">
        <v>4006</v>
      </c>
      <c r="C172" s="3194" t="s">
        <v>5169</v>
      </c>
      <c r="D172" s="3194" t="s">
        <v>5170</v>
      </c>
      <c r="E172" s="3194" t="s">
        <v>4008</v>
      </c>
      <c r="F172" s="3194" t="s">
        <v>5171</v>
      </c>
      <c r="G172" s="3197">
        <v>2171</v>
      </c>
      <c r="H172" s="3194" t="s">
        <v>4181</v>
      </c>
      <c r="I172" s="3194" t="s">
        <v>5345</v>
      </c>
      <c r="J172" s="3194">
        <v>29.76</v>
      </c>
      <c r="K172" s="3219">
        <v>11.27</v>
      </c>
      <c r="L172" s="3222"/>
    </row>
    <row r="173" spans="1:12">
      <c r="A173" s="3190">
        <v>172</v>
      </c>
      <c r="B173" s="3194" t="s">
        <v>5173</v>
      </c>
      <c r="C173" s="3194" t="s">
        <v>4007</v>
      </c>
      <c r="D173" s="3194" t="s">
        <v>5170</v>
      </c>
      <c r="E173" s="3194" t="s">
        <v>5174</v>
      </c>
      <c r="F173" s="3194" t="s">
        <v>4009</v>
      </c>
      <c r="G173" s="3197">
        <v>2172</v>
      </c>
      <c r="H173" s="3194" t="s">
        <v>5346</v>
      </c>
      <c r="I173" s="3194" t="s">
        <v>4182</v>
      </c>
      <c r="J173" s="3194">
        <v>29.76</v>
      </c>
      <c r="K173" s="3219">
        <v>11.27</v>
      </c>
      <c r="L173" s="3222"/>
    </row>
    <row r="174" spans="1:12">
      <c r="A174" s="3190">
        <v>173</v>
      </c>
      <c r="B174" s="3194" t="s">
        <v>4006</v>
      </c>
      <c r="C174" s="3194" t="s">
        <v>5169</v>
      </c>
      <c r="D174" s="3194" t="s">
        <v>5170</v>
      </c>
      <c r="E174" s="3194" t="s">
        <v>4008</v>
      </c>
      <c r="F174" s="3194" t="s">
        <v>5171</v>
      </c>
      <c r="G174" s="3197">
        <v>2173</v>
      </c>
      <c r="H174" s="3194" t="s">
        <v>4183</v>
      </c>
      <c r="I174" s="3194" t="s">
        <v>5347</v>
      </c>
      <c r="J174" s="3194">
        <v>29.76</v>
      </c>
      <c r="K174" s="3219">
        <v>11.27</v>
      </c>
      <c r="L174" s="3222"/>
    </row>
    <row r="175" spans="1:12">
      <c r="A175" s="3190">
        <v>174</v>
      </c>
      <c r="B175" s="3194" t="s">
        <v>5173</v>
      </c>
      <c r="C175" s="3194" t="s">
        <v>4007</v>
      </c>
      <c r="D175" s="3194" t="s">
        <v>5170</v>
      </c>
      <c r="E175" s="3194" t="s">
        <v>5174</v>
      </c>
      <c r="F175" s="3194" t="s">
        <v>4009</v>
      </c>
      <c r="G175" s="3197">
        <v>2174</v>
      </c>
      <c r="H175" s="3194" t="s">
        <v>5348</v>
      </c>
      <c r="I175" s="3194" t="s">
        <v>4184</v>
      </c>
      <c r="J175" s="3194">
        <v>29.76</v>
      </c>
      <c r="K175" s="3219">
        <v>11.27</v>
      </c>
      <c r="L175" s="3222"/>
    </row>
    <row r="176" spans="1:12">
      <c r="A176" s="3190">
        <v>175</v>
      </c>
      <c r="B176" s="3194" t="s">
        <v>4006</v>
      </c>
      <c r="C176" s="3194" t="s">
        <v>5169</v>
      </c>
      <c r="D176" s="3194" t="s">
        <v>5170</v>
      </c>
      <c r="E176" s="3199" t="s">
        <v>6333</v>
      </c>
      <c r="F176" s="3194" t="s">
        <v>5171</v>
      </c>
      <c r="G176" s="3197">
        <v>2175</v>
      </c>
      <c r="H176" s="3194" t="s">
        <v>4185</v>
      </c>
      <c r="I176" s="3194" t="s">
        <v>5349</v>
      </c>
      <c r="J176" s="3194">
        <v>29.76</v>
      </c>
      <c r="K176" s="3219">
        <v>11.27</v>
      </c>
      <c r="L176" s="3222"/>
    </row>
    <row r="177" spans="1:12">
      <c r="A177" s="3190">
        <v>176</v>
      </c>
      <c r="B177" s="3194" t="s">
        <v>5173</v>
      </c>
      <c r="C177" s="3194" t="s">
        <v>4007</v>
      </c>
      <c r="D177" s="3194" t="s">
        <v>5170</v>
      </c>
      <c r="E177" s="3194" t="s">
        <v>5174</v>
      </c>
      <c r="F177" s="3194" t="s">
        <v>4009</v>
      </c>
      <c r="G177" s="3197">
        <v>2176</v>
      </c>
      <c r="H177" s="3194" t="s">
        <v>5350</v>
      </c>
      <c r="I177" s="3194" t="s">
        <v>4186</v>
      </c>
      <c r="J177" s="3194">
        <v>29.76</v>
      </c>
      <c r="K177" s="3219">
        <v>11.27</v>
      </c>
      <c r="L177" s="3222"/>
    </row>
    <row r="178" spans="1:12">
      <c r="A178" s="3190">
        <v>177</v>
      </c>
      <c r="B178" s="3194" t="s">
        <v>4006</v>
      </c>
      <c r="C178" s="3194" t="s">
        <v>5169</v>
      </c>
      <c r="D178" s="3194" t="s">
        <v>5170</v>
      </c>
      <c r="E178" s="3194" t="s">
        <v>4008</v>
      </c>
      <c r="F178" s="3194" t="s">
        <v>5171</v>
      </c>
      <c r="G178" s="3197">
        <v>2177</v>
      </c>
      <c r="H178" s="3194" t="s">
        <v>4187</v>
      </c>
      <c r="I178" s="3194" t="s">
        <v>5351</v>
      </c>
      <c r="J178" s="3194">
        <v>29.76</v>
      </c>
      <c r="K178" s="3219">
        <v>11.27</v>
      </c>
      <c r="L178" s="3222"/>
    </row>
    <row r="179" spans="1:12">
      <c r="A179" s="3190">
        <v>178</v>
      </c>
      <c r="B179" s="3194" t="s">
        <v>5173</v>
      </c>
      <c r="C179" s="3194" t="s">
        <v>4007</v>
      </c>
      <c r="D179" s="3194" t="s">
        <v>5170</v>
      </c>
      <c r="E179" s="3194" t="s">
        <v>5174</v>
      </c>
      <c r="F179" s="3194" t="s">
        <v>4009</v>
      </c>
      <c r="G179" s="3197">
        <v>2178</v>
      </c>
      <c r="H179" s="3194" t="s">
        <v>5352</v>
      </c>
      <c r="I179" s="3194" t="s">
        <v>4188</v>
      </c>
      <c r="J179" s="3194">
        <v>29.76</v>
      </c>
      <c r="K179" s="3219">
        <v>11.27</v>
      </c>
      <c r="L179" s="3222"/>
    </row>
    <row r="180" spans="1:12">
      <c r="A180" s="3190">
        <v>179</v>
      </c>
      <c r="B180" s="3194" t="s">
        <v>4006</v>
      </c>
      <c r="C180" s="3194" t="s">
        <v>5169</v>
      </c>
      <c r="D180" s="3194" t="s">
        <v>5170</v>
      </c>
      <c r="E180" s="3194" t="s">
        <v>4008</v>
      </c>
      <c r="F180" s="3194" t="s">
        <v>5171</v>
      </c>
      <c r="G180" s="3197">
        <v>2179</v>
      </c>
      <c r="H180" s="3194" t="s">
        <v>4189</v>
      </c>
      <c r="I180" s="3194" t="s">
        <v>5353</v>
      </c>
      <c r="J180" s="3194">
        <v>29.76</v>
      </c>
      <c r="K180" s="3219">
        <v>11.27</v>
      </c>
      <c r="L180" s="3222"/>
    </row>
    <row r="181" spans="1:12">
      <c r="A181" s="3190">
        <v>180</v>
      </c>
      <c r="B181" s="3194" t="s">
        <v>5173</v>
      </c>
      <c r="C181" s="3194" t="s">
        <v>4007</v>
      </c>
      <c r="D181" s="3194" t="s">
        <v>5170</v>
      </c>
      <c r="E181" s="3194" t="s">
        <v>5174</v>
      </c>
      <c r="F181" s="3194" t="s">
        <v>4009</v>
      </c>
      <c r="G181" s="3197">
        <v>2180</v>
      </c>
      <c r="H181" s="3194" t="s">
        <v>5354</v>
      </c>
      <c r="I181" s="3194" t="s">
        <v>4190</v>
      </c>
      <c r="J181" s="3194">
        <v>29.76</v>
      </c>
      <c r="K181" s="3219">
        <v>11.27</v>
      </c>
      <c r="L181" s="3222"/>
    </row>
    <row r="182" spans="1:12">
      <c r="A182" s="3190">
        <v>181</v>
      </c>
      <c r="B182" s="3194" t="s">
        <v>4006</v>
      </c>
      <c r="C182" s="3194" t="s">
        <v>5169</v>
      </c>
      <c r="D182" s="3194" t="s">
        <v>5170</v>
      </c>
      <c r="E182" s="3194" t="s">
        <v>4008</v>
      </c>
      <c r="F182" s="3194" t="s">
        <v>5171</v>
      </c>
      <c r="G182" s="3197">
        <v>2181</v>
      </c>
      <c r="H182" s="3194" t="s">
        <v>4191</v>
      </c>
      <c r="I182" s="3194" t="s">
        <v>5355</v>
      </c>
      <c r="J182" s="3194">
        <v>28.18</v>
      </c>
      <c r="K182" s="3219">
        <v>10.67</v>
      </c>
      <c r="L182" s="3222"/>
    </row>
    <row r="183" spans="1:12">
      <c r="A183" s="3190">
        <v>182</v>
      </c>
      <c r="B183" s="3194" t="s">
        <v>5173</v>
      </c>
      <c r="C183" s="3194" t="s">
        <v>4007</v>
      </c>
      <c r="D183" s="3194" t="s">
        <v>5170</v>
      </c>
      <c r="E183" s="3194" t="s">
        <v>5174</v>
      </c>
      <c r="F183" s="3194" t="s">
        <v>4009</v>
      </c>
      <c r="G183" s="3197">
        <v>2182</v>
      </c>
      <c r="H183" s="3194" t="s">
        <v>5356</v>
      </c>
      <c r="I183" s="3194" t="s">
        <v>4192</v>
      </c>
      <c r="J183" s="3194">
        <v>28.18</v>
      </c>
      <c r="K183" s="3219">
        <v>10.67</v>
      </c>
      <c r="L183" s="3222"/>
    </row>
    <row r="184" spans="1:12">
      <c r="A184" s="3190">
        <v>183</v>
      </c>
      <c r="B184" s="3194" t="s">
        <v>4006</v>
      </c>
      <c r="C184" s="3194" t="s">
        <v>5169</v>
      </c>
      <c r="D184" s="3194" t="s">
        <v>5170</v>
      </c>
      <c r="E184" s="3194" t="s">
        <v>4008</v>
      </c>
      <c r="F184" s="3194" t="s">
        <v>5171</v>
      </c>
      <c r="G184" s="3197">
        <v>2183</v>
      </c>
      <c r="H184" s="3194" t="s">
        <v>4193</v>
      </c>
      <c r="I184" s="3194" t="s">
        <v>5357</v>
      </c>
      <c r="J184" s="3194">
        <v>28.18</v>
      </c>
      <c r="K184" s="3219">
        <v>10.67</v>
      </c>
      <c r="L184" s="3222"/>
    </row>
    <row r="185" spans="1:12">
      <c r="A185" s="3190">
        <v>184</v>
      </c>
      <c r="B185" s="3194" t="s">
        <v>5173</v>
      </c>
      <c r="C185" s="3194" t="s">
        <v>4007</v>
      </c>
      <c r="D185" s="3194" t="s">
        <v>5170</v>
      </c>
      <c r="E185" s="3194" t="s">
        <v>5174</v>
      </c>
      <c r="F185" s="3194" t="s">
        <v>4009</v>
      </c>
      <c r="G185" s="3197">
        <v>2184</v>
      </c>
      <c r="H185" s="3194" t="s">
        <v>5358</v>
      </c>
      <c r="I185" s="3194" t="s">
        <v>4194</v>
      </c>
      <c r="J185" s="3194">
        <v>30.74</v>
      </c>
      <c r="K185" s="3219">
        <v>11.64</v>
      </c>
      <c r="L185" s="3222"/>
    </row>
    <row r="186" spans="1:12">
      <c r="A186" s="3190">
        <v>185</v>
      </c>
      <c r="B186" s="3194" t="s">
        <v>4006</v>
      </c>
      <c r="C186" s="3194" t="s">
        <v>5169</v>
      </c>
      <c r="D186" s="3194" t="s">
        <v>5170</v>
      </c>
      <c r="E186" s="3194" t="s">
        <v>4008</v>
      </c>
      <c r="F186" s="3194" t="s">
        <v>5171</v>
      </c>
      <c r="G186" s="3197">
        <v>2185</v>
      </c>
      <c r="H186" s="3194" t="s">
        <v>4195</v>
      </c>
      <c r="I186" s="3194" t="s">
        <v>5359</v>
      </c>
      <c r="J186" s="3194">
        <v>30.74</v>
      </c>
      <c r="K186" s="3219">
        <v>11.64</v>
      </c>
      <c r="L186" s="3222"/>
    </row>
    <row r="187" spans="1:12">
      <c r="A187" s="3190">
        <v>186</v>
      </c>
      <c r="B187" s="3194" t="s">
        <v>5173</v>
      </c>
      <c r="C187" s="3194" t="s">
        <v>4007</v>
      </c>
      <c r="D187" s="3194" t="s">
        <v>5170</v>
      </c>
      <c r="E187" s="3194" t="s">
        <v>5174</v>
      </c>
      <c r="F187" s="3194" t="s">
        <v>4009</v>
      </c>
      <c r="G187" s="3197">
        <v>2186</v>
      </c>
      <c r="H187" s="3194" t="s">
        <v>5360</v>
      </c>
      <c r="I187" s="3199" t="s">
        <v>4196</v>
      </c>
      <c r="J187" s="3194">
        <v>28.18</v>
      </c>
      <c r="K187" s="3219">
        <v>10.67</v>
      </c>
      <c r="L187" s="3222"/>
    </row>
    <row r="188" spans="1:12">
      <c r="A188" s="3190">
        <v>187</v>
      </c>
      <c r="B188" s="3194" t="s">
        <v>4006</v>
      </c>
      <c r="C188" s="3194" t="s">
        <v>5169</v>
      </c>
      <c r="D188" s="3194" t="s">
        <v>5170</v>
      </c>
      <c r="E188" s="3194" t="s">
        <v>4008</v>
      </c>
      <c r="F188" s="3194" t="s">
        <v>5171</v>
      </c>
      <c r="G188" s="3197">
        <v>2187</v>
      </c>
      <c r="H188" s="3194" t="s">
        <v>4197</v>
      </c>
      <c r="I188" s="3194" t="s">
        <v>5361</v>
      </c>
      <c r="J188" s="3194">
        <v>28.18</v>
      </c>
      <c r="K188" s="3219">
        <v>10.67</v>
      </c>
      <c r="L188" s="3222"/>
    </row>
    <row r="189" spans="1:12">
      <c r="A189" s="3190">
        <v>188</v>
      </c>
      <c r="B189" s="3194" t="s">
        <v>5173</v>
      </c>
      <c r="C189" s="3194" t="s">
        <v>4007</v>
      </c>
      <c r="D189" s="3194" t="s">
        <v>5170</v>
      </c>
      <c r="E189" s="3194" t="s">
        <v>5174</v>
      </c>
      <c r="F189" s="3194" t="s">
        <v>4009</v>
      </c>
      <c r="G189" s="3197">
        <v>2188</v>
      </c>
      <c r="H189" s="3194" t="s">
        <v>5362</v>
      </c>
      <c r="I189" s="3194" t="s">
        <v>4198</v>
      </c>
      <c r="J189" s="3194">
        <v>29.47</v>
      </c>
      <c r="K189" s="3219">
        <v>11.16</v>
      </c>
      <c r="L189" s="3222"/>
    </row>
    <row r="190" spans="1:12">
      <c r="A190" s="3190">
        <v>189</v>
      </c>
      <c r="B190" s="3194" t="s">
        <v>4006</v>
      </c>
      <c r="C190" s="3194" t="s">
        <v>5169</v>
      </c>
      <c r="D190" s="3194" t="s">
        <v>5170</v>
      </c>
      <c r="E190" s="3194" t="s">
        <v>4008</v>
      </c>
      <c r="F190" s="3194" t="s">
        <v>5171</v>
      </c>
      <c r="G190" s="3197">
        <v>2189</v>
      </c>
      <c r="H190" s="3194" t="s">
        <v>4199</v>
      </c>
      <c r="I190" s="3194" t="s">
        <v>5363</v>
      </c>
      <c r="J190" s="3194">
        <v>29.47</v>
      </c>
      <c r="K190" s="3219">
        <v>11.16</v>
      </c>
      <c r="L190" s="3222"/>
    </row>
    <row r="191" spans="1:12">
      <c r="A191" s="3190">
        <v>190</v>
      </c>
      <c r="B191" s="3194" t="s">
        <v>5173</v>
      </c>
      <c r="C191" s="3194" t="s">
        <v>4007</v>
      </c>
      <c r="D191" s="3194" t="s">
        <v>5170</v>
      </c>
      <c r="E191" s="3194" t="s">
        <v>5174</v>
      </c>
      <c r="F191" s="3194" t="s">
        <v>4009</v>
      </c>
      <c r="G191" s="3197">
        <v>2190</v>
      </c>
      <c r="H191" s="3194" t="s">
        <v>5364</v>
      </c>
      <c r="I191" s="3194" t="s">
        <v>4200</v>
      </c>
      <c r="J191" s="3194">
        <v>29.47</v>
      </c>
      <c r="K191" s="3219">
        <v>11.16</v>
      </c>
      <c r="L191" s="3222"/>
    </row>
    <row r="192" spans="1:12">
      <c r="A192" s="3190">
        <v>191</v>
      </c>
      <c r="B192" s="3194" t="s">
        <v>4006</v>
      </c>
      <c r="C192" s="3194" t="s">
        <v>5169</v>
      </c>
      <c r="D192" s="3194" t="s">
        <v>5170</v>
      </c>
      <c r="E192" s="3194" t="s">
        <v>4008</v>
      </c>
      <c r="F192" s="3194" t="s">
        <v>5171</v>
      </c>
      <c r="G192" s="3197">
        <v>2191</v>
      </c>
      <c r="H192" s="3194" t="s">
        <v>4201</v>
      </c>
      <c r="I192" s="3194" t="s">
        <v>5365</v>
      </c>
      <c r="J192" s="3194">
        <v>29.47</v>
      </c>
      <c r="K192" s="3219">
        <v>11.16</v>
      </c>
      <c r="L192" s="3222"/>
    </row>
    <row r="193" spans="1:12">
      <c r="A193" s="3190">
        <v>192</v>
      </c>
      <c r="B193" s="3194" t="s">
        <v>5173</v>
      </c>
      <c r="C193" s="3194" t="s">
        <v>4007</v>
      </c>
      <c r="D193" s="3194" t="s">
        <v>5170</v>
      </c>
      <c r="E193" s="3194" t="s">
        <v>5174</v>
      </c>
      <c r="F193" s="3194" t="s">
        <v>4009</v>
      </c>
      <c r="G193" s="3197">
        <v>2192</v>
      </c>
      <c r="H193" s="3194" t="s">
        <v>5366</v>
      </c>
      <c r="I193" s="3194" t="s">
        <v>4202</v>
      </c>
      <c r="J193" s="3194">
        <v>29.47</v>
      </c>
      <c r="K193" s="3219">
        <v>11.16</v>
      </c>
      <c r="L193" s="3222"/>
    </row>
    <row r="194" spans="1:12">
      <c r="A194" s="3190">
        <v>193</v>
      </c>
      <c r="B194" s="3194" t="s">
        <v>4006</v>
      </c>
      <c r="C194" s="3194" t="s">
        <v>5169</v>
      </c>
      <c r="D194" s="3194" t="s">
        <v>5170</v>
      </c>
      <c r="E194" s="3194" t="s">
        <v>4008</v>
      </c>
      <c r="F194" s="3194" t="s">
        <v>5171</v>
      </c>
      <c r="G194" s="3197">
        <v>2193</v>
      </c>
      <c r="H194" s="3194" t="s">
        <v>4203</v>
      </c>
      <c r="I194" s="3194" t="s">
        <v>5367</v>
      </c>
      <c r="J194" s="3194">
        <v>29.47</v>
      </c>
      <c r="K194" s="3219">
        <v>11.16</v>
      </c>
      <c r="L194" s="3222"/>
    </row>
    <row r="195" spans="1:12">
      <c r="A195" s="3190">
        <v>194</v>
      </c>
      <c r="B195" s="3194" t="s">
        <v>5173</v>
      </c>
      <c r="C195" s="3194" t="s">
        <v>4007</v>
      </c>
      <c r="D195" s="3194" t="s">
        <v>5170</v>
      </c>
      <c r="E195" s="3194" t="s">
        <v>5174</v>
      </c>
      <c r="F195" s="3193" t="s">
        <v>4041</v>
      </c>
      <c r="G195" s="3197">
        <v>2194</v>
      </c>
      <c r="H195" s="3194" t="s">
        <v>5368</v>
      </c>
      <c r="I195" s="3194" t="s">
        <v>4204</v>
      </c>
      <c r="J195" s="3194">
        <v>29.47</v>
      </c>
      <c r="K195" s="3219">
        <v>11.16</v>
      </c>
      <c r="L195" s="3222"/>
    </row>
    <row r="196" spans="1:12">
      <c r="A196" s="3190">
        <v>195</v>
      </c>
      <c r="B196" s="3194" t="s">
        <v>4006</v>
      </c>
      <c r="C196" s="3194" t="s">
        <v>5169</v>
      </c>
      <c r="D196" s="3194" t="s">
        <v>5170</v>
      </c>
      <c r="E196" s="3194" t="s">
        <v>4008</v>
      </c>
      <c r="F196" s="3193" t="s">
        <v>5208</v>
      </c>
      <c r="G196" s="3197">
        <v>2195</v>
      </c>
      <c r="H196" s="3194" t="s">
        <v>4205</v>
      </c>
      <c r="I196" s="3194" t="s">
        <v>5369</v>
      </c>
      <c r="J196" s="3194">
        <v>29.47</v>
      </c>
      <c r="K196" s="3219">
        <v>11.16</v>
      </c>
      <c r="L196" s="3222"/>
    </row>
    <row r="197" spans="1:12">
      <c r="A197" s="3190">
        <v>196</v>
      </c>
      <c r="B197" s="3194" t="s">
        <v>5173</v>
      </c>
      <c r="C197" s="3194" t="s">
        <v>4007</v>
      </c>
      <c r="D197" s="3194" t="s">
        <v>5170</v>
      </c>
      <c r="E197" s="3194" t="s">
        <v>5174</v>
      </c>
      <c r="F197" s="3194" t="s">
        <v>4009</v>
      </c>
      <c r="G197" s="3197">
        <v>2196</v>
      </c>
      <c r="H197" s="3194" t="s">
        <v>5370</v>
      </c>
      <c r="I197" s="3194" t="s">
        <v>4206</v>
      </c>
      <c r="J197" s="3194">
        <v>29.47</v>
      </c>
      <c r="K197" s="3219">
        <v>11.16</v>
      </c>
      <c r="L197" s="3222"/>
    </row>
    <row r="198" spans="1:12">
      <c r="A198" s="3190">
        <v>197</v>
      </c>
      <c r="B198" s="3194" t="s">
        <v>4006</v>
      </c>
      <c r="C198" s="3194" t="s">
        <v>5169</v>
      </c>
      <c r="D198" s="3194" t="s">
        <v>5170</v>
      </c>
      <c r="E198" s="3194" t="s">
        <v>4008</v>
      </c>
      <c r="F198" s="3194" t="s">
        <v>5171</v>
      </c>
      <c r="G198" s="3197">
        <v>2197</v>
      </c>
      <c r="H198" s="3194" t="s">
        <v>4207</v>
      </c>
      <c r="I198" s="3194" t="s">
        <v>5371</v>
      </c>
      <c r="J198" s="3194">
        <v>29.47</v>
      </c>
      <c r="K198" s="3219">
        <v>11.16</v>
      </c>
      <c r="L198" s="3222"/>
    </row>
    <row r="199" spans="1:12">
      <c r="A199" s="3190">
        <v>198</v>
      </c>
      <c r="B199" s="3194" t="s">
        <v>5173</v>
      </c>
      <c r="C199" s="3194" t="s">
        <v>4007</v>
      </c>
      <c r="D199" s="3194" t="s">
        <v>5170</v>
      </c>
      <c r="E199" s="3194" t="s">
        <v>5174</v>
      </c>
      <c r="F199" s="3194" t="s">
        <v>4009</v>
      </c>
      <c r="G199" s="3197">
        <v>2198</v>
      </c>
      <c r="H199" s="3194" t="s">
        <v>5372</v>
      </c>
      <c r="I199" s="3194" t="s">
        <v>4208</v>
      </c>
      <c r="J199" s="3194">
        <v>29.47</v>
      </c>
      <c r="K199" s="3219">
        <v>11.16</v>
      </c>
      <c r="L199" s="3222"/>
    </row>
    <row r="200" spans="1:12">
      <c r="A200" s="3190">
        <v>199</v>
      </c>
      <c r="B200" s="3194" t="s">
        <v>4006</v>
      </c>
      <c r="C200" s="3194" t="s">
        <v>5169</v>
      </c>
      <c r="D200" s="3194" t="s">
        <v>5170</v>
      </c>
      <c r="E200" s="3194" t="s">
        <v>4008</v>
      </c>
      <c r="F200" s="3194" t="s">
        <v>5171</v>
      </c>
      <c r="G200" s="3197">
        <v>2199</v>
      </c>
      <c r="H200" s="3194" t="s">
        <v>4209</v>
      </c>
      <c r="I200" s="3194" t="s">
        <v>5373</v>
      </c>
      <c r="J200" s="3194">
        <v>29.47</v>
      </c>
      <c r="K200" s="3219">
        <v>11.16</v>
      </c>
      <c r="L200" s="3222"/>
    </row>
    <row r="201" spans="1:12">
      <c r="A201" s="3190">
        <v>200</v>
      </c>
      <c r="B201" s="3194" t="s">
        <v>5173</v>
      </c>
      <c r="C201" s="3194" t="s">
        <v>4007</v>
      </c>
      <c r="D201" s="3194" t="s">
        <v>5170</v>
      </c>
      <c r="E201" s="3194" t="s">
        <v>5174</v>
      </c>
      <c r="F201" s="3194" t="s">
        <v>4009</v>
      </c>
      <c r="G201" s="3197">
        <v>2200</v>
      </c>
      <c r="H201" s="3194" t="s">
        <v>5374</v>
      </c>
      <c r="I201" s="3194" t="s">
        <v>4210</v>
      </c>
      <c r="J201" s="3194">
        <v>29.47</v>
      </c>
      <c r="K201" s="3219">
        <v>11.16</v>
      </c>
      <c r="L201" s="3222"/>
    </row>
    <row r="202" spans="1:12">
      <c r="A202" s="3190">
        <v>201</v>
      </c>
      <c r="B202" s="3194" t="s">
        <v>4006</v>
      </c>
      <c r="C202" s="3194" t="s">
        <v>5169</v>
      </c>
      <c r="D202" s="3194" t="s">
        <v>5170</v>
      </c>
      <c r="E202" s="3194" t="s">
        <v>4008</v>
      </c>
      <c r="F202" s="3194" t="s">
        <v>5171</v>
      </c>
      <c r="G202" s="3197">
        <v>2201</v>
      </c>
      <c r="H202" s="3194" t="s">
        <v>4211</v>
      </c>
      <c r="I202" s="3194" t="s">
        <v>5375</v>
      </c>
      <c r="J202" s="3194">
        <v>29.47</v>
      </c>
      <c r="K202" s="3219">
        <v>11.16</v>
      </c>
      <c r="L202" s="3222"/>
    </row>
    <row r="203" spans="1:12">
      <c r="A203" s="3190">
        <v>202</v>
      </c>
      <c r="B203" s="3194" t="s">
        <v>5173</v>
      </c>
      <c r="C203" s="3194" t="s">
        <v>4007</v>
      </c>
      <c r="D203" s="3194" t="s">
        <v>5170</v>
      </c>
      <c r="E203" s="3194" t="s">
        <v>5174</v>
      </c>
      <c r="F203" s="3194" t="s">
        <v>4009</v>
      </c>
      <c r="G203" s="3197">
        <v>2202</v>
      </c>
      <c r="H203" s="3194" t="s">
        <v>5376</v>
      </c>
      <c r="I203" s="3194" t="s">
        <v>4212</v>
      </c>
      <c r="J203" s="3194">
        <v>29.76</v>
      </c>
      <c r="K203" s="3219">
        <v>11.27</v>
      </c>
      <c r="L203" s="3222"/>
    </row>
    <row r="204" spans="1:12">
      <c r="A204" s="3190">
        <v>203</v>
      </c>
      <c r="B204" s="3194" t="s">
        <v>4006</v>
      </c>
      <c r="C204" s="3194" t="s">
        <v>5169</v>
      </c>
      <c r="D204" s="3194" t="s">
        <v>5170</v>
      </c>
      <c r="E204" s="3194" t="s">
        <v>4008</v>
      </c>
      <c r="F204" s="3194" t="s">
        <v>5171</v>
      </c>
      <c r="G204" s="3197">
        <v>2203</v>
      </c>
      <c r="H204" s="3194" t="s">
        <v>4213</v>
      </c>
      <c r="I204" s="3194" t="s">
        <v>5377</v>
      </c>
      <c r="J204" s="3194">
        <v>29.76</v>
      </c>
      <c r="K204" s="3219">
        <v>11.27</v>
      </c>
      <c r="L204" s="3222"/>
    </row>
    <row r="205" spans="1:12">
      <c r="A205" s="3190">
        <v>204</v>
      </c>
      <c r="B205" s="3194" t="s">
        <v>5173</v>
      </c>
      <c r="C205" s="3194" t="s">
        <v>4007</v>
      </c>
      <c r="D205" s="3194" t="s">
        <v>5170</v>
      </c>
      <c r="E205" s="3194" t="s">
        <v>5174</v>
      </c>
      <c r="F205" s="3194" t="s">
        <v>4009</v>
      </c>
      <c r="G205" s="3197">
        <v>2204</v>
      </c>
      <c r="H205" s="3194" t="s">
        <v>5378</v>
      </c>
      <c r="I205" s="3194" t="s">
        <v>4214</v>
      </c>
      <c r="J205" s="3194">
        <v>29.76</v>
      </c>
      <c r="K205" s="3219">
        <v>11.27</v>
      </c>
      <c r="L205" s="3222"/>
    </row>
    <row r="206" spans="1:12">
      <c r="A206" s="3190">
        <v>205</v>
      </c>
      <c r="B206" s="3194" t="s">
        <v>4006</v>
      </c>
      <c r="C206" s="3194" t="s">
        <v>5169</v>
      </c>
      <c r="D206" s="3194" t="s">
        <v>5170</v>
      </c>
      <c r="E206" s="3194" t="s">
        <v>4008</v>
      </c>
      <c r="F206" s="3194" t="s">
        <v>5171</v>
      </c>
      <c r="G206" s="3197">
        <v>2205</v>
      </c>
      <c r="H206" s="3194" t="s">
        <v>4215</v>
      </c>
      <c r="I206" s="3194" t="s">
        <v>5379</v>
      </c>
      <c r="J206" s="3194">
        <v>29.76</v>
      </c>
      <c r="K206" s="3219">
        <v>11.27</v>
      </c>
      <c r="L206" s="3222"/>
    </row>
    <row r="207" spans="1:12">
      <c r="A207" s="3190">
        <v>206</v>
      </c>
      <c r="B207" s="3194" t="s">
        <v>5173</v>
      </c>
      <c r="C207" s="3194" t="s">
        <v>4007</v>
      </c>
      <c r="D207" s="3194" t="s">
        <v>5170</v>
      </c>
      <c r="E207" s="3194" t="s">
        <v>5174</v>
      </c>
      <c r="F207" s="3194" t="s">
        <v>4009</v>
      </c>
      <c r="G207" s="3197">
        <v>2206</v>
      </c>
      <c r="H207" s="3194" t="s">
        <v>5380</v>
      </c>
      <c r="I207" s="3194" t="s">
        <v>4216</v>
      </c>
      <c r="J207" s="3194">
        <v>29.76</v>
      </c>
      <c r="K207" s="3219">
        <v>11.27</v>
      </c>
      <c r="L207" s="3222"/>
    </row>
    <row r="208" spans="1:12">
      <c r="A208" s="3190">
        <v>207</v>
      </c>
      <c r="B208" s="3194" t="s">
        <v>4006</v>
      </c>
      <c r="C208" s="3194" t="s">
        <v>5169</v>
      </c>
      <c r="D208" s="3194" t="s">
        <v>5170</v>
      </c>
      <c r="E208" s="3194" t="s">
        <v>4008</v>
      </c>
      <c r="F208" s="3194" t="s">
        <v>5171</v>
      </c>
      <c r="G208" s="3197">
        <v>2207</v>
      </c>
      <c r="H208" s="3194" t="s">
        <v>4217</v>
      </c>
      <c r="I208" s="3194" t="s">
        <v>5381</v>
      </c>
      <c r="J208" s="3194">
        <v>29.76</v>
      </c>
      <c r="K208" s="3219">
        <v>11.27</v>
      </c>
      <c r="L208" s="3222"/>
    </row>
    <row r="209" spans="1:12">
      <c r="A209" s="3190">
        <v>208</v>
      </c>
      <c r="B209" s="3194" t="s">
        <v>5173</v>
      </c>
      <c r="C209" s="3194" t="s">
        <v>4007</v>
      </c>
      <c r="D209" s="3194" t="s">
        <v>5170</v>
      </c>
      <c r="E209" s="3194" t="s">
        <v>5174</v>
      </c>
      <c r="F209" s="3194" t="s">
        <v>4009</v>
      </c>
      <c r="G209" s="3197">
        <v>2208</v>
      </c>
      <c r="H209" s="3194" t="s">
        <v>5382</v>
      </c>
      <c r="I209" s="3194" t="s">
        <v>4218</v>
      </c>
      <c r="J209" s="3194">
        <v>29.76</v>
      </c>
      <c r="K209" s="3219">
        <v>11.27</v>
      </c>
      <c r="L209" s="3222"/>
    </row>
    <row r="210" spans="1:12">
      <c r="A210" s="3190">
        <v>209</v>
      </c>
      <c r="B210" s="3194" t="s">
        <v>4006</v>
      </c>
      <c r="C210" s="3194" t="s">
        <v>5169</v>
      </c>
      <c r="D210" s="3194" t="s">
        <v>5170</v>
      </c>
      <c r="E210" s="3194" t="s">
        <v>4008</v>
      </c>
      <c r="F210" s="3193" t="s">
        <v>5208</v>
      </c>
      <c r="G210" s="3197">
        <v>2209</v>
      </c>
      <c r="H210" s="3194" t="s">
        <v>4219</v>
      </c>
      <c r="I210" s="3194" t="s">
        <v>5383</v>
      </c>
      <c r="J210" s="3194">
        <v>29.76</v>
      </c>
      <c r="K210" s="3219">
        <v>11.27</v>
      </c>
      <c r="L210" s="3222"/>
    </row>
    <row r="211" spans="1:12">
      <c r="A211" s="3190">
        <v>210</v>
      </c>
      <c r="B211" s="3194" t="s">
        <v>5173</v>
      </c>
      <c r="C211" s="3194" t="s">
        <v>4007</v>
      </c>
      <c r="D211" s="3194" t="s">
        <v>5170</v>
      </c>
      <c r="E211" s="3194" t="s">
        <v>5174</v>
      </c>
      <c r="F211" s="3194" t="s">
        <v>4009</v>
      </c>
      <c r="G211" s="3197">
        <v>2210</v>
      </c>
      <c r="H211" s="3194" t="s">
        <v>5384</v>
      </c>
      <c r="I211" s="3194" t="s">
        <v>4220</v>
      </c>
      <c r="J211" s="3194">
        <v>29.76</v>
      </c>
      <c r="K211" s="3219">
        <v>11.27</v>
      </c>
      <c r="L211" s="3222"/>
    </row>
    <row r="212" spans="1:12">
      <c r="A212" s="3190">
        <v>211</v>
      </c>
      <c r="B212" s="3194" t="s">
        <v>4006</v>
      </c>
      <c r="C212" s="3194" t="s">
        <v>5169</v>
      </c>
      <c r="D212" s="3194" t="s">
        <v>5170</v>
      </c>
      <c r="E212" s="3194" t="s">
        <v>4008</v>
      </c>
      <c r="F212" s="3194" t="s">
        <v>5171</v>
      </c>
      <c r="G212" s="3197">
        <v>2211</v>
      </c>
      <c r="H212" s="3194" t="s">
        <v>4221</v>
      </c>
      <c r="I212" s="3194" t="s">
        <v>5385</v>
      </c>
      <c r="J212" s="3194">
        <v>29.76</v>
      </c>
      <c r="K212" s="3219">
        <v>11.27</v>
      </c>
      <c r="L212" s="3222"/>
    </row>
    <row r="213" spans="1:12">
      <c r="A213" s="3190">
        <v>212</v>
      </c>
      <c r="B213" s="3194" t="s">
        <v>5173</v>
      </c>
      <c r="C213" s="3194" t="s">
        <v>4007</v>
      </c>
      <c r="D213" s="3194" t="s">
        <v>5170</v>
      </c>
      <c r="E213" s="3194" t="s">
        <v>5174</v>
      </c>
      <c r="F213" s="3194" t="s">
        <v>4009</v>
      </c>
      <c r="G213" s="3197">
        <v>2212</v>
      </c>
      <c r="H213" s="3194" t="s">
        <v>5386</v>
      </c>
      <c r="I213" s="3194" t="s">
        <v>4222</v>
      </c>
      <c r="J213" s="3194">
        <v>29.76</v>
      </c>
      <c r="K213" s="3219">
        <v>11.27</v>
      </c>
      <c r="L213" s="3222"/>
    </row>
    <row r="214" spans="1:12">
      <c r="A214" s="3190">
        <v>213</v>
      </c>
      <c r="B214" s="3194" t="s">
        <v>4006</v>
      </c>
      <c r="C214" s="3194" t="s">
        <v>5169</v>
      </c>
      <c r="D214" s="3194" t="s">
        <v>5170</v>
      </c>
      <c r="E214" s="3194" t="s">
        <v>4008</v>
      </c>
      <c r="F214" s="3194" t="s">
        <v>5171</v>
      </c>
      <c r="G214" s="3197">
        <v>2213</v>
      </c>
      <c r="H214" s="3194" t="s">
        <v>4223</v>
      </c>
      <c r="I214" s="3194" t="s">
        <v>5387</v>
      </c>
      <c r="J214" s="3194">
        <v>29.76</v>
      </c>
      <c r="K214" s="3219">
        <v>11.27</v>
      </c>
      <c r="L214" s="3222"/>
    </row>
    <row r="215" spans="1:12">
      <c r="A215" s="3190">
        <v>214</v>
      </c>
      <c r="B215" s="3194" t="s">
        <v>5173</v>
      </c>
      <c r="C215" s="3194" t="s">
        <v>4007</v>
      </c>
      <c r="D215" s="3194" t="s">
        <v>5170</v>
      </c>
      <c r="E215" s="3194" t="s">
        <v>5174</v>
      </c>
      <c r="F215" s="3194" t="s">
        <v>4009</v>
      </c>
      <c r="G215" s="3197">
        <v>2214</v>
      </c>
      <c r="H215" s="3194" t="s">
        <v>5388</v>
      </c>
      <c r="I215" s="3194" t="s">
        <v>4224</v>
      </c>
      <c r="J215" s="3194">
        <v>29.76</v>
      </c>
      <c r="K215" s="3219">
        <v>11.27</v>
      </c>
      <c r="L215" s="3222"/>
    </row>
    <row r="216" spans="1:12">
      <c r="A216" s="3190">
        <v>215</v>
      </c>
      <c r="B216" s="3194" t="s">
        <v>4006</v>
      </c>
      <c r="C216" s="3194" t="s">
        <v>5169</v>
      </c>
      <c r="D216" s="3194" t="s">
        <v>5170</v>
      </c>
      <c r="E216" s="3194" t="s">
        <v>4008</v>
      </c>
      <c r="F216" s="3194" t="s">
        <v>5171</v>
      </c>
      <c r="G216" s="3197">
        <v>2215</v>
      </c>
      <c r="H216" s="3194" t="s">
        <v>4225</v>
      </c>
      <c r="I216" s="3194" t="s">
        <v>5389</v>
      </c>
      <c r="J216" s="3194">
        <v>28.47</v>
      </c>
      <c r="K216" s="3219">
        <v>10.78</v>
      </c>
      <c r="L216" s="3222"/>
    </row>
    <row r="217" spans="1:12">
      <c r="A217" s="3190">
        <v>216</v>
      </c>
      <c r="B217" s="3194" t="s">
        <v>5173</v>
      </c>
      <c r="C217" s="3194" t="s">
        <v>4007</v>
      </c>
      <c r="D217" s="3194" t="s">
        <v>5170</v>
      </c>
      <c r="E217" s="3194" t="s">
        <v>5174</v>
      </c>
      <c r="F217" s="3194" t="s">
        <v>4009</v>
      </c>
      <c r="G217" s="3197">
        <v>2216</v>
      </c>
      <c r="H217" s="3194" t="s">
        <v>5390</v>
      </c>
      <c r="I217" s="3194" t="s">
        <v>4226</v>
      </c>
      <c r="J217" s="3194">
        <v>30.74</v>
      </c>
      <c r="K217" s="3219">
        <v>11.64</v>
      </c>
      <c r="L217" s="3222"/>
    </row>
    <row r="218" spans="1:12">
      <c r="A218" s="3190">
        <v>217</v>
      </c>
      <c r="B218" s="3194" t="s">
        <v>4006</v>
      </c>
      <c r="C218" s="3194" t="s">
        <v>5169</v>
      </c>
      <c r="D218" s="3194" t="s">
        <v>5170</v>
      </c>
      <c r="E218" s="3194" t="s">
        <v>4008</v>
      </c>
      <c r="F218" s="3194" t="s">
        <v>5171</v>
      </c>
      <c r="G218" s="3197">
        <v>2217</v>
      </c>
      <c r="H218" s="3194" t="s">
        <v>4227</v>
      </c>
      <c r="I218" s="3194" t="s">
        <v>5391</v>
      </c>
      <c r="J218" s="3194">
        <v>30.74</v>
      </c>
      <c r="K218" s="3219">
        <v>11.64</v>
      </c>
      <c r="L218" s="3222"/>
    </row>
    <row r="219" spans="1:12">
      <c r="A219" s="3190">
        <v>218</v>
      </c>
      <c r="B219" s="3194" t="s">
        <v>5173</v>
      </c>
      <c r="C219" s="3194" t="s">
        <v>4007</v>
      </c>
      <c r="D219" s="3194" t="s">
        <v>5170</v>
      </c>
      <c r="E219" s="3194" t="s">
        <v>5174</v>
      </c>
      <c r="F219" s="3194" t="s">
        <v>4009</v>
      </c>
      <c r="G219" s="3197">
        <v>2218</v>
      </c>
      <c r="H219" s="3194" t="s">
        <v>5392</v>
      </c>
      <c r="I219" s="3194" t="s">
        <v>4228</v>
      </c>
      <c r="J219" s="3194">
        <v>29.47</v>
      </c>
      <c r="K219" s="3219">
        <v>11.16</v>
      </c>
      <c r="L219" s="3222"/>
    </row>
    <row r="220" spans="1:12">
      <c r="A220" s="3190">
        <v>219</v>
      </c>
      <c r="B220" s="3194" t="s">
        <v>4006</v>
      </c>
      <c r="C220" s="3194" t="s">
        <v>5169</v>
      </c>
      <c r="D220" s="3194" t="s">
        <v>5170</v>
      </c>
      <c r="E220" s="3194" t="s">
        <v>4008</v>
      </c>
      <c r="F220" s="3194" t="s">
        <v>5171</v>
      </c>
      <c r="G220" s="3197">
        <v>2219</v>
      </c>
      <c r="H220" s="3194" t="s">
        <v>4229</v>
      </c>
      <c r="I220" s="3194" t="s">
        <v>5393</v>
      </c>
      <c r="J220" s="3194">
        <v>29.47</v>
      </c>
      <c r="K220" s="3219">
        <v>11.16</v>
      </c>
      <c r="L220" s="3222"/>
    </row>
    <row r="221" spans="1:12">
      <c r="A221" s="3190">
        <v>220</v>
      </c>
      <c r="B221" s="3194" t="s">
        <v>5173</v>
      </c>
      <c r="C221" s="3194" t="s">
        <v>4007</v>
      </c>
      <c r="D221" s="3194" t="s">
        <v>5170</v>
      </c>
      <c r="E221" s="3194" t="s">
        <v>5174</v>
      </c>
      <c r="F221" s="3194" t="s">
        <v>4009</v>
      </c>
      <c r="G221" s="3197">
        <v>2220</v>
      </c>
      <c r="H221" s="3194" t="s">
        <v>5394</v>
      </c>
      <c r="I221" s="3194" t="s">
        <v>4230</v>
      </c>
      <c r="J221" s="3194">
        <v>29.47</v>
      </c>
      <c r="K221" s="3219">
        <v>11.16</v>
      </c>
      <c r="L221" s="3222"/>
    </row>
    <row r="222" spans="1:12">
      <c r="A222" s="3190">
        <v>221</v>
      </c>
      <c r="B222" s="3194" t="s">
        <v>4006</v>
      </c>
      <c r="C222" s="3194" t="s">
        <v>5169</v>
      </c>
      <c r="D222" s="3194" t="s">
        <v>5170</v>
      </c>
      <c r="E222" s="3194" t="s">
        <v>4008</v>
      </c>
      <c r="F222" s="3194" t="s">
        <v>5171</v>
      </c>
      <c r="G222" s="3197">
        <v>2221</v>
      </c>
      <c r="H222" s="3194" t="s">
        <v>4231</v>
      </c>
      <c r="I222" s="3194" t="s">
        <v>5395</v>
      </c>
      <c r="J222" s="3194">
        <v>29.47</v>
      </c>
      <c r="K222" s="3219">
        <v>11.16</v>
      </c>
      <c r="L222" s="3222"/>
    </row>
    <row r="223" spans="1:12">
      <c r="A223" s="3190">
        <v>222</v>
      </c>
      <c r="B223" s="3194" t="s">
        <v>5173</v>
      </c>
      <c r="C223" s="3194" t="s">
        <v>4007</v>
      </c>
      <c r="D223" s="3194" t="s">
        <v>5170</v>
      </c>
      <c r="E223" s="3194" t="s">
        <v>5174</v>
      </c>
      <c r="F223" s="3194" t="s">
        <v>4009</v>
      </c>
      <c r="G223" s="3197">
        <v>2222</v>
      </c>
      <c r="H223" s="3194" t="s">
        <v>5396</v>
      </c>
      <c r="I223" s="3194" t="s">
        <v>4232</v>
      </c>
      <c r="J223" s="3194">
        <v>31.06</v>
      </c>
      <c r="K223" s="3219">
        <v>11.76</v>
      </c>
      <c r="L223" s="3222"/>
    </row>
    <row r="224" spans="1:12">
      <c r="A224" s="3190">
        <v>223</v>
      </c>
      <c r="B224" s="3194" t="s">
        <v>4006</v>
      </c>
      <c r="C224" s="3194" t="s">
        <v>5169</v>
      </c>
      <c r="D224" s="3194" t="s">
        <v>5170</v>
      </c>
      <c r="E224" s="3199" t="s">
        <v>6333</v>
      </c>
      <c r="F224" s="3194" t="s">
        <v>5171</v>
      </c>
      <c r="G224" s="3197">
        <v>2223</v>
      </c>
      <c r="H224" s="3194" t="s">
        <v>4233</v>
      </c>
      <c r="I224" s="3194" t="s">
        <v>5397</v>
      </c>
      <c r="J224" s="3194">
        <v>31.06</v>
      </c>
      <c r="K224" s="3219">
        <v>11.76</v>
      </c>
      <c r="L224" s="3222"/>
    </row>
    <row r="225" spans="1:12">
      <c r="A225" s="3190">
        <v>224</v>
      </c>
      <c r="B225" s="3194" t="s">
        <v>5173</v>
      </c>
      <c r="C225" s="3194" t="s">
        <v>4007</v>
      </c>
      <c r="D225" s="3194" t="s">
        <v>5170</v>
      </c>
      <c r="E225" s="3194" t="s">
        <v>5174</v>
      </c>
      <c r="F225" s="3194" t="s">
        <v>4009</v>
      </c>
      <c r="G225" s="3197">
        <v>2224</v>
      </c>
      <c r="H225" s="3194" t="s">
        <v>5398</v>
      </c>
      <c r="I225" s="3194" t="s">
        <v>4234</v>
      </c>
      <c r="J225" s="3194">
        <v>31.06</v>
      </c>
      <c r="K225" s="3219">
        <v>11.76</v>
      </c>
      <c r="L225" s="3222"/>
    </row>
    <row r="226" spans="1:12">
      <c r="A226" s="3190">
        <v>225</v>
      </c>
      <c r="B226" s="3194" t="s">
        <v>4006</v>
      </c>
      <c r="C226" s="3194" t="s">
        <v>5169</v>
      </c>
      <c r="D226" s="3194" t="s">
        <v>5170</v>
      </c>
      <c r="E226" s="3194" t="s">
        <v>4008</v>
      </c>
      <c r="F226" s="3194" t="s">
        <v>5171</v>
      </c>
      <c r="G226" s="3197">
        <v>2225</v>
      </c>
      <c r="H226" s="3194" t="s">
        <v>4235</v>
      </c>
      <c r="I226" s="3194" t="s">
        <v>5399</v>
      </c>
      <c r="J226" s="3194">
        <v>31.06</v>
      </c>
      <c r="K226" s="3219">
        <v>11.76</v>
      </c>
      <c r="L226" s="3222"/>
    </row>
    <row r="227" spans="1:12">
      <c r="A227" s="3190">
        <v>226</v>
      </c>
      <c r="B227" s="3194" t="s">
        <v>5173</v>
      </c>
      <c r="C227" s="3194" t="s">
        <v>4007</v>
      </c>
      <c r="D227" s="3194" t="s">
        <v>5170</v>
      </c>
      <c r="E227" s="3194" t="s">
        <v>5174</v>
      </c>
      <c r="F227" s="3194" t="s">
        <v>4009</v>
      </c>
      <c r="G227" s="3197">
        <v>2226</v>
      </c>
      <c r="H227" s="3194" t="s">
        <v>5400</v>
      </c>
      <c r="I227" s="3194" t="s">
        <v>4236</v>
      </c>
      <c r="J227" s="3194">
        <v>29.76</v>
      </c>
      <c r="K227" s="3219">
        <v>11.27</v>
      </c>
      <c r="L227" s="3222"/>
    </row>
    <row r="228" spans="1:12">
      <c r="A228" s="3190">
        <v>227</v>
      </c>
      <c r="B228" s="3194" t="s">
        <v>4006</v>
      </c>
      <c r="C228" s="3194" t="s">
        <v>5169</v>
      </c>
      <c r="D228" s="3194" t="s">
        <v>5170</v>
      </c>
      <c r="E228" s="3194" t="s">
        <v>4008</v>
      </c>
      <c r="F228" s="3194" t="s">
        <v>5171</v>
      </c>
      <c r="G228" s="3197">
        <v>2227</v>
      </c>
      <c r="H228" s="3194" t="s">
        <v>4237</v>
      </c>
      <c r="I228" s="3194" t="s">
        <v>5401</v>
      </c>
      <c r="J228" s="3194">
        <v>29.76</v>
      </c>
      <c r="K228" s="3219">
        <v>11.27</v>
      </c>
      <c r="L228" s="3222"/>
    </row>
    <row r="229" spans="1:12">
      <c r="A229" s="3190">
        <v>228</v>
      </c>
      <c r="B229" s="3194" t="s">
        <v>5173</v>
      </c>
      <c r="C229" s="3194" t="s">
        <v>4007</v>
      </c>
      <c r="D229" s="3194" t="s">
        <v>5170</v>
      </c>
      <c r="E229" s="3194" t="s">
        <v>5174</v>
      </c>
      <c r="F229" s="3194" t="s">
        <v>4009</v>
      </c>
      <c r="G229" s="3197">
        <v>2228</v>
      </c>
      <c r="H229" s="3194" t="s">
        <v>5402</v>
      </c>
      <c r="I229" s="3194" t="s">
        <v>4238</v>
      </c>
      <c r="J229" s="3194">
        <v>29.76</v>
      </c>
      <c r="K229" s="3219">
        <v>11.27</v>
      </c>
      <c r="L229" s="3222"/>
    </row>
    <row r="230" spans="1:12">
      <c r="A230" s="3190">
        <v>229</v>
      </c>
      <c r="B230" s="3194" t="s">
        <v>4006</v>
      </c>
      <c r="C230" s="3194" t="s">
        <v>5169</v>
      </c>
      <c r="D230" s="3194" t="s">
        <v>5170</v>
      </c>
      <c r="E230" s="3194" t="s">
        <v>4008</v>
      </c>
      <c r="F230" s="3194" t="s">
        <v>5171</v>
      </c>
      <c r="G230" s="3197">
        <v>2229</v>
      </c>
      <c r="H230" s="3194" t="s">
        <v>4239</v>
      </c>
      <c r="I230" s="3194" t="s">
        <v>5403</v>
      </c>
      <c r="J230" s="3194">
        <v>29.76</v>
      </c>
      <c r="K230" s="3219">
        <v>11.27</v>
      </c>
      <c r="L230" s="3222"/>
    </row>
    <row r="231" spans="1:12">
      <c r="A231" s="3190">
        <v>230</v>
      </c>
      <c r="B231" s="3194" t="s">
        <v>5173</v>
      </c>
      <c r="C231" s="3194" t="s">
        <v>4007</v>
      </c>
      <c r="D231" s="3194" t="s">
        <v>5170</v>
      </c>
      <c r="E231" s="3194" t="s">
        <v>5174</v>
      </c>
      <c r="F231" s="3194" t="s">
        <v>4009</v>
      </c>
      <c r="G231" s="3197">
        <v>2230</v>
      </c>
      <c r="H231" s="3194" t="s">
        <v>5404</v>
      </c>
      <c r="I231" s="3194" t="s">
        <v>4240</v>
      </c>
      <c r="J231" s="3194">
        <v>29.76</v>
      </c>
      <c r="K231" s="3219">
        <v>11.27</v>
      </c>
      <c r="L231" s="3222"/>
    </row>
    <row r="232" spans="1:12">
      <c r="A232" s="3190">
        <v>231</v>
      </c>
      <c r="B232" s="3194" t="s">
        <v>4006</v>
      </c>
      <c r="C232" s="3194" t="s">
        <v>5169</v>
      </c>
      <c r="D232" s="3194" t="s">
        <v>5170</v>
      </c>
      <c r="E232" s="3194" t="s">
        <v>4008</v>
      </c>
      <c r="F232" s="3194" t="s">
        <v>5171</v>
      </c>
      <c r="G232" s="3197">
        <v>2231</v>
      </c>
      <c r="H232" s="3194" t="s">
        <v>4241</v>
      </c>
      <c r="I232" s="3194" t="s">
        <v>5405</v>
      </c>
      <c r="J232" s="3194">
        <v>29.76</v>
      </c>
      <c r="K232" s="3219">
        <v>11.27</v>
      </c>
      <c r="L232" s="3222"/>
    </row>
    <row r="233" spans="1:12">
      <c r="A233" s="3190">
        <v>232</v>
      </c>
      <c r="B233" s="3194" t="s">
        <v>5173</v>
      </c>
      <c r="C233" s="3194" t="s">
        <v>4007</v>
      </c>
      <c r="D233" s="3194" t="s">
        <v>5170</v>
      </c>
      <c r="E233" s="3194" t="s">
        <v>5174</v>
      </c>
      <c r="F233" s="3194" t="s">
        <v>4009</v>
      </c>
      <c r="G233" s="3197">
        <v>2232</v>
      </c>
      <c r="H233" s="3194" t="s">
        <v>5406</v>
      </c>
      <c r="I233" s="3194" t="s">
        <v>4242</v>
      </c>
      <c r="J233" s="3194">
        <v>29.47</v>
      </c>
      <c r="K233" s="3219">
        <v>11.16</v>
      </c>
      <c r="L233" s="3222"/>
    </row>
    <row r="234" spans="1:12">
      <c r="A234" s="3190">
        <v>233</v>
      </c>
      <c r="B234" s="3191" t="s">
        <v>4006</v>
      </c>
      <c r="C234" s="3191" t="s">
        <v>5169</v>
      </c>
      <c r="D234" s="3192" t="s">
        <v>5170</v>
      </c>
      <c r="E234" s="3191" t="s">
        <v>4008</v>
      </c>
      <c r="F234" s="3193" t="s">
        <v>5208</v>
      </c>
      <c r="G234" s="3197">
        <v>2233</v>
      </c>
      <c r="H234" s="3191" t="s">
        <v>4243</v>
      </c>
      <c r="I234" s="3191" t="s">
        <v>5407</v>
      </c>
      <c r="J234" s="3194">
        <v>29.47</v>
      </c>
      <c r="K234" s="3219">
        <v>11.16</v>
      </c>
      <c r="L234" s="3221"/>
    </row>
    <row r="235" spans="1:12">
      <c r="A235" s="3190">
        <v>234</v>
      </c>
      <c r="B235" s="3191" t="s">
        <v>5173</v>
      </c>
      <c r="C235" s="3191" t="s">
        <v>4007</v>
      </c>
      <c r="D235" s="3192" t="s">
        <v>5170</v>
      </c>
      <c r="E235" s="3191" t="s">
        <v>5174</v>
      </c>
      <c r="F235" s="3193" t="s">
        <v>4009</v>
      </c>
      <c r="G235" s="3197">
        <v>2234</v>
      </c>
      <c r="H235" s="3191" t="s">
        <v>5408</v>
      </c>
      <c r="I235" s="3191" t="s">
        <v>4244</v>
      </c>
      <c r="J235" s="3194">
        <v>29.47</v>
      </c>
      <c r="K235" s="3219">
        <v>11.16</v>
      </c>
      <c r="L235" s="3221"/>
    </row>
    <row r="236" spans="1:12">
      <c r="A236" s="3190">
        <v>235</v>
      </c>
      <c r="B236" s="3191" t="s">
        <v>4006</v>
      </c>
      <c r="C236" s="3191" t="s">
        <v>5169</v>
      </c>
      <c r="D236" s="3192" t="s">
        <v>5170</v>
      </c>
      <c r="E236" s="3191" t="s">
        <v>4008</v>
      </c>
      <c r="F236" s="3193" t="s">
        <v>5171</v>
      </c>
      <c r="G236" s="3197">
        <v>2235</v>
      </c>
      <c r="H236" s="3191" t="s">
        <v>4245</v>
      </c>
      <c r="I236" s="3191" t="s">
        <v>5409</v>
      </c>
      <c r="J236" s="3194">
        <v>29.47</v>
      </c>
      <c r="K236" s="3219">
        <v>11.16</v>
      </c>
      <c r="L236" s="3221"/>
    </row>
    <row r="237" spans="1:12">
      <c r="A237" s="3190">
        <v>236</v>
      </c>
      <c r="B237" s="3191" t="s">
        <v>5173</v>
      </c>
      <c r="C237" s="3191" t="s">
        <v>4007</v>
      </c>
      <c r="D237" s="3192" t="s">
        <v>5170</v>
      </c>
      <c r="E237" s="3191" t="s">
        <v>5174</v>
      </c>
      <c r="F237" s="3193" t="s">
        <v>4009</v>
      </c>
      <c r="G237" s="3197">
        <v>2236</v>
      </c>
      <c r="H237" s="3191" t="s">
        <v>5410</v>
      </c>
      <c r="I237" s="3191" t="s">
        <v>4246</v>
      </c>
      <c r="J237" s="3194">
        <v>29.47</v>
      </c>
      <c r="K237" s="3219">
        <v>11.16</v>
      </c>
      <c r="L237" s="3221"/>
    </row>
    <row r="238" spans="1:12">
      <c r="A238" s="3190">
        <v>237</v>
      </c>
      <c r="B238" s="3191" t="s">
        <v>4006</v>
      </c>
      <c r="C238" s="3191" t="s">
        <v>5169</v>
      </c>
      <c r="D238" s="3192" t="s">
        <v>5170</v>
      </c>
      <c r="E238" s="3191" t="s">
        <v>4008</v>
      </c>
      <c r="F238" s="3193" t="s">
        <v>5171</v>
      </c>
      <c r="G238" s="3197">
        <v>2237</v>
      </c>
      <c r="H238" s="3191" t="s">
        <v>4247</v>
      </c>
      <c r="I238" s="3191" t="s">
        <v>5411</v>
      </c>
      <c r="J238" s="3194">
        <v>29.47</v>
      </c>
      <c r="K238" s="3219">
        <v>11.16</v>
      </c>
      <c r="L238" s="3221"/>
    </row>
    <row r="239" spans="1:12">
      <c r="A239" s="3190">
        <v>238</v>
      </c>
      <c r="B239" s="3191" t="s">
        <v>5173</v>
      </c>
      <c r="C239" s="3191" t="s">
        <v>4007</v>
      </c>
      <c r="D239" s="3192" t="s">
        <v>5170</v>
      </c>
      <c r="E239" s="3191" t="s">
        <v>5174</v>
      </c>
      <c r="F239" s="3193" t="s">
        <v>4009</v>
      </c>
      <c r="G239" s="3197">
        <v>2238</v>
      </c>
      <c r="H239" s="3191" t="s">
        <v>5412</v>
      </c>
      <c r="I239" s="3191" t="s">
        <v>4248</v>
      </c>
      <c r="J239" s="3194">
        <v>29.47</v>
      </c>
      <c r="K239" s="3219">
        <v>11.16</v>
      </c>
      <c r="L239" s="3221"/>
    </row>
    <row r="240" spans="1:12">
      <c r="A240" s="3190">
        <v>239</v>
      </c>
      <c r="B240" s="3191" t="s">
        <v>4006</v>
      </c>
      <c r="C240" s="3191" t="s">
        <v>5169</v>
      </c>
      <c r="D240" s="3192" t="s">
        <v>5170</v>
      </c>
      <c r="E240" s="3191" t="s">
        <v>4008</v>
      </c>
      <c r="F240" s="3193" t="s">
        <v>5171</v>
      </c>
      <c r="G240" s="3197">
        <v>2239</v>
      </c>
      <c r="H240" s="3191" t="s">
        <v>4249</v>
      </c>
      <c r="I240" s="3191" t="s">
        <v>5413</v>
      </c>
      <c r="J240" s="3194">
        <v>29.47</v>
      </c>
      <c r="K240" s="3219">
        <v>11.16</v>
      </c>
      <c r="L240" s="3221"/>
    </row>
    <row r="241" spans="1:12">
      <c r="A241" s="3190">
        <v>240</v>
      </c>
      <c r="B241" s="3191" t="s">
        <v>5173</v>
      </c>
      <c r="C241" s="3191" t="s">
        <v>4007</v>
      </c>
      <c r="D241" s="3192" t="s">
        <v>5170</v>
      </c>
      <c r="E241" s="3191" t="s">
        <v>5174</v>
      </c>
      <c r="F241" s="3193" t="s">
        <v>4009</v>
      </c>
      <c r="G241" s="3197">
        <v>2240</v>
      </c>
      <c r="H241" s="3191" t="s">
        <v>5414</v>
      </c>
      <c r="I241" s="3191" t="s">
        <v>4250</v>
      </c>
      <c r="J241" s="3194">
        <v>29.47</v>
      </c>
      <c r="K241" s="3219">
        <v>11.16</v>
      </c>
      <c r="L241" s="3221"/>
    </row>
    <row r="242" spans="1:12">
      <c r="A242" s="3190">
        <v>241</v>
      </c>
      <c r="B242" s="3191" t="s">
        <v>4006</v>
      </c>
      <c r="C242" s="3191" t="s">
        <v>5169</v>
      </c>
      <c r="D242" s="3192" t="s">
        <v>5170</v>
      </c>
      <c r="E242" s="3191" t="s">
        <v>4008</v>
      </c>
      <c r="F242" s="3193" t="s">
        <v>5171</v>
      </c>
      <c r="G242" s="3197">
        <v>2241</v>
      </c>
      <c r="H242" s="3191" t="s">
        <v>4251</v>
      </c>
      <c r="I242" s="3191" t="s">
        <v>5415</v>
      </c>
      <c r="J242" s="3194">
        <v>29.47</v>
      </c>
      <c r="K242" s="3219">
        <v>11.16</v>
      </c>
      <c r="L242" s="3221"/>
    </row>
    <row r="243" spans="1:12">
      <c r="A243" s="3190">
        <v>242</v>
      </c>
      <c r="B243" s="3191" t="s">
        <v>5173</v>
      </c>
      <c r="C243" s="3191" t="s">
        <v>4007</v>
      </c>
      <c r="D243" s="3192" t="s">
        <v>5170</v>
      </c>
      <c r="E243" s="3191" t="s">
        <v>5174</v>
      </c>
      <c r="F243" s="3193" t="s">
        <v>4009</v>
      </c>
      <c r="G243" s="3197">
        <v>2242</v>
      </c>
      <c r="H243" s="3191" t="s">
        <v>5416</v>
      </c>
      <c r="I243" s="3191" t="s">
        <v>4252</v>
      </c>
      <c r="J243" s="3194">
        <v>29.47</v>
      </c>
      <c r="K243" s="3219">
        <v>11.16</v>
      </c>
      <c r="L243" s="3221"/>
    </row>
    <row r="244" spans="1:12">
      <c r="A244" s="3190">
        <v>243</v>
      </c>
      <c r="B244" s="3191" t="s">
        <v>4006</v>
      </c>
      <c r="C244" s="3191" t="s">
        <v>5169</v>
      </c>
      <c r="D244" s="3192" t="s">
        <v>5170</v>
      </c>
      <c r="E244" s="3191" t="s">
        <v>4008</v>
      </c>
      <c r="F244" s="3193" t="s">
        <v>5171</v>
      </c>
      <c r="G244" s="3197">
        <v>2243</v>
      </c>
      <c r="H244" s="3191" t="s">
        <v>4253</v>
      </c>
      <c r="I244" s="3191" t="s">
        <v>5417</v>
      </c>
      <c r="J244" s="3194">
        <v>29.47</v>
      </c>
      <c r="K244" s="3219">
        <v>11.16</v>
      </c>
      <c r="L244" s="3221"/>
    </row>
    <row r="245" spans="1:12">
      <c r="A245" s="3190">
        <v>244</v>
      </c>
      <c r="B245" s="3191" t="s">
        <v>5173</v>
      </c>
      <c r="C245" s="3191" t="s">
        <v>4007</v>
      </c>
      <c r="D245" s="3192" t="s">
        <v>5170</v>
      </c>
      <c r="E245" s="3191" t="s">
        <v>5174</v>
      </c>
      <c r="F245" s="3193" t="s">
        <v>4009</v>
      </c>
      <c r="G245" s="3197">
        <v>2244</v>
      </c>
      <c r="H245" s="3191" t="s">
        <v>5418</v>
      </c>
      <c r="I245" s="3191" t="s">
        <v>4254</v>
      </c>
      <c r="J245" s="3194">
        <v>29.47</v>
      </c>
      <c r="K245" s="3219">
        <v>11.16</v>
      </c>
      <c r="L245" s="3221"/>
    </row>
    <row r="246" spans="1:12">
      <c r="A246" s="3190">
        <v>245</v>
      </c>
      <c r="B246" s="3191" t="s">
        <v>4006</v>
      </c>
      <c r="C246" s="3191" t="s">
        <v>5169</v>
      </c>
      <c r="D246" s="3192" t="s">
        <v>5170</v>
      </c>
      <c r="E246" s="3191" t="s">
        <v>4008</v>
      </c>
      <c r="F246" s="3193" t="s">
        <v>5171</v>
      </c>
      <c r="G246" s="3197">
        <v>2245</v>
      </c>
      <c r="H246" s="3191" t="s">
        <v>4255</v>
      </c>
      <c r="I246" s="3191" t="s">
        <v>5419</v>
      </c>
      <c r="J246" s="3194">
        <v>29.47</v>
      </c>
      <c r="K246" s="3219">
        <v>11.16</v>
      </c>
      <c r="L246" s="3221"/>
    </row>
    <row r="247" spans="1:12">
      <c r="A247" s="3190">
        <v>246</v>
      </c>
      <c r="B247" s="3191" t="s">
        <v>5173</v>
      </c>
      <c r="C247" s="3191" t="s">
        <v>4007</v>
      </c>
      <c r="D247" s="3192" t="s">
        <v>5170</v>
      </c>
      <c r="E247" s="3191" t="s">
        <v>5174</v>
      </c>
      <c r="F247" s="3193" t="s">
        <v>4009</v>
      </c>
      <c r="G247" s="3197">
        <v>2246</v>
      </c>
      <c r="H247" s="3191" t="s">
        <v>5420</v>
      </c>
      <c r="I247" s="3191" t="s">
        <v>4256</v>
      </c>
      <c r="J247" s="3194">
        <v>26.91</v>
      </c>
      <c r="K247" s="3219">
        <v>10.19</v>
      </c>
      <c r="L247" s="3221"/>
    </row>
    <row r="248" spans="1:12">
      <c r="A248" s="3190">
        <v>247</v>
      </c>
      <c r="B248" s="3191" t="s">
        <v>4006</v>
      </c>
      <c r="C248" s="3191" t="s">
        <v>5169</v>
      </c>
      <c r="D248" s="3192" t="s">
        <v>5170</v>
      </c>
      <c r="E248" s="3191" t="s">
        <v>4008</v>
      </c>
      <c r="F248" s="3193" t="s">
        <v>5171</v>
      </c>
      <c r="G248" s="3197">
        <v>2247</v>
      </c>
      <c r="H248" s="3191" t="s">
        <v>4257</v>
      </c>
      <c r="I248" s="3191" t="s">
        <v>5421</v>
      </c>
      <c r="J248" s="3194">
        <v>29.47</v>
      </c>
      <c r="K248" s="3219">
        <v>11.16</v>
      </c>
      <c r="L248" s="3221"/>
    </row>
    <row r="249" spans="1:12">
      <c r="A249" s="3190">
        <v>248</v>
      </c>
      <c r="B249" s="3191" t="s">
        <v>5173</v>
      </c>
      <c r="C249" s="3191" t="s">
        <v>4007</v>
      </c>
      <c r="D249" s="3192" t="s">
        <v>5170</v>
      </c>
      <c r="E249" s="3191" t="s">
        <v>5174</v>
      </c>
      <c r="F249" s="3193" t="s">
        <v>4009</v>
      </c>
      <c r="G249" s="3197">
        <v>2248</v>
      </c>
      <c r="H249" s="3191" t="s">
        <v>5422</v>
      </c>
      <c r="I249" s="3191" t="s">
        <v>4258</v>
      </c>
      <c r="J249" s="3194">
        <v>29.47</v>
      </c>
      <c r="K249" s="3219">
        <v>11.16</v>
      </c>
      <c r="L249" s="3221"/>
    </row>
    <row r="250" spans="1:12">
      <c r="A250" s="3190">
        <v>249</v>
      </c>
      <c r="B250" s="3191" t="s">
        <v>4006</v>
      </c>
      <c r="C250" s="3191" t="s">
        <v>5169</v>
      </c>
      <c r="D250" s="3192" t="s">
        <v>5170</v>
      </c>
      <c r="E250" s="3191" t="s">
        <v>4008</v>
      </c>
      <c r="F250" s="3193" t="s">
        <v>5171</v>
      </c>
      <c r="G250" s="3197">
        <v>2249</v>
      </c>
      <c r="H250" s="3191" t="s">
        <v>4259</v>
      </c>
      <c r="I250" s="3191" t="s">
        <v>5423</v>
      </c>
      <c r="J250" s="3194">
        <v>29.47</v>
      </c>
      <c r="K250" s="3219">
        <v>11.16</v>
      </c>
      <c r="L250" s="3221"/>
    </row>
    <row r="251" spans="1:12">
      <c r="A251" s="3190">
        <v>250</v>
      </c>
      <c r="B251" s="3191" t="s">
        <v>5173</v>
      </c>
      <c r="C251" s="3191" t="s">
        <v>4007</v>
      </c>
      <c r="D251" s="3192" t="s">
        <v>5170</v>
      </c>
      <c r="E251" s="3191" t="s">
        <v>5174</v>
      </c>
      <c r="F251" s="3193" t="s">
        <v>4009</v>
      </c>
      <c r="G251" s="3197">
        <v>2250</v>
      </c>
      <c r="H251" s="3191" t="s">
        <v>5424</v>
      </c>
      <c r="I251" s="3191" t="s">
        <v>4260</v>
      </c>
      <c r="J251" s="3194">
        <v>32.03</v>
      </c>
      <c r="K251" s="3219">
        <v>12.13</v>
      </c>
      <c r="L251" s="3221"/>
    </row>
    <row r="252" spans="1:12">
      <c r="A252" s="3190">
        <v>251</v>
      </c>
      <c r="B252" s="3191" t="s">
        <v>4006</v>
      </c>
      <c r="C252" s="3191" t="s">
        <v>5169</v>
      </c>
      <c r="D252" s="3192" t="s">
        <v>5170</v>
      </c>
      <c r="E252" s="3191" t="s">
        <v>4008</v>
      </c>
      <c r="F252" s="3193" t="s">
        <v>5171</v>
      </c>
      <c r="G252" s="3197">
        <v>2251</v>
      </c>
      <c r="H252" s="3191" t="s">
        <v>4261</v>
      </c>
      <c r="I252" s="3191" t="s">
        <v>5425</v>
      </c>
      <c r="J252" s="3194">
        <v>30.74</v>
      </c>
      <c r="K252" s="3219">
        <v>11.64</v>
      </c>
      <c r="L252" s="3221"/>
    </row>
    <row r="253" spans="1:12">
      <c r="A253" s="3190">
        <v>252</v>
      </c>
      <c r="B253" s="3191" t="s">
        <v>5173</v>
      </c>
      <c r="C253" s="3191" t="s">
        <v>4007</v>
      </c>
      <c r="D253" s="3192" t="s">
        <v>5170</v>
      </c>
      <c r="E253" s="3191" t="s">
        <v>5174</v>
      </c>
      <c r="F253" s="3193" t="s">
        <v>4009</v>
      </c>
      <c r="G253" s="3197">
        <v>2252</v>
      </c>
      <c r="H253" s="3191" t="s">
        <v>5426</v>
      </c>
      <c r="I253" s="3191" t="s">
        <v>4262</v>
      </c>
      <c r="J253" s="3194">
        <v>30.74</v>
      </c>
      <c r="K253" s="3219">
        <v>11.64</v>
      </c>
      <c r="L253" s="3221"/>
    </row>
    <row r="254" spans="1:12">
      <c r="A254" s="3190">
        <v>253</v>
      </c>
      <c r="B254" s="3191" t="s">
        <v>4006</v>
      </c>
      <c r="C254" s="3191" t="s">
        <v>5169</v>
      </c>
      <c r="D254" s="3192" t="s">
        <v>5170</v>
      </c>
      <c r="E254" s="3191" t="s">
        <v>4008</v>
      </c>
      <c r="F254" s="3193" t="s">
        <v>5171</v>
      </c>
      <c r="G254" s="3197">
        <v>2253</v>
      </c>
      <c r="H254" s="3191" t="s">
        <v>4263</v>
      </c>
      <c r="I254" s="3191" t="s">
        <v>5427</v>
      </c>
      <c r="J254" s="3194">
        <v>30.74</v>
      </c>
      <c r="K254" s="3219">
        <v>11.64</v>
      </c>
      <c r="L254" s="3221"/>
    </row>
    <row r="255" spans="1:12">
      <c r="A255" s="3190">
        <v>254</v>
      </c>
      <c r="B255" s="3191" t="s">
        <v>5173</v>
      </c>
      <c r="C255" s="3191" t="s">
        <v>4007</v>
      </c>
      <c r="D255" s="3192" t="s">
        <v>5170</v>
      </c>
      <c r="E255" s="3191" t="s">
        <v>5174</v>
      </c>
      <c r="F255" s="3193" t="s">
        <v>4009</v>
      </c>
      <c r="G255" s="3197">
        <v>2254</v>
      </c>
      <c r="H255" s="3191" t="s">
        <v>5428</v>
      </c>
      <c r="I255" s="3191" t="s">
        <v>4264</v>
      </c>
      <c r="J255" s="3194">
        <v>30.74</v>
      </c>
      <c r="K255" s="3219">
        <v>11.64</v>
      </c>
      <c r="L255" s="3221"/>
    </row>
    <row r="256" spans="1:12">
      <c r="A256" s="3190">
        <v>255</v>
      </c>
      <c r="B256" s="3191" t="s">
        <v>4006</v>
      </c>
      <c r="C256" s="3191" t="s">
        <v>5169</v>
      </c>
      <c r="D256" s="3192" t="s">
        <v>5170</v>
      </c>
      <c r="E256" s="3191" t="s">
        <v>4008</v>
      </c>
      <c r="F256" s="3193" t="s">
        <v>5171</v>
      </c>
      <c r="G256" s="3197">
        <v>2255</v>
      </c>
      <c r="H256" s="3191" t="s">
        <v>4265</v>
      </c>
      <c r="I256" s="3191" t="s">
        <v>5429</v>
      </c>
      <c r="J256" s="3194">
        <v>30.74</v>
      </c>
      <c r="K256" s="3219">
        <v>11.64</v>
      </c>
      <c r="L256" s="3221"/>
    </row>
    <row r="257" spans="1:12">
      <c r="A257" s="3190">
        <v>256</v>
      </c>
      <c r="B257" s="3191" t="s">
        <v>5173</v>
      </c>
      <c r="C257" s="3191" t="s">
        <v>4007</v>
      </c>
      <c r="D257" s="3192" t="s">
        <v>5170</v>
      </c>
      <c r="E257" s="3191" t="s">
        <v>5174</v>
      </c>
      <c r="F257" s="3193" t="s">
        <v>4009</v>
      </c>
      <c r="G257" s="3197">
        <v>2256</v>
      </c>
      <c r="H257" s="3191" t="s">
        <v>5430</v>
      </c>
      <c r="I257" s="3191" t="s">
        <v>4266</v>
      </c>
      <c r="J257" s="3194">
        <v>30.74</v>
      </c>
      <c r="K257" s="3219">
        <v>11.64</v>
      </c>
      <c r="L257" s="3221"/>
    </row>
    <row r="258" spans="1:12">
      <c r="A258" s="3190">
        <v>257</v>
      </c>
      <c r="B258" s="3191" t="s">
        <v>4006</v>
      </c>
      <c r="C258" s="3191" t="s">
        <v>5169</v>
      </c>
      <c r="D258" s="3192" t="s">
        <v>5170</v>
      </c>
      <c r="E258" s="3191" t="s">
        <v>4008</v>
      </c>
      <c r="F258" s="3193" t="s">
        <v>5171</v>
      </c>
      <c r="G258" s="3197">
        <v>2257</v>
      </c>
      <c r="H258" s="3191" t="s">
        <v>4267</v>
      </c>
      <c r="I258" s="3191" t="s">
        <v>5431</v>
      </c>
      <c r="J258" s="3194">
        <v>30.74</v>
      </c>
      <c r="K258" s="3219">
        <v>11.64</v>
      </c>
      <c r="L258" s="3221"/>
    </row>
    <row r="259" spans="1:12">
      <c r="A259" s="3190">
        <v>258</v>
      </c>
      <c r="B259" s="3191" t="s">
        <v>5173</v>
      </c>
      <c r="C259" s="3191" t="s">
        <v>4007</v>
      </c>
      <c r="D259" s="3192" t="s">
        <v>5170</v>
      </c>
      <c r="E259" s="3191" t="s">
        <v>5174</v>
      </c>
      <c r="F259" s="3193" t="s">
        <v>4009</v>
      </c>
      <c r="G259" s="3197">
        <v>2258</v>
      </c>
      <c r="H259" s="3191" t="s">
        <v>5432</v>
      </c>
      <c r="I259" s="3191" t="s">
        <v>4268</v>
      </c>
      <c r="J259" s="3194">
        <v>30.74</v>
      </c>
      <c r="K259" s="3219">
        <v>11.64</v>
      </c>
      <c r="L259" s="3221"/>
    </row>
    <row r="260" spans="1:12">
      <c r="A260" s="3190">
        <v>259</v>
      </c>
      <c r="B260" s="3191" t="s">
        <v>4006</v>
      </c>
      <c r="C260" s="3191" t="s">
        <v>5169</v>
      </c>
      <c r="D260" s="3192" t="s">
        <v>5170</v>
      </c>
      <c r="E260" s="3191" t="s">
        <v>4008</v>
      </c>
      <c r="F260" s="3193" t="s">
        <v>5171</v>
      </c>
      <c r="G260" s="3197">
        <v>2259</v>
      </c>
      <c r="H260" s="3191" t="s">
        <v>4269</v>
      </c>
      <c r="I260" s="3191" t="s">
        <v>5433</v>
      </c>
      <c r="J260" s="3194">
        <v>30.74</v>
      </c>
      <c r="K260" s="3219">
        <v>11.64</v>
      </c>
      <c r="L260" s="3221"/>
    </row>
    <row r="261" spans="1:12">
      <c r="A261" s="3190">
        <v>260</v>
      </c>
      <c r="B261" s="3191" t="s">
        <v>5173</v>
      </c>
      <c r="C261" s="3191" t="s">
        <v>4007</v>
      </c>
      <c r="D261" s="3192" t="s">
        <v>5170</v>
      </c>
      <c r="E261" s="3191" t="s">
        <v>5174</v>
      </c>
      <c r="F261" s="3193" t="s">
        <v>4009</v>
      </c>
      <c r="G261" s="3197">
        <v>2260</v>
      </c>
      <c r="H261" s="3191" t="s">
        <v>5434</v>
      </c>
      <c r="I261" s="3191" t="s">
        <v>4270</v>
      </c>
      <c r="J261" s="3194">
        <v>30.74</v>
      </c>
      <c r="K261" s="3219">
        <v>11.64</v>
      </c>
      <c r="L261" s="3221"/>
    </row>
    <row r="262" spans="1:12">
      <c r="A262" s="3190">
        <v>261</v>
      </c>
      <c r="B262" s="3191" t="s">
        <v>4006</v>
      </c>
      <c r="C262" s="3191" t="s">
        <v>5169</v>
      </c>
      <c r="D262" s="3192" t="s">
        <v>5170</v>
      </c>
      <c r="E262" s="3191" t="s">
        <v>4008</v>
      </c>
      <c r="F262" s="3193" t="s">
        <v>5171</v>
      </c>
      <c r="G262" s="3197">
        <v>2261</v>
      </c>
      <c r="H262" s="3191" t="s">
        <v>4271</v>
      </c>
      <c r="I262" s="3191" t="s">
        <v>5435</v>
      </c>
      <c r="J262" s="3194">
        <v>30.74</v>
      </c>
      <c r="K262" s="3219">
        <v>11.64</v>
      </c>
      <c r="L262" s="3221"/>
    </row>
    <row r="263" spans="1:12">
      <c r="A263" s="3190">
        <v>262</v>
      </c>
      <c r="B263" s="3191" t="s">
        <v>5173</v>
      </c>
      <c r="C263" s="3191" t="s">
        <v>4007</v>
      </c>
      <c r="D263" s="3192" t="s">
        <v>5170</v>
      </c>
      <c r="E263" s="3191" t="s">
        <v>5174</v>
      </c>
      <c r="F263" s="3193" t="s">
        <v>4009</v>
      </c>
      <c r="G263" s="3197">
        <v>2262</v>
      </c>
      <c r="H263" s="3191" t="s">
        <v>5436</v>
      </c>
      <c r="I263" s="3191" t="s">
        <v>4272</v>
      </c>
      <c r="J263" s="3194">
        <v>30.74</v>
      </c>
      <c r="K263" s="3219">
        <v>11.64</v>
      </c>
      <c r="L263" s="3221"/>
    </row>
    <row r="264" spans="1:12">
      <c r="A264" s="3190">
        <v>263</v>
      </c>
      <c r="B264" s="3191" t="s">
        <v>4006</v>
      </c>
      <c r="C264" s="3191" t="s">
        <v>5169</v>
      </c>
      <c r="D264" s="3192" t="s">
        <v>5170</v>
      </c>
      <c r="E264" s="3191" t="s">
        <v>4008</v>
      </c>
      <c r="F264" s="3193" t="s">
        <v>5171</v>
      </c>
      <c r="G264" s="3197">
        <v>2263</v>
      </c>
      <c r="H264" s="3191" t="s">
        <v>4273</v>
      </c>
      <c r="I264" s="3191" t="s">
        <v>5437</v>
      </c>
      <c r="J264" s="3194">
        <v>30.74</v>
      </c>
      <c r="K264" s="3219">
        <v>11.64</v>
      </c>
      <c r="L264" s="3221"/>
    </row>
    <row r="265" spans="1:12">
      <c r="A265" s="3190">
        <v>264</v>
      </c>
      <c r="B265" s="3191" t="s">
        <v>5173</v>
      </c>
      <c r="C265" s="3191" t="s">
        <v>4007</v>
      </c>
      <c r="D265" s="3192" t="s">
        <v>5170</v>
      </c>
      <c r="E265" s="3191" t="s">
        <v>5174</v>
      </c>
      <c r="F265" s="3193" t="s">
        <v>4009</v>
      </c>
      <c r="G265" s="3197">
        <v>2264</v>
      </c>
      <c r="H265" s="3191" t="s">
        <v>5438</v>
      </c>
      <c r="I265" s="3191" t="s">
        <v>4274</v>
      </c>
      <c r="J265" s="3194">
        <v>30.74</v>
      </c>
      <c r="K265" s="3219">
        <v>11.64</v>
      </c>
      <c r="L265" s="3221"/>
    </row>
    <row r="266" spans="1:12">
      <c r="A266" s="3190">
        <v>265</v>
      </c>
      <c r="B266" s="3191" t="s">
        <v>4006</v>
      </c>
      <c r="C266" s="3191" t="s">
        <v>5169</v>
      </c>
      <c r="D266" s="3192" t="s">
        <v>5170</v>
      </c>
      <c r="E266" s="3191" t="s">
        <v>4008</v>
      </c>
      <c r="F266" s="3193" t="s">
        <v>5171</v>
      </c>
      <c r="G266" s="3197">
        <v>2265</v>
      </c>
      <c r="H266" s="3191" t="s">
        <v>4275</v>
      </c>
      <c r="I266" s="3191" t="s">
        <v>5439</v>
      </c>
      <c r="J266" s="3194">
        <v>30.74</v>
      </c>
      <c r="K266" s="3219">
        <v>11.64</v>
      </c>
      <c r="L266" s="3221"/>
    </row>
    <row r="267" spans="1:12">
      <c r="A267" s="3190">
        <v>266</v>
      </c>
      <c r="B267" s="3191" t="s">
        <v>5173</v>
      </c>
      <c r="C267" s="3191" t="s">
        <v>4007</v>
      </c>
      <c r="D267" s="3192" t="s">
        <v>5170</v>
      </c>
      <c r="E267" s="3191" t="s">
        <v>5174</v>
      </c>
      <c r="F267" s="3193" t="s">
        <v>4041</v>
      </c>
      <c r="G267" s="3197">
        <v>2266</v>
      </c>
      <c r="H267" s="3191" t="s">
        <v>5440</v>
      </c>
      <c r="I267" s="3191" t="s">
        <v>4276</v>
      </c>
      <c r="J267" s="3194">
        <v>29.47</v>
      </c>
      <c r="K267" s="3219">
        <v>11.16</v>
      </c>
      <c r="L267" s="3221"/>
    </row>
    <row r="268" spans="1:12">
      <c r="A268" s="3190">
        <v>267</v>
      </c>
      <c r="B268" s="3191" t="s">
        <v>4006</v>
      </c>
      <c r="C268" s="3191" t="s">
        <v>5169</v>
      </c>
      <c r="D268" s="3192" t="s">
        <v>5170</v>
      </c>
      <c r="E268" s="3191" t="s">
        <v>4008</v>
      </c>
      <c r="F268" s="3193" t="s">
        <v>5208</v>
      </c>
      <c r="G268" s="3197">
        <v>2267</v>
      </c>
      <c r="H268" s="3191" t="s">
        <v>4277</v>
      </c>
      <c r="I268" s="3191" t="s">
        <v>5441</v>
      </c>
      <c r="J268" s="3194">
        <v>29.47</v>
      </c>
      <c r="K268" s="3219">
        <v>11.16</v>
      </c>
      <c r="L268" s="3221"/>
    </row>
    <row r="269" spans="1:12">
      <c r="A269" s="3190">
        <v>268</v>
      </c>
      <c r="B269" s="3191" t="s">
        <v>5173</v>
      </c>
      <c r="C269" s="3191" t="s">
        <v>4007</v>
      </c>
      <c r="D269" s="3192" t="s">
        <v>5170</v>
      </c>
      <c r="E269" s="3191" t="s">
        <v>5174</v>
      </c>
      <c r="F269" s="3193" t="s">
        <v>4009</v>
      </c>
      <c r="G269" s="3197">
        <v>2268</v>
      </c>
      <c r="H269" s="3191" t="s">
        <v>5442</v>
      </c>
      <c r="I269" s="3191" t="s">
        <v>4278</v>
      </c>
      <c r="J269" s="3194">
        <v>29.47</v>
      </c>
      <c r="K269" s="3219">
        <v>11.16</v>
      </c>
      <c r="L269" s="3221"/>
    </row>
    <row r="270" spans="1:12">
      <c r="A270" s="3190">
        <v>269</v>
      </c>
      <c r="B270" s="3191" t="s">
        <v>4006</v>
      </c>
      <c r="C270" s="3191" t="s">
        <v>5169</v>
      </c>
      <c r="D270" s="3192" t="s">
        <v>5170</v>
      </c>
      <c r="E270" s="3191" t="s">
        <v>4008</v>
      </c>
      <c r="F270" s="3193" t="s">
        <v>5171</v>
      </c>
      <c r="G270" s="3197">
        <v>2269</v>
      </c>
      <c r="H270" s="3191" t="s">
        <v>4279</v>
      </c>
      <c r="I270" s="3191" t="s">
        <v>5443</v>
      </c>
      <c r="J270" s="3194">
        <v>29.47</v>
      </c>
      <c r="K270" s="3219">
        <v>11.16</v>
      </c>
      <c r="L270" s="3221"/>
    </row>
    <row r="271" spans="1:12">
      <c r="A271" s="3190">
        <v>270</v>
      </c>
      <c r="B271" s="3191" t="s">
        <v>5173</v>
      </c>
      <c r="C271" s="3191" t="s">
        <v>4007</v>
      </c>
      <c r="D271" s="3192" t="s">
        <v>5170</v>
      </c>
      <c r="E271" s="3191" t="s">
        <v>5174</v>
      </c>
      <c r="F271" s="3193" t="s">
        <v>4009</v>
      </c>
      <c r="G271" s="3197">
        <v>2270</v>
      </c>
      <c r="H271" s="3191" t="s">
        <v>5444</v>
      </c>
      <c r="I271" s="3191" t="s">
        <v>4280</v>
      </c>
      <c r="J271" s="3194">
        <v>30.74</v>
      </c>
      <c r="K271" s="3219">
        <v>11.64</v>
      </c>
      <c r="L271" s="3221"/>
    </row>
    <row r="272" spans="1:12">
      <c r="A272" s="3190">
        <v>271</v>
      </c>
      <c r="B272" s="3191" t="s">
        <v>4006</v>
      </c>
      <c r="C272" s="3191" t="s">
        <v>5169</v>
      </c>
      <c r="D272" s="3192" t="s">
        <v>5170</v>
      </c>
      <c r="E272" s="3191" t="s">
        <v>4008</v>
      </c>
      <c r="F272" s="3193" t="s">
        <v>5171</v>
      </c>
      <c r="G272" s="3197">
        <v>2271</v>
      </c>
      <c r="H272" s="3191" t="s">
        <v>4281</v>
      </c>
      <c r="I272" s="3191" t="s">
        <v>5445</v>
      </c>
      <c r="J272" s="3194">
        <v>30.74</v>
      </c>
      <c r="K272" s="3219">
        <v>11.64</v>
      </c>
      <c r="L272" s="3221"/>
    </row>
    <row r="273" spans="1:12">
      <c r="A273" s="3190">
        <v>272</v>
      </c>
      <c r="B273" s="3191" t="s">
        <v>5173</v>
      </c>
      <c r="C273" s="3191" t="s">
        <v>4007</v>
      </c>
      <c r="D273" s="3192" t="s">
        <v>5170</v>
      </c>
      <c r="E273" s="3191" t="s">
        <v>5174</v>
      </c>
      <c r="F273" s="3193" t="s">
        <v>4009</v>
      </c>
      <c r="G273" s="3197">
        <v>2272</v>
      </c>
      <c r="H273" s="3191" t="s">
        <v>5446</v>
      </c>
      <c r="I273" s="3191" t="s">
        <v>4282</v>
      </c>
      <c r="J273" s="3194">
        <v>30.74</v>
      </c>
      <c r="K273" s="3219">
        <v>11.64</v>
      </c>
      <c r="L273" s="3221"/>
    </row>
    <row r="274" spans="1:12">
      <c r="A274" s="3190">
        <v>273</v>
      </c>
      <c r="B274" s="3191" t="s">
        <v>4006</v>
      </c>
      <c r="C274" s="3191" t="s">
        <v>5169</v>
      </c>
      <c r="D274" s="3192" t="s">
        <v>5170</v>
      </c>
      <c r="E274" s="3191" t="s">
        <v>4008</v>
      </c>
      <c r="F274" s="3193" t="s">
        <v>5171</v>
      </c>
      <c r="G274" s="3197">
        <v>2273</v>
      </c>
      <c r="H274" s="3191" t="s">
        <v>4283</v>
      </c>
      <c r="I274" s="3191" t="s">
        <v>5447</v>
      </c>
      <c r="J274" s="3194">
        <v>30.74</v>
      </c>
      <c r="K274" s="3219">
        <v>11.64</v>
      </c>
      <c r="L274" s="3221"/>
    </row>
    <row r="275" spans="1:12">
      <c r="A275" s="3190">
        <v>274</v>
      </c>
      <c r="B275" s="3191" t="s">
        <v>5173</v>
      </c>
      <c r="C275" s="3191" t="s">
        <v>4007</v>
      </c>
      <c r="D275" s="3192" t="s">
        <v>5170</v>
      </c>
      <c r="E275" s="3191" t="s">
        <v>5174</v>
      </c>
      <c r="F275" s="3193" t="s">
        <v>4009</v>
      </c>
      <c r="G275" s="3197">
        <v>2274</v>
      </c>
      <c r="H275" s="3191" t="s">
        <v>5448</v>
      </c>
      <c r="I275" s="3191" t="s">
        <v>4284</v>
      </c>
      <c r="J275" s="3194">
        <v>30.74</v>
      </c>
      <c r="K275" s="3219">
        <v>11.64</v>
      </c>
      <c r="L275" s="3221"/>
    </row>
    <row r="276" spans="1:12">
      <c r="A276" s="3190">
        <v>275</v>
      </c>
      <c r="B276" s="3191" t="s">
        <v>4006</v>
      </c>
      <c r="C276" s="3191" t="s">
        <v>5169</v>
      </c>
      <c r="D276" s="3192" t="s">
        <v>5170</v>
      </c>
      <c r="E276" s="3191" t="s">
        <v>4008</v>
      </c>
      <c r="F276" s="3193" t="s">
        <v>5171</v>
      </c>
      <c r="G276" s="3197">
        <v>2275</v>
      </c>
      <c r="H276" s="3191" t="s">
        <v>4285</v>
      </c>
      <c r="I276" s="3191" t="s">
        <v>5449</v>
      </c>
      <c r="J276" s="3194">
        <v>30.74</v>
      </c>
      <c r="K276" s="3219">
        <v>11.64</v>
      </c>
      <c r="L276" s="3221"/>
    </row>
    <row r="277" spans="1:12">
      <c r="A277" s="3190">
        <v>276</v>
      </c>
      <c r="B277" s="3191" t="s">
        <v>5173</v>
      </c>
      <c r="C277" s="3191" t="s">
        <v>4007</v>
      </c>
      <c r="D277" s="3192" t="s">
        <v>5170</v>
      </c>
      <c r="E277" s="3191" t="s">
        <v>5174</v>
      </c>
      <c r="F277" s="3193" t="s">
        <v>4009</v>
      </c>
      <c r="G277" s="3197">
        <v>2276</v>
      </c>
      <c r="H277" s="3191" t="s">
        <v>5450</v>
      </c>
      <c r="I277" s="3191" t="s">
        <v>4286</v>
      </c>
      <c r="J277" s="3194">
        <v>30.74</v>
      </c>
      <c r="K277" s="3219">
        <v>11.64</v>
      </c>
      <c r="L277" s="3221"/>
    </row>
    <row r="278" spans="1:12">
      <c r="A278" s="3190">
        <v>277</v>
      </c>
      <c r="B278" s="3191" t="s">
        <v>4006</v>
      </c>
      <c r="C278" s="3191" t="s">
        <v>5169</v>
      </c>
      <c r="D278" s="3192" t="s">
        <v>5170</v>
      </c>
      <c r="E278" s="3191" t="s">
        <v>4008</v>
      </c>
      <c r="F278" s="3193" t="s">
        <v>5171</v>
      </c>
      <c r="G278" s="3197">
        <v>2277</v>
      </c>
      <c r="H278" s="3191" t="s">
        <v>4287</v>
      </c>
      <c r="I278" s="3191" t="s">
        <v>5451</v>
      </c>
      <c r="J278" s="3194">
        <v>30.74</v>
      </c>
      <c r="K278" s="3219">
        <v>11.64</v>
      </c>
      <c r="L278" s="3221"/>
    </row>
    <row r="279" spans="1:12">
      <c r="A279" s="3190">
        <v>278</v>
      </c>
      <c r="B279" s="3191" t="s">
        <v>5173</v>
      </c>
      <c r="C279" s="3191" t="s">
        <v>4007</v>
      </c>
      <c r="D279" s="3192" t="s">
        <v>5170</v>
      </c>
      <c r="E279" s="3191" t="s">
        <v>5174</v>
      </c>
      <c r="F279" s="3193" t="s">
        <v>4009</v>
      </c>
      <c r="G279" s="3197">
        <v>2278</v>
      </c>
      <c r="H279" s="3191" t="s">
        <v>5452</v>
      </c>
      <c r="I279" s="3191" t="s">
        <v>4288</v>
      </c>
      <c r="J279" s="3194">
        <v>30.74</v>
      </c>
      <c r="K279" s="3219">
        <v>11.64</v>
      </c>
      <c r="L279" s="3221"/>
    </row>
    <row r="280" spans="1:12">
      <c r="A280" s="3190">
        <v>279</v>
      </c>
      <c r="B280" s="3191" t="s">
        <v>4006</v>
      </c>
      <c r="C280" s="3191" t="s">
        <v>5169</v>
      </c>
      <c r="D280" s="3192" t="s">
        <v>5170</v>
      </c>
      <c r="E280" s="3191" t="s">
        <v>4008</v>
      </c>
      <c r="F280" s="3193" t="s">
        <v>5171</v>
      </c>
      <c r="G280" s="3197">
        <v>2279</v>
      </c>
      <c r="H280" s="3191" t="s">
        <v>4289</v>
      </c>
      <c r="I280" s="3191" t="s">
        <v>5453</v>
      </c>
      <c r="J280" s="3194">
        <v>30.74</v>
      </c>
      <c r="K280" s="3219">
        <v>11.64</v>
      </c>
      <c r="L280" s="3221"/>
    </row>
    <row r="281" spans="1:12">
      <c r="A281" s="3190">
        <v>280</v>
      </c>
      <c r="B281" s="3191" t="s">
        <v>5173</v>
      </c>
      <c r="C281" s="3191" t="s">
        <v>4007</v>
      </c>
      <c r="D281" s="3192" t="s">
        <v>5170</v>
      </c>
      <c r="E281" s="3191" t="s">
        <v>5174</v>
      </c>
      <c r="F281" s="3193" t="s">
        <v>4009</v>
      </c>
      <c r="G281" s="3197">
        <v>2280</v>
      </c>
      <c r="H281" s="3191" t="s">
        <v>5454</v>
      </c>
      <c r="I281" s="3191" t="s">
        <v>4290</v>
      </c>
      <c r="J281" s="3194">
        <v>30.74</v>
      </c>
      <c r="K281" s="3219">
        <v>11.64</v>
      </c>
      <c r="L281" s="3221"/>
    </row>
    <row r="282" spans="1:12">
      <c r="A282" s="3190">
        <v>281</v>
      </c>
      <c r="B282" s="3191" t="s">
        <v>4006</v>
      </c>
      <c r="C282" s="3191" t="s">
        <v>5169</v>
      </c>
      <c r="D282" s="3192" t="s">
        <v>5170</v>
      </c>
      <c r="E282" s="3191" t="s">
        <v>4008</v>
      </c>
      <c r="F282" s="3193" t="s">
        <v>5171</v>
      </c>
      <c r="G282" s="3197">
        <v>2281</v>
      </c>
      <c r="H282" s="3191" t="s">
        <v>4291</v>
      </c>
      <c r="I282" s="3191" t="s">
        <v>5455</v>
      </c>
      <c r="J282" s="3194">
        <v>30.74</v>
      </c>
      <c r="K282" s="3219">
        <v>11.64</v>
      </c>
      <c r="L282" s="3221"/>
    </row>
    <row r="283" spans="1:12">
      <c r="A283" s="3190">
        <v>282</v>
      </c>
      <c r="B283" s="3191" t="s">
        <v>5173</v>
      </c>
      <c r="C283" s="3191" t="s">
        <v>4007</v>
      </c>
      <c r="D283" s="3192" t="s">
        <v>5170</v>
      </c>
      <c r="E283" s="3191" t="s">
        <v>5174</v>
      </c>
      <c r="F283" s="3193" t="s">
        <v>4009</v>
      </c>
      <c r="G283" s="3197">
        <v>2282</v>
      </c>
      <c r="H283" s="3191" t="s">
        <v>5456</v>
      </c>
      <c r="I283" s="3191" t="s">
        <v>4292</v>
      </c>
      <c r="J283" s="3194">
        <v>30.74</v>
      </c>
      <c r="K283" s="3219">
        <v>11.64</v>
      </c>
      <c r="L283" s="3221"/>
    </row>
    <row r="284" spans="1:12">
      <c r="A284" s="3190">
        <v>283</v>
      </c>
      <c r="B284" s="3191" t="s">
        <v>4006</v>
      </c>
      <c r="C284" s="3191" t="s">
        <v>5169</v>
      </c>
      <c r="D284" s="3192" t="s">
        <v>5170</v>
      </c>
      <c r="E284" s="3191" t="s">
        <v>4008</v>
      </c>
      <c r="F284" s="3193" t="s">
        <v>5208</v>
      </c>
      <c r="G284" s="3197">
        <v>2283</v>
      </c>
      <c r="H284" s="3191" t="s">
        <v>4293</v>
      </c>
      <c r="I284" s="3191" t="s">
        <v>5457</v>
      </c>
      <c r="J284" s="3194">
        <v>30.74</v>
      </c>
      <c r="K284" s="3219">
        <v>11.64</v>
      </c>
      <c r="L284" s="3221"/>
    </row>
    <row r="285" spans="1:12">
      <c r="A285" s="3190">
        <v>284</v>
      </c>
      <c r="B285" s="3191" t="s">
        <v>5173</v>
      </c>
      <c r="C285" s="3191" t="s">
        <v>4007</v>
      </c>
      <c r="D285" s="3192" t="s">
        <v>5170</v>
      </c>
      <c r="E285" s="3191" t="s">
        <v>5174</v>
      </c>
      <c r="F285" s="3193" t="s">
        <v>4041</v>
      </c>
      <c r="G285" s="3197">
        <v>2284</v>
      </c>
      <c r="H285" s="3191" t="s">
        <v>5458</v>
      </c>
      <c r="I285" s="3191" t="s">
        <v>4294</v>
      </c>
      <c r="J285" s="3194">
        <v>30.74</v>
      </c>
      <c r="K285" s="3219">
        <v>11.64</v>
      </c>
      <c r="L285" s="3221"/>
    </row>
    <row r="286" spans="1:12">
      <c r="A286" s="3190">
        <v>285</v>
      </c>
      <c r="B286" s="3191" t="s">
        <v>4006</v>
      </c>
      <c r="C286" s="3198" t="s">
        <v>5169</v>
      </c>
      <c r="D286" s="3192" t="s">
        <v>5170</v>
      </c>
      <c r="E286" s="3191" t="s">
        <v>4008</v>
      </c>
      <c r="F286" s="3193" t="s">
        <v>5171</v>
      </c>
      <c r="G286" s="3197">
        <v>2285</v>
      </c>
      <c r="H286" s="3191" t="s">
        <v>4295</v>
      </c>
      <c r="I286" s="3191" t="s">
        <v>5459</v>
      </c>
      <c r="J286" s="3194">
        <v>30.74</v>
      </c>
      <c r="K286" s="3219">
        <v>11.64</v>
      </c>
      <c r="L286" s="3221"/>
    </row>
    <row r="287" spans="1:12">
      <c r="A287" s="3190">
        <v>286</v>
      </c>
      <c r="B287" s="3191" t="s">
        <v>5173</v>
      </c>
      <c r="C287" s="3191" t="s">
        <v>4007</v>
      </c>
      <c r="D287" s="3192" t="s">
        <v>5170</v>
      </c>
      <c r="E287" s="3191" t="s">
        <v>5174</v>
      </c>
      <c r="F287" s="3193" t="s">
        <v>4009</v>
      </c>
      <c r="G287" s="3197">
        <v>2286</v>
      </c>
      <c r="H287" s="3191" t="s">
        <v>5460</v>
      </c>
      <c r="I287" s="3191" t="s">
        <v>4296</v>
      </c>
      <c r="J287" s="3194">
        <v>30.74</v>
      </c>
      <c r="K287" s="3219">
        <v>11.64</v>
      </c>
      <c r="L287" s="3221"/>
    </row>
    <row r="288" spans="1:12">
      <c r="A288" s="3190">
        <v>287</v>
      </c>
      <c r="B288" s="3191" t="s">
        <v>4006</v>
      </c>
      <c r="C288" s="3191" t="s">
        <v>5169</v>
      </c>
      <c r="D288" s="3192" t="s">
        <v>5170</v>
      </c>
      <c r="E288" s="3191" t="s">
        <v>4008</v>
      </c>
      <c r="F288" s="3193" t="s">
        <v>5171</v>
      </c>
      <c r="G288" s="3197">
        <v>2287</v>
      </c>
      <c r="H288" s="3191" t="s">
        <v>4297</v>
      </c>
      <c r="I288" s="3191" t="s">
        <v>5461</v>
      </c>
      <c r="J288" s="3194">
        <v>30.74</v>
      </c>
      <c r="K288" s="3219">
        <v>11.64</v>
      </c>
      <c r="L288" s="3221"/>
    </row>
    <row r="289" spans="1:12">
      <c r="A289" s="3190">
        <v>288</v>
      </c>
      <c r="B289" s="3191" t="s">
        <v>5173</v>
      </c>
      <c r="C289" s="3191" t="s">
        <v>4007</v>
      </c>
      <c r="D289" s="3192" t="s">
        <v>5170</v>
      </c>
      <c r="E289" s="3191" t="s">
        <v>5174</v>
      </c>
      <c r="F289" s="3193" t="s">
        <v>4009</v>
      </c>
      <c r="G289" s="3197">
        <v>2288</v>
      </c>
      <c r="H289" s="3191" t="s">
        <v>5462</v>
      </c>
      <c r="I289" s="3191" t="s">
        <v>4298</v>
      </c>
      <c r="J289" s="3194">
        <v>30.74</v>
      </c>
      <c r="K289" s="3219">
        <v>11.64</v>
      </c>
      <c r="L289" s="3221"/>
    </row>
    <row r="290" spans="1:12">
      <c r="A290" s="3190">
        <v>289</v>
      </c>
      <c r="B290" s="3191" t="s">
        <v>4006</v>
      </c>
      <c r="C290" s="3191" t="s">
        <v>5169</v>
      </c>
      <c r="D290" s="3192" t="s">
        <v>5170</v>
      </c>
      <c r="E290" s="3191" t="s">
        <v>4008</v>
      </c>
      <c r="F290" s="3193" t="s">
        <v>5171</v>
      </c>
      <c r="G290" s="3197">
        <v>2289</v>
      </c>
      <c r="H290" s="3191" t="s">
        <v>4299</v>
      </c>
      <c r="I290" s="3191" t="s">
        <v>5463</v>
      </c>
      <c r="J290" s="3194">
        <v>30.74</v>
      </c>
      <c r="K290" s="3219">
        <v>11.64</v>
      </c>
      <c r="L290" s="3221"/>
    </row>
    <row r="291" spans="1:12">
      <c r="A291" s="3190">
        <v>290</v>
      </c>
      <c r="B291" s="3191" t="s">
        <v>5173</v>
      </c>
      <c r="C291" s="3191" t="s">
        <v>4007</v>
      </c>
      <c r="D291" s="3192" t="s">
        <v>5170</v>
      </c>
      <c r="E291" s="3191" t="s">
        <v>5174</v>
      </c>
      <c r="F291" s="3193" t="s">
        <v>4009</v>
      </c>
      <c r="G291" s="3197">
        <v>2290</v>
      </c>
      <c r="H291" s="3191" t="s">
        <v>5464</v>
      </c>
      <c r="I291" s="3191" t="s">
        <v>4300</v>
      </c>
      <c r="J291" s="3194">
        <v>30.74</v>
      </c>
      <c r="K291" s="3219">
        <v>11.64</v>
      </c>
      <c r="L291" s="3221"/>
    </row>
    <row r="292" spans="1:12">
      <c r="A292" s="3190">
        <v>291</v>
      </c>
      <c r="B292" s="3191" t="s">
        <v>4006</v>
      </c>
      <c r="C292" s="3191" t="s">
        <v>5169</v>
      </c>
      <c r="D292" s="3192" t="s">
        <v>5170</v>
      </c>
      <c r="E292" s="3191" t="s">
        <v>4008</v>
      </c>
      <c r="F292" s="3193" t="s">
        <v>5171</v>
      </c>
      <c r="G292" s="3197">
        <v>2291</v>
      </c>
      <c r="H292" s="3191" t="s">
        <v>4301</v>
      </c>
      <c r="I292" s="3191" t="s">
        <v>5465</v>
      </c>
      <c r="J292" s="3194">
        <v>29.47</v>
      </c>
      <c r="K292" s="3219">
        <v>11.16</v>
      </c>
      <c r="L292" s="3221"/>
    </row>
    <row r="293" spans="1:12">
      <c r="A293" s="3190">
        <v>292</v>
      </c>
      <c r="B293" s="3191" t="s">
        <v>5173</v>
      </c>
      <c r="C293" s="3191" t="s">
        <v>4007</v>
      </c>
      <c r="D293" s="3192" t="s">
        <v>5170</v>
      </c>
      <c r="E293" s="3191" t="s">
        <v>5174</v>
      </c>
      <c r="F293" s="3193" t="s">
        <v>4009</v>
      </c>
      <c r="G293" s="3197">
        <v>2292</v>
      </c>
      <c r="H293" s="3191" t="s">
        <v>5466</v>
      </c>
      <c r="I293" s="3191" t="s">
        <v>4302</v>
      </c>
      <c r="J293" s="3194">
        <v>30.74</v>
      </c>
      <c r="K293" s="3219">
        <v>11.64</v>
      </c>
      <c r="L293" s="3221"/>
    </row>
    <row r="294" spans="1:12">
      <c r="A294" s="3190">
        <v>293</v>
      </c>
      <c r="B294" s="3191" t="s">
        <v>4006</v>
      </c>
      <c r="C294" s="3191" t="s">
        <v>5169</v>
      </c>
      <c r="D294" s="3192" t="s">
        <v>5170</v>
      </c>
      <c r="E294" s="3191" t="s">
        <v>4008</v>
      </c>
      <c r="F294" s="3193" t="s">
        <v>5171</v>
      </c>
      <c r="G294" s="3197">
        <v>2293</v>
      </c>
      <c r="H294" s="3191" t="s">
        <v>4303</v>
      </c>
      <c r="I294" s="3191" t="s">
        <v>5467</v>
      </c>
      <c r="J294" s="3194">
        <v>30.74</v>
      </c>
      <c r="K294" s="3219">
        <v>11.64</v>
      </c>
      <c r="L294" s="3221"/>
    </row>
    <row r="295" spans="1:12">
      <c r="A295" s="3190">
        <v>294</v>
      </c>
      <c r="B295" s="3191" t="s">
        <v>5173</v>
      </c>
      <c r="C295" s="3191" t="s">
        <v>4007</v>
      </c>
      <c r="D295" s="3192" t="s">
        <v>5170</v>
      </c>
      <c r="E295" s="3191" t="s">
        <v>5174</v>
      </c>
      <c r="F295" s="3193" t="s">
        <v>4009</v>
      </c>
      <c r="G295" s="3197">
        <v>2294</v>
      </c>
      <c r="H295" s="3191" t="s">
        <v>5468</v>
      </c>
      <c r="I295" s="3191" t="s">
        <v>4304</v>
      </c>
      <c r="J295" s="3203">
        <v>33.299999999999997</v>
      </c>
      <c r="K295" s="3219">
        <v>12.61</v>
      </c>
      <c r="L295" s="3221"/>
    </row>
    <row r="296" spans="1:12">
      <c r="A296" s="3190">
        <v>295</v>
      </c>
      <c r="B296" s="3191" t="s">
        <v>4006</v>
      </c>
      <c r="C296" s="3191" t="s">
        <v>5169</v>
      </c>
      <c r="D296" s="3192" t="s">
        <v>5170</v>
      </c>
      <c r="E296" s="3191" t="s">
        <v>4008</v>
      </c>
      <c r="F296" s="3193" t="s">
        <v>5171</v>
      </c>
      <c r="G296" s="3197">
        <v>2295</v>
      </c>
      <c r="H296" s="3191" t="s">
        <v>4305</v>
      </c>
      <c r="I296" s="3191" t="s">
        <v>5469</v>
      </c>
      <c r="J296" s="3194">
        <v>29.47</v>
      </c>
      <c r="K296" s="3219">
        <v>11.16</v>
      </c>
      <c r="L296" s="3221"/>
    </row>
    <row r="297" spans="1:12">
      <c r="A297" s="3190">
        <v>296</v>
      </c>
      <c r="B297" s="3191" t="s">
        <v>5173</v>
      </c>
      <c r="C297" s="3191" t="s">
        <v>4007</v>
      </c>
      <c r="D297" s="3192" t="s">
        <v>5170</v>
      </c>
      <c r="E297" s="3191" t="s">
        <v>5174</v>
      </c>
      <c r="F297" s="3193" t="s">
        <v>4009</v>
      </c>
      <c r="G297" s="3197">
        <v>2296</v>
      </c>
      <c r="H297" s="3191" t="s">
        <v>5470</v>
      </c>
      <c r="I297" s="3191" t="s">
        <v>4306</v>
      </c>
      <c r="J297" s="3194">
        <v>29.47</v>
      </c>
      <c r="K297" s="3219">
        <v>11.16</v>
      </c>
      <c r="L297" s="3221"/>
    </row>
    <row r="298" spans="1:12">
      <c r="A298" s="3190">
        <v>297</v>
      </c>
      <c r="B298" s="3191" t="s">
        <v>4006</v>
      </c>
      <c r="C298" s="3191" t="s">
        <v>5169</v>
      </c>
      <c r="D298" s="3192" t="s">
        <v>5170</v>
      </c>
      <c r="E298" s="3191" t="s">
        <v>4008</v>
      </c>
      <c r="F298" s="3193" t="s">
        <v>5171</v>
      </c>
      <c r="G298" s="3197">
        <v>2297</v>
      </c>
      <c r="H298" s="3191" t="s">
        <v>4307</v>
      </c>
      <c r="I298" s="3191" t="s">
        <v>5471</v>
      </c>
      <c r="J298" s="3194">
        <v>29.47</v>
      </c>
      <c r="K298" s="3219">
        <v>11.16</v>
      </c>
      <c r="L298" s="3221"/>
    </row>
    <row r="299" spans="1:12">
      <c r="A299" s="3190">
        <v>298</v>
      </c>
      <c r="B299" s="3191" t="s">
        <v>5173</v>
      </c>
      <c r="C299" s="3191" t="s">
        <v>4007</v>
      </c>
      <c r="D299" s="3192" t="s">
        <v>5170</v>
      </c>
      <c r="E299" s="3191" t="s">
        <v>5174</v>
      </c>
      <c r="F299" s="3193" t="s">
        <v>4009</v>
      </c>
      <c r="G299" s="3197">
        <v>2298</v>
      </c>
      <c r="H299" s="3191" t="s">
        <v>5472</v>
      </c>
      <c r="I299" s="3191" t="s">
        <v>4308</v>
      </c>
      <c r="J299" s="3194">
        <v>29.47</v>
      </c>
      <c r="K299" s="3219">
        <v>11.16</v>
      </c>
      <c r="L299" s="3221"/>
    </row>
    <row r="300" spans="1:12">
      <c r="A300" s="3200">
        <v>299</v>
      </c>
      <c r="B300" s="3204" t="s">
        <v>4006</v>
      </c>
      <c r="C300" s="3204" t="s">
        <v>5169</v>
      </c>
      <c r="D300" s="3205" t="s">
        <v>5170</v>
      </c>
      <c r="E300" s="3204" t="s">
        <v>4008</v>
      </c>
      <c r="F300" s="3206" t="s">
        <v>5171</v>
      </c>
      <c r="G300" s="3202">
        <v>2299</v>
      </c>
      <c r="H300" s="3204" t="s">
        <v>4309</v>
      </c>
      <c r="I300" s="3204" t="s">
        <v>5473</v>
      </c>
      <c r="J300" s="3201">
        <v>24.09</v>
      </c>
      <c r="K300" s="3220">
        <v>9.1199999999999992</v>
      </c>
      <c r="L300" s="3221"/>
    </row>
    <row r="301" spans="1:12">
      <c r="A301" s="3190">
        <v>300</v>
      </c>
      <c r="B301" s="3191" t="s">
        <v>5173</v>
      </c>
      <c r="C301" s="3191" t="s">
        <v>4007</v>
      </c>
      <c r="D301" s="3192" t="s">
        <v>5170</v>
      </c>
      <c r="E301" s="3191" t="s">
        <v>5174</v>
      </c>
      <c r="F301" s="3193" t="s">
        <v>4009</v>
      </c>
      <c r="G301" s="3197">
        <v>2300</v>
      </c>
      <c r="H301" s="3191" t="s">
        <v>5474</v>
      </c>
      <c r="I301" s="3191" t="s">
        <v>4310</v>
      </c>
      <c r="J301" s="3194">
        <v>29.47</v>
      </c>
      <c r="K301" s="3219">
        <v>11.16</v>
      </c>
      <c r="L301" s="3221"/>
    </row>
    <row r="302" spans="1:12">
      <c r="A302" s="3190">
        <v>301</v>
      </c>
      <c r="B302" s="3191" t="s">
        <v>4006</v>
      </c>
      <c r="C302" s="3191" t="s">
        <v>5169</v>
      </c>
      <c r="D302" s="3192" t="s">
        <v>5170</v>
      </c>
      <c r="E302" s="3191" t="s">
        <v>4008</v>
      </c>
      <c r="F302" s="3193" t="s">
        <v>5171</v>
      </c>
      <c r="G302" s="3197">
        <v>2301</v>
      </c>
      <c r="H302" s="3191" t="s">
        <v>4311</v>
      </c>
      <c r="I302" s="3191" t="s">
        <v>5475</v>
      </c>
      <c r="J302" s="3194">
        <v>30.74</v>
      </c>
      <c r="K302" s="3232">
        <v>11.64</v>
      </c>
      <c r="L302" s="3221"/>
    </row>
    <row r="303" spans="1:12">
      <c r="A303" s="3190">
        <v>302</v>
      </c>
      <c r="B303" s="3191" t="s">
        <v>5173</v>
      </c>
      <c r="C303" s="3191" t="s">
        <v>4007</v>
      </c>
      <c r="D303" s="3192" t="s">
        <v>5170</v>
      </c>
      <c r="E303" s="3191" t="s">
        <v>5174</v>
      </c>
      <c r="F303" s="3193" t="s">
        <v>4009</v>
      </c>
      <c r="G303" s="3197">
        <v>2302</v>
      </c>
      <c r="H303" s="3191" t="s">
        <v>5476</v>
      </c>
      <c r="I303" s="3191" t="s">
        <v>4312</v>
      </c>
      <c r="J303" s="3194">
        <v>30.74</v>
      </c>
      <c r="K303" s="3219">
        <v>11.64</v>
      </c>
      <c r="L303" s="3221"/>
    </row>
    <row r="304" spans="1:12">
      <c r="A304" s="3190">
        <v>303</v>
      </c>
      <c r="B304" s="3191" t="s">
        <v>4006</v>
      </c>
      <c r="C304" s="3191" t="s">
        <v>5169</v>
      </c>
      <c r="D304" s="3192" t="s">
        <v>5170</v>
      </c>
      <c r="E304" s="3191" t="s">
        <v>4008</v>
      </c>
      <c r="F304" s="3193" t="s">
        <v>5171</v>
      </c>
      <c r="G304" s="3197">
        <v>2303</v>
      </c>
      <c r="H304" s="3191" t="s">
        <v>4313</v>
      </c>
      <c r="I304" s="3191" t="s">
        <v>5477</v>
      </c>
      <c r="J304" s="3194">
        <v>30.74</v>
      </c>
      <c r="K304" s="3219">
        <v>11.64</v>
      </c>
      <c r="L304" s="3221"/>
    </row>
    <row r="305" spans="1:12">
      <c r="A305" s="3190">
        <v>304</v>
      </c>
      <c r="B305" s="3191" t="s">
        <v>5173</v>
      </c>
      <c r="C305" s="3191" t="s">
        <v>4007</v>
      </c>
      <c r="D305" s="3192" t="s">
        <v>5170</v>
      </c>
      <c r="E305" s="3191" t="s">
        <v>5174</v>
      </c>
      <c r="F305" s="3193" t="s">
        <v>4009</v>
      </c>
      <c r="G305" s="3197">
        <v>2304</v>
      </c>
      <c r="H305" s="3191" t="s">
        <v>5478</v>
      </c>
      <c r="I305" s="3191" t="s">
        <v>4314</v>
      </c>
      <c r="J305" s="3194">
        <v>29.47</v>
      </c>
      <c r="K305" s="3219">
        <v>11.16</v>
      </c>
      <c r="L305" s="3221"/>
    </row>
    <row r="306" spans="1:12">
      <c r="A306" s="3190">
        <v>305</v>
      </c>
      <c r="B306" s="3191" t="s">
        <v>4006</v>
      </c>
      <c r="C306" s="3191" t="s">
        <v>5169</v>
      </c>
      <c r="D306" s="3192" t="s">
        <v>5170</v>
      </c>
      <c r="E306" s="3191" t="s">
        <v>4008</v>
      </c>
      <c r="F306" s="3193" t="s">
        <v>5171</v>
      </c>
      <c r="G306" s="3197">
        <v>2305</v>
      </c>
      <c r="H306" s="3191" t="s">
        <v>4315</v>
      </c>
      <c r="I306" s="3191" t="s">
        <v>5479</v>
      </c>
      <c r="J306" s="3194">
        <v>29.47</v>
      </c>
      <c r="K306" s="3219">
        <v>11.16</v>
      </c>
      <c r="L306" s="3221"/>
    </row>
    <row r="307" spans="1:12">
      <c r="A307" s="3190">
        <v>306</v>
      </c>
      <c r="B307" s="3191" t="s">
        <v>5173</v>
      </c>
      <c r="C307" s="3191" t="s">
        <v>4007</v>
      </c>
      <c r="D307" s="3192" t="s">
        <v>5170</v>
      </c>
      <c r="E307" s="3191" t="s">
        <v>5174</v>
      </c>
      <c r="F307" s="3193" t="s">
        <v>4009</v>
      </c>
      <c r="G307" s="3197">
        <v>2306</v>
      </c>
      <c r="H307" s="3191" t="s">
        <v>5480</v>
      </c>
      <c r="I307" s="3191" t="s">
        <v>4316</v>
      </c>
      <c r="J307" s="3194">
        <v>29.47</v>
      </c>
      <c r="K307" s="3219">
        <v>11.16</v>
      </c>
      <c r="L307" s="3221"/>
    </row>
    <row r="308" spans="1:12">
      <c r="A308" s="3190">
        <v>307</v>
      </c>
      <c r="B308" s="3191" t="s">
        <v>4006</v>
      </c>
      <c r="C308" s="3191" t="s">
        <v>5169</v>
      </c>
      <c r="D308" s="3192" t="s">
        <v>5170</v>
      </c>
      <c r="E308" s="3191" t="s">
        <v>4008</v>
      </c>
      <c r="F308" s="3193" t="s">
        <v>5171</v>
      </c>
      <c r="G308" s="3197">
        <v>2307</v>
      </c>
      <c r="H308" s="3191" t="s">
        <v>4317</v>
      </c>
      <c r="I308" s="3191" t="s">
        <v>5481</v>
      </c>
      <c r="J308" s="3194">
        <v>29.47</v>
      </c>
      <c r="K308" s="3219">
        <v>11.16</v>
      </c>
      <c r="L308" s="3221"/>
    </row>
    <row r="309" spans="1:12">
      <c r="A309" s="3190">
        <v>308</v>
      </c>
      <c r="B309" s="3191" t="s">
        <v>5173</v>
      </c>
      <c r="C309" s="3191" t="s">
        <v>4007</v>
      </c>
      <c r="D309" s="3192" t="s">
        <v>5170</v>
      </c>
      <c r="E309" s="3191" t="s">
        <v>5174</v>
      </c>
      <c r="F309" s="3193" t="s">
        <v>4009</v>
      </c>
      <c r="G309" s="3197">
        <v>2308</v>
      </c>
      <c r="H309" s="3191" t="s">
        <v>5482</v>
      </c>
      <c r="I309" s="3191" t="s">
        <v>4318</v>
      </c>
      <c r="J309" s="3194">
        <v>29.47</v>
      </c>
      <c r="K309" s="3219">
        <v>11.16</v>
      </c>
      <c r="L309" s="3221"/>
    </row>
    <row r="310" spans="1:12">
      <c r="A310" s="3190">
        <v>309</v>
      </c>
      <c r="B310" s="3191" t="s">
        <v>4006</v>
      </c>
      <c r="C310" s="3191" t="s">
        <v>5169</v>
      </c>
      <c r="D310" s="3192" t="s">
        <v>5170</v>
      </c>
      <c r="E310" s="3191" t="s">
        <v>4008</v>
      </c>
      <c r="F310" s="3193" t="s">
        <v>5171</v>
      </c>
      <c r="G310" s="3197">
        <v>2309</v>
      </c>
      <c r="H310" s="3191" t="s">
        <v>4319</v>
      </c>
      <c r="I310" s="3191" t="s">
        <v>5483</v>
      </c>
      <c r="J310" s="3194">
        <v>29.47</v>
      </c>
      <c r="K310" s="3219">
        <v>11.16</v>
      </c>
      <c r="L310" s="3221"/>
    </row>
    <row r="311" spans="1:12">
      <c r="A311" s="3190">
        <v>310</v>
      </c>
      <c r="B311" s="3191" t="s">
        <v>5173</v>
      </c>
      <c r="C311" s="3191" t="s">
        <v>4007</v>
      </c>
      <c r="D311" s="3192" t="s">
        <v>5170</v>
      </c>
      <c r="E311" s="3191" t="s">
        <v>5174</v>
      </c>
      <c r="F311" s="3193" t="s">
        <v>4009</v>
      </c>
      <c r="G311" s="3197">
        <v>2310</v>
      </c>
      <c r="H311" s="3191" t="s">
        <v>5484</v>
      </c>
      <c r="I311" s="3191" t="s">
        <v>4320</v>
      </c>
      <c r="J311" s="3194">
        <v>30.74</v>
      </c>
      <c r="K311" s="3219">
        <v>11.64</v>
      </c>
      <c r="L311" s="3221"/>
    </row>
    <row r="312" spans="1:12">
      <c r="A312" s="3190">
        <v>311</v>
      </c>
      <c r="B312" s="3191" t="s">
        <v>4006</v>
      </c>
      <c r="C312" s="3191" t="s">
        <v>5169</v>
      </c>
      <c r="D312" s="3192" t="s">
        <v>5170</v>
      </c>
      <c r="E312" s="3191" t="s">
        <v>4008</v>
      </c>
      <c r="F312" s="3193" t="s">
        <v>5171</v>
      </c>
      <c r="G312" s="3197">
        <v>2311</v>
      </c>
      <c r="H312" s="3191" t="s">
        <v>4321</v>
      </c>
      <c r="I312" s="3191" t="s">
        <v>5485</v>
      </c>
      <c r="J312" s="3194">
        <v>30.74</v>
      </c>
      <c r="K312" s="3219">
        <v>11.64</v>
      </c>
      <c r="L312" s="3221"/>
    </row>
    <row r="313" spans="1:12">
      <c r="A313" s="3190">
        <v>312</v>
      </c>
      <c r="B313" s="3191" t="s">
        <v>5173</v>
      </c>
      <c r="C313" s="3191" t="s">
        <v>4007</v>
      </c>
      <c r="D313" s="3192" t="s">
        <v>5170</v>
      </c>
      <c r="E313" s="3191" t="s">
        <v>5174</v>
      </c>
      <c r="F313" s="3193" t="s">
        <v>4322</v>
      </c>
      <c r="G313" s="3197">
        <v>1003</v>
      </c>
      <c r="H313" s="3191" t="s">
        <v>5486</v>
      </c>
      <c r="I313" s="3191" t="s">
        <v>4323</v>
      </c>
      <c r="J313" s="3194">
        <v>32.03</v>
      </c>
      <c r="K313" s="3219">
        <v>12.13</v>
      </c>
      <c r="L313" s="3221"/>
    </row>
    <row r="314" spans="1:12">
      <c r="A314" s="3190">
        <v>313</v>
      </c>
      <c r="B314" s="3191" t="s">
        <v>4006</v>
      </c>
      <c r="C314" s="3191" t="s">
        <v>5169</v>
      </c>
      <c r="D314" s="3192" t="s">
        <v>5170</v>
      </c>
      <c r="E314" s="3191" t="s">
        <v>4008</v>
      </c>
      <c r="F314" s="3193" t="s">
        <v>5487</v>
      </c>
      <c r="G314" s="3197">
        <v>1004</v>
      </c>
      <c r="H314" s="3191" t="s">
        <v>4324</v>
      </c>
      <c r="I314" s="3191" t="s">
        <v>5488</v>
      </c>
      <c r="J314" s="3194">
        <v>32.03</v>
      </c>
      <c r="K314" s="3219">
        <v>12.13</v>
      </c>
      <c r="L314" s="3221"/>
    </row>
    <row r="315" spans="1:12">
      <c r="A315" s="3190">
        <v>314</v>
      </c>
      <c r="B315" s="3191" t="s">
        <v>5173</v>
      </c>
      <c r="C315" s="3191" t="s">
        <v>4007</v>
      </c>
      <c r="D315" s="3192" t="s">
        <v>5170</v>
      </c>
      <c r="E315" s="3191" t="s">
        <v>5174</v>
      </c>
      <c r="F315" s="3193" t="s">
        <v>4322</v>
      </c>
      <c r="G315" s="3197">
        <v>1005</v>
      </c>
      <c r="H315" s="3191" t="s">
        <v>5489</v>
      </c>
      <c r="I315" s="3191" t="s">
        <v>4325</v>
      </c>
      <c r="J315" s="3194">
        <v>32.03</v>
      </c>
      <c r="K315" s="3219">
        <v>12.13</v>
      </c>
      <c r="L315" s="3221"/>
    </row>
    <row r="316" spans="1:12">
      <c r="A316" s="3190">
        <v>315</v>
      </c>
      <c r="B316" s="3191" t="s">
        <v>4006</v>
      </c>
      <c r="C316" s="3191" t="s">
        <v>5169</v>
      </c>
      <c r="D316" s="3192" t="s">
        <v>5170</v>
      </c>
      <c r="E316" s="3191" t="s">
        <v>4008</v>
      </c>
      <c r="F316" s="3193" t="s">
        <v>5487</v>
      </c>
      <c r="G316" s="3197">
        <v>1006</v>
      </c>
      <c r="H316" s="3191" t="s">
        <v>4326</v>
      </c>
      <c r="I316" s="3191" t="s">
        <v>5490</v>
      </c>
      <c r="J316" s="3194">
        <v>30.74</v>
      </c>
      <c r="K316" s="3219">
        <v>11.64</v>
      </c>
      <c r="L316" s="3221"/>
    </row>
    <row r="317" spans="1:12">
      <c r="A317" s="3190">
        <v>316</v>
      </c>
      <c r="B317" s="3191" t="s">
        <v>5173</v>
      </c>
      <c r="C317" s="3191" t="s">
        <v>4007</v>
      </c>
      <c r="D317" s="3192" t="s">
        <v>5170</v>
      </c>
      <c r="E317" s="3191" t="s">
        <v>5174</v>
      </c>
      <c r="F317" s="3193" t="s">
        <v>4322</v>
      </c>
      <c r="G317" s="3197">
        <v>1009</v>
      </c>
      <c r="H317" s="3191" t="s">
        <v>5491</v>
      </c>
      <c r="I317" s="3191" t="s">
        <v>4327</v>
      </c>
      <c r="J317" s="3194">
        <v>30.74</v>
      </c>
      <c r="K317" s="3219">
        <v>11.64</v>
      </c>
      <c r="L317" s="3221"/>
    </row>
    <row r="318" spans="1:12">
      <c r="A318" s="3190">
        <v>317</v>
      </c>
      <c r="B318" s="3191" t="s">
        <v>4006</v>
      </c>
      <c r="C318" s="3191" t="s">
        <v>5169</v>
      </c>
      <c r="D318" s="3192" t="s">
        <v>5170</v>
      </c>
      <c r="E318" s="3191" t="s">
        <v>4008</v>
      </c>
      <c r="F318" s="3193" t="s">
        <v>5487</v>
      </c>
      <c r="G318" s="3197">
        <v>1010</v>
      </c>
      <c r="H318" s="3191" t="s">
        <v>4328</v>
      </c>
      <c r="I318" s="3191" t="s">
        <v>5492</v>
      </c>
      <c r="J318" s="3194">
        <v>30.74</v>
      </c>
      <c r="K318" s="3219">
        <v>11.64</v>
      </c>
      <c r="L318" s="3221"/>
    </row>
    <row r="319" spans="1:12">
      <c r="A319" s="3190">
        <v>318</v>
      </c>
      <c r="B319" s="3191" t="s">
        <v>5173</v>
      </c>
      <c r="C319" s="3191" t="s">
        <v>4007</v>
      </c>
      <c r="D319" s="3192" t="s">
        <v>5170</v>
      </c>
      <c r="E319" s="3191" t="s">
        <v>5174</v>
      </c>
      <c r="F319" s="3193" t="s">
        <v>4322</v>
      </c>
      <c r="G319" s="3197">
        <v>1011</v>
      </c>
      <c r="H319" s="3191" t="s">
        <v>5493</v>
      </c>
      <c r="I319" s="3191" t="s">
        <v>4329</v>
      </c>
      <c r="J319" s="3194">
        <v>30.74</v>
      </c>
      <c r="K319" s="3219">
        <v>11.64</v>
      </c>
      <c r="L319" s="3221"/>
    </row>
    <row r="320" spans="1:12">
      <c r="A320" s="3190">
        <v>319</v>
      </c>
      <c r="B320" s="3191" t="s">
        <v>4006</v>
      </c>
      <c r="C320" s="3191" t="s">
        <v>5169</v>
      </c>
      <c r="D320" s="3192" t="s">
        <v>5170</v>
      </c>
      <c r="E320" s="3191" t="s">
        <v>4008</v>
      </c>
      <c r="F320" s="3207" t="s">
        <v>5494</v>
      </c>
      <c r="G320" s="3197">
        <v>1012</v>
      </c>
      <c r="H320" s="3191" t="s">
        <v>4331</v>
      </c>
      <c r="I320" s="3191" t="s">
        <v>5495</v>
      </c>
      <c r="J320" s="3194">
        <v>30.74</v>
      </c>
      <c r="K320" s="3219">
        <v>11.64</v>
      </c>
      <c r="L320" s="3221"/>
    </row>
    <row r="321" spans="1:12">
      <c r="A321" s="3190">
        <v>320</v>
      </c>
      <c r="B321" s="3191" t="s">
        <v>5173</v>
      </c>
      <c r="C321" s="3191" t="s">
        <v>4007</v>
      </c>
      <c r="D321" s="3192" t="s">
        <v>5170</v>
      </c>
      <c r="E321" s="3191" t="s">
        <v>5174</v>
      </c>
      <c r="F321" s="3193" t="s">
        <v>4322</v>
      </c>
      <c r="G321" s="3197">
        <v>1013</v>
      </c>
      <c r="H321" s="3191" t="s">
        <v>5496</v>
      </c>
      <c r="I321" s="3191" t="s">
        <v>4332</v>
      </c>
      <c r="J321" s="3194">
        <v>30.74</v>
      </c>
      <c r="K321" s="3219">
        <v>11.64</v>
      </c>
      <c r="L321" s="3221"/>
    </row>
    <row r="322" spans="1:12">
      <c r="A322" s="3190">
        <v>321</v>
      </c>
      <c r="B322" s="3191" t="s">
        <v>4006</v>
      </c>
      <c r="C322" s="3191" t="s">
        <v>5169</v>
      </c>
      <c r="D322" s="3192" t="s">
        <v>5170</v>
      </c>
      <c r="E322" s="3191" t="s">
        <v>4008</v>
      </c>
      <c r="F322" s="3207" t="s">
        <v>5494</v>
      </c>
      <c r="G322" s="3197">
        <v>1014</v>
      </c>
      <c r="H322" s="3191" t="s">
        <v>4333</v>
      </c>
      <c r="I322" s="3191" t="s">
        <v>5497</v>
      </c>
      <c r="J322" s="3194">
        <v>30.74</v>
      </c>
      <c r="K322" s="3219">
        <v>11.64</v>
      </c>
      <c r="L322" s="3221"/>
    </row>
    <row r="323" spans="1:12">
      <c r="A323" s="3190">
        <v>322</v>
      </c>
      <c r="B323" s="3191" t="s">
        <v>5173</v>
      </c>
      <c r="C323" s="3191" t="s">
        <v>4007</v>
      </c>
      <c r="D323" s="3192" t="s">
        <v>5170</v>
      </c>
      <c r="E323" s="3191" t="s">
        <v>5174</v>
      </c>
      <c r="F323" s="3207" t="s">
        <v>4330</v>
      </c>
      <c r="G323" s="3197">
        <v>1015</v>
      </c>
      <c r="H323" s="3191" t="s">
        <v>5498</v>
      </c>
      <c r="I323" s="3191" t="s">
        <v>4334</v>
      </c>
      <c r="J323" s="3194">
        <v>30.74</v>
      </c>
      <c r="K323" s="3232">
        <v>11.64</v>
      </c>
      <c r="L323" s="3221"/>
    </row>
    <row r="324" spans="1:12">
      <c r="A324" s="3190">
        <v>323</v>
      </c>
      <c r="B324" s="3191" t="s">
        <v>4006</v>
      </c>
      <c r="C324" s="3191" t="s">
        <v>5169</v>
      </c>
      <c r="D324" s="3192" t="s">
        <v>5170</v>
      </c>
      <c r="E324" s="3191" t="s">
        <v>4008</v>
      </c>
      <c r="F324" s="3193" t="s">
        <v>5487</v>
      </c>
      <c r="G324" s="3197">
        <v>1016</v>
      </c>
      <c r="H324" s="3191" t="s">
        <v>4335</v>
      </c>
      <c r="I324" s="3191" t="s">
        <v>5499</v>
      </c>
      <c r="J324" s="3194">
        <v>30.74</v>
      </c>
      <c r="K324" s="3219">
        <v>11.64</v>
      </c>
      <c r="L324" s="3221"/>
    </row>
    <row r="325" spans="1:12">
      <c r="A325" s="3190">
        <v>324</v>
      </c>
      <c r="B325" s="3191" t="s">
        <v>5173</v>
      </c>
      <c r="C325" s="3191" t="s">
        <v>4007</v>
      </c>
      <c r="D325" s="3192" t="s">
        <v>5170</v>
      </c>
      <c r="E325" s="3191" t="s">
        <v>5174</v>
      </c>
      <c r="F325" s="3207" t="s">
        <v>4330</v>
      </c>
      <c r="G325" s="3197">
        <v>1017</v>
      </c>
      <c r="H325" s="3191" t="s">
        <v>5500</v>
      </c>
      <c r="I325" s="3191" t="s">
        <v>4336</v>
      </c>
      <c r="J325" s="3194">
        <v>30.74</v>
      </c>
      <c r="K325" s="3219">
        <v>11.64</v>
      </c>
      <c r="L325" s="3221"/>
    </row>
    <row r="326" spans="1:12">
      <c r="A326" s="3190">
        <v>325</v>
      </c>
      <c r="B326" s="3191" t="s">
        <v>4006</v>
      </c>
      <c r="C326" s="3191" t="s">
        <v>5169</v>
      </c>
      <c r="D326" s="3192" t="s">
        <v>5170</v>
      </c>
      <c r="E326" s="3191" t="s">
        <v>4008</v>
      </c>
      <c r="F326" s="3193" t="s">
        <v>5487</v>
      </c>
      <c r="G326" s="3197">
        <v>1018</v>
      </c>
      <c r="H326" s="3191" t="s">
        <v>4337</v>
      </c>
      <c r="I326" s="3191" t="s">
        <v>5501</v>
      </c>
      <c r="J326" s="3194">
        <v>30.74</v>
      </c>
      <c r="K326" s="3219">
        <v>11.64</v>
      </c>
      <c r="L326" s="3221"/>
    </row>
    <row r="327" spans="1:12">
      <c r="A327" s="3190">
        <v>326</v>
      </c>
      <c r="B327" s="3191" t="s">
        <v>5173</v>
      </c>
      <c r="C327" s="3191" t="s">
        <v>4007</v>
      </c>
      <c r="D327" s="3192" t="s">
        <v>5170</v>
      </c>
      <c r="E327" s="3191" t="s">
        <v>5174</v>
      </c>
      <c r="F327" s="3193" t="s">
        <v>4322</v>
      </c>
      <c r="G327" s="3197">
        <v>1019</v>
      </c>
      <c r="H327" s="3191" t="s">
        <v>5502</v>
      </c>
      <c r="I327" s="3191" t="s">
        <v>4338</v>
      </c>
      <c r="J327" s="3194">
        <v>30.74</v>
      </c>
      <c r="K327" s="3219">
        <v>11.64</v>
      </c>
      <c r="L327" s="3221"/>
    </row>
    <row r="328" spans="1:12">
      <c r="A328" s="3190">
        <v>327</v>
      </c>
      <c r="B328" s="3191" t="s">
        <v>4006</v>
      </c>
      <c r="C328" s="3191" t="s">
        <v>5169</v>
      </c>
      <c r="D328" s="3192" t="s">
        <v>5170</v>
      </c>
      <c r="E328" s="3191" t="s">
        <v>4008</v>
      </c>
      <c r="F328" s="3193" t="s">
        <v>5487</v>
      </c>
      <c r="G328" s="3197">
        <v>1022</v>
      </c>
      <c r="H328" s="3191" t="s">
        <v>4339</v>
      </c>
      <c r="I328" s="3191" t="s">
        <v>5503</v>
      </c>
      <c r="J328" s="3194">
        <v>30.74</v>
      </c>
      <c r="K328" s="3219">
        <v>11.64</v>
      </c>
      <c r="L328" s="3221"/>
    </row>
    <row r="329" spans="1:12">
      <c r="A329" s="3190">
        <v>328</v>
      </c>
      <c r="B329" s="3191" t="s">
        <v>5173</v>
      </c>
      <c r="C329" s="3191" t="s">
        <v>4007</v>
      </c>
      <c r="D329" s="3192" t="s">
        <v>5170</v>
      </c>
      <c r="E329" s="3191" t="s">
        <v>5174</v>
      </c>
      <c r="F329" s="3193" t="s">
        <v>4322</v>
      </c>
      <c r="G329" s="3197">
        <v>1023</v>
      </c>
      <c r="H329" s="3191" t="s">
        <v>5504</v>
      </c>
      <c r="I329" s="3191" t="s">
        <v>4340</v>
      </c>
      <c r="J329" s="3194">
        <v>30.74</v>
      </c>
      <c r="K329" s="3219">
        <v>11.64</v>
      </c>
      <c r="L329" s="3221"/>
    </row>
    <row r="330" spans="1:12">
      <c r="A330" s="3190">
        <v>329</v>
      </c>
      <c r="B330" s="3191" t="s">
        <v>4006</v>
      </c>
      <c r="C330" s="3191" t="s">
        <v>5169</v>
      </c>
      <c r="D330" s="3192" t="s">
        <v>5170</v>
      </c>
      <c r="E330" s="3191" t="s">
        <v>4008</v>
      </c>
      <c r="F330" s="3193" t="s">
        <v>5487</v>
      </c>
      <c r="G330" s="3197">
        <v>1024</v>
      </c>
      <c r="H330" s="3191" t="s">
        <v>4341</v>
      </c>
      <c r="I330" s="3191" t="s">
        <v>5505</v>
      </c>
      <c r="J330" s="3194">
        <v>30.74</v>
      </c>
      <c r="K330" s="3219">
        <v>11.64</v>
      </c>
      <c r="L330" s="3221"/>
    </row>
    <row r="331" spans="1:12">
      <c r="A331" s="3190">
        <v>330</v>
      </c>
      <c r="B331" s="3191" t="s">
        <v>5173</v>
      </c>
      <c r="C331" s="3191" t="s">
        <v>4007</v>
      </c>
      <c r="D331" s="3192" t="s">
        <v>5170</v>
      </c>
      <c r="E331" s="3191" t="s">
        <v>5174</v>
      </c>
      <c r="F331" s="3193" t="s">
        <v>4322</v>
      </c>
      <c r="G331" s="3197">
        <v>1025</v>
      </c>
      <c r="H331" s="3191" t="s">
        <v>5506</v>
      </c>
      <c r="I331" s="3191" t="s">
        <v>4342</v>
      </c>
      <c r="J331" s="3194">
        <v>30.74</v>
      </c>
      <c r="K331" s="3219">
        <v>11.64</v>
      </c>
      <c r="L331" s="3221"/>
    </row>
    <row r="332" spans="1:12">
      <c r="A332" s="3190">
        <v>331</v>
      </c>
      <c r="B332" s="3191" t="s">
        <v>4006</v>
      </c>
      <c r="C332" s="3191" t="s">
        <v>5169</v>
      </c>
      <c r="D332" s="3192" t="s">
        <v>5170</v>
      </c>
      <c r="E332" s="3191" t="s">
        <v>4008</v>
      </c>
      <c r="F332" s="3193" t="s">
        <v>5487</v>
      </c>
      <c r="G332" s="3197">
        <v>1026</v>
      </c>
      <c r="H332" s="3198" t="s">
        <v>6334</v>
      </c>
      <c r="I332" s="3191" t="s">
        <v>5507</v>
      </c>
      <c r="J332" s="3194">
        <v>30.74</v>
      </c>
      <c r="K332" s="3219">
        <v>11.64</v>
      </c>
      <c r="L332" s="3221"/>
    </row>
    <row r="333" spans="1:12">
      <c r="A333" s="3190">
        <v>332</v>
      </c>
      <c r="B333" s="3191" t="s">
        <v>5173</v>
      </c>
      <c r="C333" s="3191" t="s">
        <v>4007</v>
      </c>
      <c r="D333" s="3192" t="s">
        <v>5170</v>
      </c>
      <c r="E333" s="3191" t="s">
        <v>5174</v>
      </c>
      <c r="F333" s="3193" t="s">
        <v>4322</v>
      </c>
      <c r="G333" s="3197">
        <v>1027</v>
      </c>
      <c r="H333" s="3191" t="s">
        <v>5508</v>
      </c>
      <c r="I333" s="3191" t="s">
        <v>4343</v>
      </c>
      <c r="J333" s="3194">
        <v>30.74</v>
      </c>
      <c r="K333" s="3219">
        <v>11.64</v>
      </c>
      <c r="L333" s="3221"/>
    </row>
    <row r="334" spans="1:12">
      <c r="A334" s="3190">
        <v>333</v>
      </c>
      <c r="B334" s="3191" t="s">
        <v>4006</v>
      </c>
      <c r="C334" s="3191" t="s">
        <v>5169</v>
      </c>
      <c r="D334" s="3192" t="s">
        <v>5170</v>
      </c>
      <c r="E334" s="3191" t="s">
        <v>4008</v>
      </c>
      <c r="F334" s="3193" t="s">
        <v>5487</v>
      </c>
      <c r="G334" s="3197">
        <v>1028</v>
      </c>
      <c r="H334" s="3191" t="s">
        <v>4344</v>
      </c>
      <c r="I334" s="3191" t="s">
        <v>5509</v>
      </c>
      <c r="J334" s="3194">
        <v>30.74</v>
      </c>
      <c r="K334" s="3219">
        <v>11.64</v>
      </c>
      <c r="L334" s="3221"/>
    </row>
    <row r="335" spans="1:12">
      <c r="A335" s="3190">
        <v>334</v>
      </c>
      <c r="B335" s="3191" t="s">
        <v>5173</v>
      </c>
      <c r="C335" s="3191" t="s">
        <v>4007</v>
      </c>
      <c r="D335" s="3192" t="s">
        <v>5170</v>
      </c>
      <c r="E335" s="3191" t="s">
        <v>5174</v>
      </c>
      <c r="F335" s="3193" t="s">
        <v>4322</v>
      </c>
      <c r="G335" s="3197">
        <v>1029</v>
      </c>
      <c r="H335" s="3191" t="s">
        <v>5510</v>
      </c>
      <c r="I335" s="3191" t="s">
        <v>4345</v>
      </c>
      <c r="J335" s="3194">
        <v>30.74</v>
      </c>
      <c r="K335" s="3219">
        <v>11.64</v>
      </c>
      <c r="L335" s="3221"/>
    </row>
    <row r="336" spans="1:12">
      <c r="A336" s="3190">
        <v>335</v>
      </c>
      <c r="B336" s="3191" t="s">
        <v>4006</v>
      </c>
      <c r="C336" s="3191" t="s">
        <v>5169</v>
      </c>
      <c r="D336" s="3192" t="s">
        <v>5170</v>
      </c>
      <c r="E336" s="3191" t="s">
        <v>4008</v>
      </c>
      <c r="F336" s="3193" t="s">
        <v>5487</v>
      </c>
      <c r="G336" s="3197">
        <v>1031</v>
      </c>
      <c r="H336" s="3191" t="s">
        <v>4346</v>
      </c>
      <c r="I336" s="3191" t="s">
        <v>5511</v>
      </c>
      <c r="J336" s="3194">
        <v>30.74</v>
      </c>
      <c r="K336" s="3219">
        <v>11.64</v>
      </c>
      <c r="L336" s="3221"/>
    </row>
    <row r="337" spans="1:12">
      <c r="A337" s="3190">
        <v>336</v>
      </c>
      <c r="B337" s="3191" t="s">
        <v>5173</v>
      </c>
      <c r="C337" s="3191" t="s">
        <v>4007</v>
      </c>
      <c r="D337" s="3192" t="s">
        <v>5170</v>
      </c>
      <c r="E337" s="3191" t="s">
        <v>5174</v>
      </c>
      <c r="F337" s="3193" t="s">
        <v>4322</v>
      </c>
      <c r="G337" s="3197">
        <v>1032</v>
      </c>
      <c r="H337" s="3191" t="s">
        <v>5512</v>
      </c>
      <c r="I337" s="3191" t="s">
        <v>4347</v>
      </c>
      <c r="J337" s="3194">
        <v>30.74</v>
      </c>
      <c r="K337" s="3219">
        <v>11.64</v>
      </c>
      <c r="L337" s="3221"/>
    </row>
    <row r="338" spans="1:12">
      <c r="A338" s="3190">
        <v>337</v>
      </c>
      <c r="B338" s="3191" t="s">
        <v>4006</v>
      </c>
      <c r="C338" s="3191" t="s">
        <v>5169</v>
      </c>
      <c r="D338" s="3192" t="s">
        <v>5170</v>
      </c>
      <c r="E338" s="3191" t="s">
        <v>4008</v>
      </c>
      <c r="F338" s="3193" t="s">
        <v>5487</v>
      </c>
      <c r="G338" s="3197">
        <v>1033</v>
      </c>
      <c r="H338" s="3191" t="s">
        <v>4348</v>
      </c>
      <c r="I338" s="3191" t="s">
        <v>5513</v>
      </c>
      <c r="J338" s="3194">
        <v>30.74</v>
      </c>
      <c r="K338" s="3219">
        <v>11.64</v>
      </c>
      <c r="L338" s="3221"/>
    </row>
    <row r="339" spans="1:12">
      <c r="A339" s="3190">
        <v>338</v>
      </c>
      <c r="B339" s="3191" t="s">
        <v>5173</v>
      </c>
      <c r="C339" s="3191" t="s">
        <v>4007</v>
      </c>
      <c r="D339" s="3192" t="s">
        <v>5170</v>
      </c>
      <c r="E339" s="3191" t="s">
        <v>5174</v>
      </c>
      <c r="F339" s="3207" t="s">
        <v>4330</v>
      </c>
      <c r="G339" s="3197">
        <v>1034</v>
      </c>
      <c r="H339" s="3191" t="s">
        <v>5514</v>
      </c>
      <c r="I339" s="3191" t="s">
        <v>4349</v>
      </c>
      <c r="J339" s="3194">
        <v>30.74</v>
      </c>
      <c r="K339" s="3219">
        <v>11.64</v>
      </c>
      <c r="L339" s="3221"/>
    </row>
    <row r="340" spans="1:12">
      <c r="A340" s="3190">
        <v>339</v>
      </c>
      <c r="B340" s="3191" t="s">
        <v>4006</v>
      </c>
      <c r="C340" s="3191" t="s">
        <v>5169</v>
      </c>
      <c r="D340" s="3192" t="s">
        <v>5170</v>
      </c>
      <c r="E340" s="3191" t="s">
        <v>4008</v>
      </c>
      <c r="F340" s="3193" t="s">
        <v>5487</v>
      </c>
      <c r="G340" s="3197">
        <v>1037</v>
      </c>
      <c r="H340" s="3191" t="s">
        <v>4350</v>
      </c>
      <c r="I340" s="3191" t="s">
        <v>5515</v>
      </c>
      <c r="J340" s="3194">
        <v>33.94</v>
      </c>
      <c r="K340" s="3219">
        <v>12.85</v>
      </c>
      <c r="L340" s="3221"/>
    </row>
    <row r="341" spans="1:12">
      <c r="A341" s="3190">
        <v>340</v>
      </c>
      <c r="B341" s="3191" t="s">
        <v>5173</v>
      </c>
      <c r="C341" s="3191" t="s">
        <v>4007</v>
      </c>
      <c r="D341" s="3192" t="s">
        <v>5170</v>
      </c>
      <c r="E341" s="3191" t="s">
        <v>5174</v>
      </c>
      <c r="F341" s="3193" t="s">
        <v>4322</v>
      </c>
      <c r="G341" s="3197">
        <v>1038</v>
      </c>
      <c r="H341" s="3191" t="s">
        <v>5516</v>
      </c>
      <c r="I341" s="3191" t="s">
        <v>4351</v>
      </c>
      <c r="J341" s="3194">
        <v>33.94</v>
      </c>
      <c r="K341" s="3219">
        <v>12.85</v>
      </c>
      <c r="L341" s="3221"/>
    </row>
    <row r="342" spans="1:12">
      <c r="A342" s="3190">
        <v>341</v>
      </c>
      <c r="B342" s="3191" t="s">
        <v>4006</v>
      </c>
      <c r="C342" s="3191" t="s">
        <v>5169</v>
      </c>
      <c r="D342" s="3192" t="s">
        <v>5170</v>
      </c>
      <c r="E342" s="3191" t="s">
        <v>4008</v>
      </c>
      <c r="F342" s="3207" t="s">
        <v>5494</v>
      </c>
      <c r="G342" s="3197">
        <v>1039</v>
      </c>
      <c r="H342" s="3191" t="s">
        <v>4352</v>
      </c>
      <c r="I342" s="3191" t="s">
        <v>5517</v>
      </c>
      <c r="J342" s="3194">
        <v>30.74</v>
      </c>
      <c r="K342" s="3219">
        <v>11.64</v>
      </c>
      <c r="L342" s="3221"/>
    </row>
    <row r="343" spans="1:12">
      <c r="A343" s="3190">
        <v>342</v>
      </c>
      <c r="B343" s="3191" t="s">
        <v>5173</v>
      </c>
      <c r="C343" s="3191" t="s">
        <v>4007</v>
      </c>
      <c r="D343" s="3192" t="s">
        <v>5170</v>
      </c>
      <c r="E343" s="3191" t="s">
        <v>5174</v>
      </c>
      <c r="F343" s="3193" t="s">
        <v>4322</v>
      </c>
      <c r="G343" s="3197">
        <v>1040</v>
      </c>
      <c r="H343" s="3191" t="s">
        <v>5518</v>
      </c>
      <c r="I343" s="3191" t="s">
        <v>4353</v>
      </c>
      <c r="J343" s="3194">
        <v>30.74</v>
      </c>
      <c r="K343" s="3219">
        <v>11.64</v>
      </c>
      <c r="L343" s="3221"/>
    </row>
    <row r="344" spans="1:12">
      <c r="A344" s="3190">
        <v>343</v>
      </c>
      <c r="B344" s="3191" t="s">
        <v>4006</v>
      </c>
      <c r="C344" s="3191" t="s">
        <v>5169</v>
      </c>
      <c r="D344" s="3192" t="s">
        <v>5170</v>
      </c>
      <c r="E344" s="3191" t="s">
        <v>4008</v>
      </c>
      <c r="F344" s="3207" t="s">
        <v>5494</v>
      </c>
      <c r="G344" s="3197">
        <v>1041</v>
      </c>
      <c r="H344" s="3191" t="s">
        <v>4354</v>
      </c>
      <c r="I344" s="3191" t="s">
        <v>5519</v>
      </c>
      <c r="J344" s="3194">
        <v>31.37</v>
      </c>
      <c r="K344" s="3219">
        <v>11.88</v>
      </c>
      <c r="L344" s="3221"/>
    </row>
    <row r="345" spans="1:12">
      <c r="A345" s="3190">
        <v>344</v>
      </c>
      <c r="B345" s="3191" t="s">
        <v>5173</v>
      </c>
      <c r="C345" s="3191" t="s">
        <v>4007</v>
      </c>
      <c r="D345" s="3192" t="s">
        <v>5170</v>
      </c>
      <c r="E345" s="3191" t="s">
        <v>5174</v>
      </c>
      <c r="F345" s="3193" t="s">
        <v>4322</v>
      </c>
      <c r="G345" s="3197">
        <v>1042</v>
      </c>
      <c r="H345" s="3191" t="s">
        <v>5520</v>
      </c>
      <c r="I345" s="3191" t="s">
        <v>4355</v>
      </c>
      <c r="J345" s="3194">
        <v>31.37</v>
      </c>
      <c r="K345" s="3219">
        <v>11.88</v>
      </c>
      <c r="L345" s="3221"/>
    </row>
    <row r="346" spans="1:12">
      <c r="A346" s="3190">
        <v>345</v>
      </c>
      <c r="B346" s="3191" t="s">
        <v>4006</v>
      </c>
      <c r="C346" s="3191" t="s">
        <v>5169</v>
      </c>
      <c r="D346" s="3192" t="s">
        <v>5170</v>
      </c>
      <c r="E346" s="3191" t="s">
        <v>4008</v>
      </c>
      <c r="F346" s="3193" t="s">
        <v>5487</v>
      </c>
      <c r="G346" s="3197">
        <v>1043</v>
      </c>
      <c r="H346" s="3191" t="s">
        <v>4356</v>
      </c>
      <c r="I346" s="3191" t="s">
        <v>5521</v>
      </c>
      <c r="J346" s="3194">
        <v>31.37</v>
      </c>
      <c r="K346" s="3219">
        <v>11.88</v>
      </c>
      <c r="L346" s="3221"/>
    </row>
    <row r="347" spans="1:12">
      <c r="A347" s="3190">
        <v>346</v>
      </c>
      <c r="B347" s="3191" t="s">
        <v>5173</v>
      </c>
      <c r="C347" s="3191" t="s">
        <v>4007</v>
      </c>
      <c r="D347" s="3192" t="s">
        <v>5170</v>
      </c>
      <c r="E347" s="3191" t="s">
        <v>5174</v>
      </c>
      <c r="F347" s="3193" t="s">
        <v>4322</v>
      </c>
      <c r="G347" s="3197">
        <v>1044</v>
      </c>
      <c r="H347" s="3191" t="s">
        <v>5522</v>
      </c>
      <c r="I347" s="3191" t="s">
        <v>4357</v>
      </c>
      <c r="J347" s="3194">
        <v>31.37</v>
      </c>
      <c r="K347" s="3219">
        <v>11.88</v>
      </c>
      <c r="L347" s="3221"/>
    </row>
    <row r="348" spans="1:12">
      <c r="A348" s="3190">
        <v>347</v>
      </c>
      <c r="B348" s="3191" t="s">
        <v>4006</v>
      </c>
      <c r="C348" s="3191" t="s">
        <v>5169</v>
      </c>
      <c r="D348" s="3192" t="s">
        <v>5170</v>
      </c>
      <c r="E348" s="3191" t="s">
        <v>4008</v>
      </c>
      <c r="F348" s="3207" t="s">
        <v>5494</v>
      </c>
      <c r="G348" s="3197">
        <v>1045</v>
      </c>
      <c r="H348" s="3191" t="s">
        <v>4358</v>
      </c>
      <c r="I348" s="3191" t="s">
        <v>5523</v>
      </c>
      <c r="J348" s="3194">
        <v>31.37</v>
      </c>
      <c r="K348" s="3219">
        <v>11.88</v>
      </c>
      <c r="L348" s="3221"/>
    </row>
    <row r="349" spans="1:12">
      <c r="A349" s="3190">
        <v>348</v>
      </c>
      <c r="B349" s="3191" t="s">
        <v>5173</v>
      </c>
      <c r="C349" s="3191" t="s">
        <v>4007</v>
      </c>
      <c r="D349" s="3192" t="s">
        <v>5170</v>
      </c>
      <c r="E349" s="3191" t="s">
        <v>5174</v>
      </c>
      <c r="F349" s="3193" t="s">
        <v>4322</v>
      </c>
      <c r="G349" s="3197">
        <v>1046</v>
      </c>
      <c r="H349" s="3191" t="s">
        <v>5524</v>
      </c>
      <c r="I349" s="3191" t="s">
        <v>4359</v>
      </c>
      <c r="J349" s="3194">
        <v>31.37</v>
      </c>
      <c r="K349" s="3219">
        <v>11.88</v>
      </c>
      <c r="L349" s="3221"/>
    </row>
    <row r="350" spans="1:12">
      <c r="A350" s="3190">
        <v>349</v>
      </c>
      <c r="B350" s="3191" t="s">
        <v>4006</v>
      </c>
      <c r="C350" s="3191" t="s">
        <v>5169</v>
      </c>
      <c r="D350" s="3192" t="s">
        <v>5170</v>
      </c>
      <c r="E350" s="3191" t="s">
        <v>4008</v>
      </c>
      <c r="F350" s="3193" t="s">
        <v>5487</v>
      </c>
      <c r="G350" s="3197">
        <v>1047</v>
      </c>
      <c r="H350" s="3191" t="s">
        <v>4360</v>
      </c>
      <c r="I350" s="3191" t="s">
        <v>5525</v>
      </c>
      <c r="J350" s="3194">
        <v>31.37</v>
      </c>
      <c r="K350" s="3219">
        <v>11.88</v>
      </c>
      <c r="L350" s="3221"/>
    </row>
    <row r="351" spans="1:12">
      <c r="A351" s="3190">
        <v>350</v>
      </c>
      <c r="B351" s="3191" t="s">
        <v>5173</v>
      </c>
      <c r="C351" s="3191" t="s">
        <v>4007</v>
      </c>
      <c r="D351" s="3192" t="s">
        <v>5170</v>
      </c>
      <c r="E351" s="3191" t="s">
        <v>5174</v>
      </c>
      <c r="F351" s="3193" t="s">
        <v>4322</v>
      </c>
      <c r="G351" s="3197">
        <v>1048</v>
      </c>
      <c r="H351" s="3191" t="s">
        <v>5526</v>
      </c>
      <c r="I351" s="3191" t="s">
        <v>4361</v>
      </c>
      <c r="J351" s="3194">
        <v>31.37</v>
      </c>
      <c r="K351" s="3219">
        <v>11.88</v>
      </c>
      <c r="L351" s="3221"/>
    </row>
    <row r="352" spans="1:12">
      <c r="A352" s="3190">
        <v>351</v>
      </c>
      <c r="B352" s="3191" t="s">
        <v>4006</v>
      </c>
      <c r="C352" s="3191" t="s">
        <v>5169</v>
      </c>
      <c r="D352" s="3192" t="s">
        <v>5170</v>
      </c>
      <c r="E352" s="3191" t="s">
        <v>4008</v>
      </c>
      <c r="F352" s="3193" t="s">
        <v>5487</v>
      </c>
      <c r="G352" s="3197">
        <v>1049</v>
      </c>
      <c r="H352" s="3191" t="s">
        <v>4362</v>
      </c>
      <c r="I352" s="3191" t="s">
        <v>5527</v>
      </c>
      <c r="J352" s="3194">
        <v>31.37</v>
      </c>
      <c r="K352" s="3219">
        <v>11.88</v>
      </c>
      <c r="L352" s="3221"/>
    </row>
    <row r="353" spans="1:12">
      <c r="A353" s="3190">
        <v>352</v>
      </c>
      <c r="B353" s="3191" t="s">
        <v>5173</v>
      </c>
      <c r="C353" s="3191" t="s">
        <v>4007</v>
      </c>
      <c r="D353" s="3192" t="s">
        <v>5170</v>
      </c>
      <c r="E353" s="3191" t="s">
        <v>5174</v>
      </c>
      <c r="F353" s="3193" t="s">
        <v>4322</v>
      </c>
      <c r="G353" s="3197">
        <v>1050</v>
      </c>
      <c r="H353" s="3191" t="s">
        <v>5528</v>
      </c>
      <c r="I353" s="3191" t="s">
        <v>4363</v>
      </c>
      <c r="J353" s="3194">
        <v>31.37</v>
      </c>
      <c r="K353" s="3219">
        <v>11.88</v>
      </c>
      <c r="L353" s="3221"/>
    </row>
    <row r="354" spans="1:12">
      <c r="A354" s="3190">
        <v>353</v>
      </c>
      <c r="B354" s="3191" t="s">
        <v>4006</v>
      </c>
      <c r="C354" s="3191" t="s">
        <v>5169</v>
      </c>
      <c r="D354" s="3192" t="s">
        <v>5170</v>
      </c>
      <c r="E354" s="3191" t="s">
        <v>4008</v>
      </c>
      <c r="F354" s="3193" t="s">
        <v>5487</v>
      </c>
      <c r="G354" s="3197">
        <v>1051</v>
      </c>
      <c r="H354" s="3191" t="s">
        <v>4364</v>
      </c>
      <c r="I354" s="3191" t="s">
        <v>5529</v>
      </c>
      <c r="J354" s="3194">
        <v>31.37</v>
      </c>
      <c r="K354" s="3219">
        <v>11.88</v>
      </c>
      <c r="L354" s="3221"/>
    </row>
    <row r="355" spans="1:12">
      <c r="A355" s="3190">
        <v>354</v>
      </c>
      <c r="B355" s="3191" t="s">
        <v>5173</v>
      </c>
      <c r="C355" s="3191" t="s">
        <v>4007</v>
      </c>
      <c r="D355" s="3192" t="s">
        <v>5170</v>
      </c>
      <c r="E355" s="3191" t="s">
        <v>5174</v>
      </c>
      <c r="F355" s="3193" t="s">
        <v>4322</v>
      </c>
      <c r="G355" s="3197">
        <v>1052</v>
      </c>
      <c r="H355" s="3191" t="s">
        <v>5530</v>
      </c>
      <c r="I355" s="3191" t="s">
        <v>4365</v>
      </c>
      <c r="J355" s="3194">
        <v>31.37</v>
      </c>
      <c r="K355" s="3219">
        <v>11.88</v>
      </c>
      <c r="L355" s="3221"/>
    </row>
    <row r="356" spans="1:12">
      <c r="A356" s="3190">
        <v>355</v>
      </c>
      <c r="B356" s="3191" t="s">
        <v>4006</v>
      </c>
      <c r="C356" s="3191" t="s">
        <v>5169</v>
      </c>
      <c r="D356" s="3192" t="s">
        <v>5170</v>
      </c>
      <c r="E356" s="3191" t="s">
        <v>4008</v>
      </c>
      <c r="F356" s="3193" t="s">
        <v>5487</v>
      </c>
      <c r="G356" s="3197">
        <v>1053</v>
      </c>
      <c r="H356" s="3191" t="s">
        <v>4366</v>
      </c>
      <c r="I356" s="3191" t="s">
        <v>5531</v>
      </c>
      <c r="J356" s="3194">
        <v>32.69</v>
      </c>
      <c r="K356" s="3219">
        <v>12.38</v>
      </c>
      <c r="L356" s="3221"/>
    </row>
    <row r="357" spans="1:12">
      <c r="A357" s="3190">
        <v>356</v>
      </c>
      <c r="B357" s="3191" t="s">
        <v>5173</v>
      </c>
      <c r="C357" s="3191" t="s">
        <v>4007</v>
      </c>
      <c r="D357" s="3192" t="s">
        <v>5170</v>
      </c>
      <c r="E357" s="3191" t="s">
        <v>5174</v>
      </c>
      <c r="F357" s="3193" t="s">
        <v>4322</v>
      </c>
      <c r="G357" s="3197">
        <v>1054</v>
      </c>
      <c r="H357" s="3191" t="s">
        <v>5532</v>
      </c>
      <c r="I357" s="3191" t="s">
        <v>4367</v>
      </c>
      <c r="J357" s="3194">
        <v>32.69</v>
      </c>
      <c r="K357" s="3194">
        <v>12.38</v>
      </c>
      <c r="L357" s="3196"/>
    </row>
    <row r="358" spans="1:12">
      <c r="A358" s="3190">
        <v>357</v>
      </c>
      <c r="B358" s="3191" t="s">
        <v>4006</v>
      </c>
      <c r="C358" s="3191" t="s">
        <v>5169</v>
      </c>
      <c r="D358" s="3192" t="s">
        <v>5170</v>
      </c>
      <c r="E358" s="3191" t="s">
        <v>4008</v>
      </c>
      <c r="F358" s="3193" t="s">
        <v>5487</v>
      </c>
      <c r="G358" s="3197">
        <v>1055</v>
      </c>
      <c r="H358" s="3191" t="s">
        <v>4368</v>
      </c>
      <c r="I358" s="3191" t="s">
        <v>5533</v>
      </c>
      <c r="J358" s="3194">
        <v>32.69</v>
      </c>
      <c r="K358" s="3194">
        <v>12.38</v>
      </c>
      <c r="L358" s="3196"/>
    </row>
    <row r="359" spans="1:12">
      <c r="A359" s="3190">
        <v>358</v>
      </c>
      <c r="B359" s="3191" t="s">
        <v>5173</v>
      </c>
      <c r="C359" s="3191" t="s">
        <v>4007</v>
      </c>
      <c r="D359" s="3192" t="s">
        <v>5170</v>
      </c>
      <c r="E359" s="3191" t="s">
        <v>5174</v>
      </c>
      <c r="F359" s="3193" t="s">
        <v>4322</v>
      </c>
      <c r="G359" s="3197">
        <v>1056</v>
      </c>
      <c r="H359" s="3191" t="s">
        <v>5534</v>
      </c>
      <c r="I359" s="3191" t="s">
        <v>4369</v>
      </c>
      <c r="J359" s="3194">
        <v>31.37</v>
      </c>
      <c r="K359" s="3194">
        <v>11.88</v>
      </c>
      <c r="L359" s="3196"/>
    </row>
    <row r="360" spans="1:12">
      <c r="A360" s="3190">
        <v>359</v>
      </c>
      <c r="B360" s="3191" t="s">
        <v>4006</v>
      </c>
      <c r="C360" s="3191" t="s">
        <v>5169</v>
      </c>
      <c r="D360" s="3192" t="s">
        <v>5170</v>
      </c>
      <c r="E360" s="3191" t="s">
        <v>4008</v>
      </c>
      <c r="F360" s="3207" t="s">
        <v>5494</v>
      </c>
      <c r="G360" s="3197">
        <v>1057</v>
      </c>
      <c r="H360" s="3191" t="s">
        <v>4370</v>
      </c>
      <c r="I360" s="3191" t="s">
        <v>5535</v>
      </c>
      <c r="J360" s="3194">
        <v>31.37</v>
      </c>
      <c r="K360" s="3194">
        <v>11.88</v>
      </c>
      <c r="L360" s="3196"/>
    </row>
    <row r="361" spans="1:12">
      <c r="A361" s="3190">
        <v>360</v>
      </c>
      <c r="B361" s="3191" t="s">
        <v>5173</v>
      </c>
      <c r="C361" s="3191" t="s">
        <v>4007</v>
      </c>
      <c r="D361" s="3192" t="s">
        <v>5170</v>
      </c>
      <c r="E361" s="3191" t="s">
        <v>5174</v>
      </c>
      <c r="F361" s="3193" t="s">
        <v>4322</v>
      </c>
      <c r="G361" s="3197">
        <v>1058</v>
      </c>
      <c r="H361" s="3191" t="s">
        <v>5536</v>
      </c>
      <c r="I361" s="3191" t="s">
        <v>4371</v>
      </c>
      <c r="J361" s="3194">
        <v>31.37</v>
      </c>
      <c r="K361" s="3194">
        <v>11.88</v>
      </c>
      <c r="L361" s="3196"/>
    </row>
    <row r="362" spans="1:12">
      <c r="A362" s="3190">
        <v>361</v>
      </c>
      <c r="B362" s="3191" t="s">
        <v>4006</v>
      </c>
      <c r="C362" s="3191" t="s">
        <v>5169</v>
      </c>
      <c r="D362" s="3192" t="s">
        <v>5170</v>
      </c>
      <c r="E362" s="3191" t="s">
        <v>4008</v>
      </c>
      <c r="F362" s="3193" t="s">
        <v>5487</v>
      </c>
      <c r="G362" s="3197">
        <v>1059</v>
      </c>
      <c r="H362" s="3191" t="s">
        <v>4372</v>
      </c>
      <c r="I362" s="3191" t="s">
        <v>5537</v>
      </c>
      <c r="J362" s="3194">
        <v>30.71</v>
      </c>
      <c r="K362" s="3194">
        <v>11.63</v>
      </c>
      <c r="L362" s="3196"/>
    </row>
    <row r="363" spans="1:12">
      <c r="A363" s="3190">
        <v>362</v>
      </c>
      <c r="B363" s="3191" t="s">
        <v>5173</v>
      </c>
      <c r="C363" s="3191" t="s">
        <v>4007</v>
      </c>
      <c r="D363" s="3192" t="s">
        <v>5170</v>
      </c>
      <c r="E363" s="3191" t="s">
        <v>5174</v>
      </c>
      <c r="F363" s="3193" t="s">
        <v>4322</v>
      </c>
      <c r="G363" s="3197">
        <v>1060</v>
      </c>
      <c r="H363" s="3191" t="s">
        <v>5538</v>
      </c>
      <c r="I363" s="3191" t="s">
        <v>4373</v>
      </c>
      <c r="J363" s="3194">
        <v>30.71</v>
      </c>
      <c r="K363" s="3194">
        <v>11.63</v>
      </c>
      <c r="L363" s="3196"/>
    </row>
    <row r="364" spans="1:12">
      <c r="A364" s="3190">
        <v>363</v>
      </c>
      <c r="B364" s="3191" t="s">
        <v>4006</v>
      </c>
      <c r="C364" s="3191" t="s">
        <v>5169</v>
      </c>
      <c r="D364" s="3192" t="s">
        <v>5170</v>
      </c>
      <c r="E364" s="3191" t="s">
        <v>4008</v>
      </c>
      <c r="F364" s="3193" t="s">
        <v>5487</v>
      </c>
      <c r="G364" s="3197">
        <v>1061</v>
      </c>
      <c r="H364" s="3191" t="s">
        <v>4374</v>
      </c>
      <c r="I364" s="3191" t="s">
        <v>5539</v>
      </c>
      <c r="J364" s="3194">
        <v>31.37</v>
      </c>
      <c r="K364" s="3194">
        <v>11.88</v>
      </c>
      <c r="L364" s="3196"/>
    </row>
    <row r="365" spans="1:12">
      <c r="A365" s="3190">
        <v>364</v>
      </c>
      <c r="B365" s="3191" t="s">
        <v>5173</v>
      </c>
      <c r="C365" s="3191" t="s">
        <v>4007</v>
      </c>
      <c r="D365" s="3192" t="s">
        <v>5170</v>
      </c>
      <c r="E365" s="3191" t="s">
        <v>5174</v>
      </c>
      <c r="F365" s="3207" t="s">
        <v>4330</v>
      </c>
      <c r="G365" s="3197">
        <v>1062</v>
      </c>
      <c r="H365" s="3191" t="s">
        <v>5540</v>
      </c>
      <c r="I365" s="3191" t="s">
        <v>4375</v>
      </c>
      <c r="J365" s="3194">
        <v>31.37</v>
      </c>
      <c r="K365" s="3194">
        <v>11.88</v>
      </c>
      <c r="L365" s="3196"/>
    </row>
    <row r="366" spans="1:12">
      <c r="A366" s="3190">
        <v>365</v>
      </c>
      <c r="B366" s="3191" t="s">
        <v>4006</v>
      </c>
      <c r="C366" s="3191" t="s">
        <v>5169</v>
      </c>
      <c r="D366" s="3192" t="s">
        <v>5170</v>
      </c>
      <c r="E366" s="3191" t="s">
        <v>4008</v>
      </c>
      <c r="F366" s="3193" t="s">
        <v>5487</v>
      </c>
      <c r="G366" s="3197">
        <v>1063</v>
      </c>
      <c r="H366" s="3191" t="s">
        <v>4376</v>
      </c>
      <c r="I366" s="3191" t="s">
        <v>5541</v>
      </c>
      <c r="J366" s="3194">
        <v>31.37</v>
      </c>
      <c r="K366" s="3194">
        <v>11.88</v>
      </c>
      <c r="L366" s="3196"/>
    </row>
    <row r="367" spans="1:12">
      <c r="A367" s="3190">
        <v>366</v>
      </c>
      <c r="B367" s="3191" t="s">
        <v>5173</v>
      </c>
      <c r="C367" s="3191" t="s">
        <v>4007</v>
      </c>
      <c r="D367" s="3192" t="s">
        <v>5170</v>
      </c>
      <c r="E367" s="3191" t="s">
        <v>5174</v>
      </c>
      <c r="F367" s="3193" t="s">
        <v>4322</v>
      </c>
      <c r="G367" s="3197">
        <v>1064</v>
      </c>
      <c r="H367" s="3191" t="s">
        <v>5542</v>
      </c>
      <c r="I367" s="3191" t="s">
        <v>4377</v>
      </c>
      <c r="J367" s="3194">
        <v>32.69</v>
      </c>
      <c r="K367" s="3194">
        <v>12.38</v>
      </c>
      <c r="L367" s="3196"/>
    </row>
    <row r="368" spans="1:12">
      <c r="A368" s="3190">
        <v>367</v>
      </c>
      <c r="B368" s="3191" t="s">
        <v>4006</v>
      </c>
      <c r="C368" s="3191" t="s">
        <v>5169</v>
      </c>
      <c r="D368" s="3192" t="s">
        <v>5170</v>
      </c>
      <c r="E368" s="3191" t="s">
        <v>4008</v>
      </c>
      <c r="F368" s="3193" t="s">
        <v>5487</v>
      </c>
      <c r="G368" s="3197">
        <v>1065</v>
      </c>
      <c r="H368" s="3191" t="s">
        <v>4378</v>
      </c>
      <c r="I368" s="3191" t="s">
        <v>5543</v>
      </c>
      <c r="J368" s="3194">
        <v>32.69</v>
      </c>
      <c r="K368" s="3194">
        <v>12.38</v>
      </c>
      <c r="L368" s="3196"/>
    </row>
    <row r="369" spans="1:12">
      <c r="A369" s="3190">
        <v>368</v>
      </c>
      <c r="B369" s="3191" t="s">
        <v>5173</v>
      </c>
      <c r="C369" s="3191" t="s">
        <v>4007</v>
      </c>
      <c r="D369" s="3192" t="s">
        <v>5170</v>
      </c>
      <c r="E369" s="3191" t="s">
        <v>5174</v>
      </c>
      <c r="F369" s="3193" t="s">
        <v>4322</v>
      </c>
      <c r="G369" s="3197">
        <v>1066</v>
      </c>
      <c r="H369" s="3191" t="s">
        <v>5544</v>
      </c>
      <c r="I369" s="3191" t="s">
        <v>4379</v>
      </c>
      <c r="J369" s="3194">
        <v>32.69</v>
      </c>
      <c r="K369" s="3194">
        <v>12.38</v>
      </c>
      <c r="L369" s="3196"/>
    </row>
    <row r="370" spans="1:12">
      <c r="A370" s="3190">
        <v>369</v>
      </c>
      <c r="B370" s="3191" t="s">
        <v>4006</v>
      </c>
      <c r="C370" s="3191" t="s">
        <v>5169</v>
      </c>
      <c r="D370" s="3192" t="s">
        <v>5170</v>
      </c>
      <c r="E370" s="3191" t="s">
        <v>4008</v>
      </c>
      <c r="F370" s="3193" t="s">
        <v>5487</v>
      </c>
      <c r="G370" s="3197">
        <v>1067</v>
      </c>
      <c r="H370" s="3191" t="s">
        <v>4380</v>
      </c>
      <c r="I370" s="3191" t="s">
        <v>5545</v>
      </c>
      <c r="J370" s="3194">
        <v>31.37</v>
      </c>
      <c r="K370" s="3194">
        <v>11.88</v>
      </c>
      <c r="L370" s="3196"/>
    </row>
    <row r="371" spans="1:12">
      <c r="A371" s="3190">
        <v>370</v>
      </c>
      <c r="B371" s="3191" t="s">
        <v>5173</v>
      </c>
      <c r="C371" s="3191" t="s">
        <v>4007</v>
      </c>
      <c r="D371" s="3192" t="s">
        <v>5170</v>
      </c>
      <c r="E371" s="3191" t="s">
        <v>5174</v>
      </c>
      <c r="F371" s="3193" t="s">
        <v>4322</v>
      </c>
      <c r="G371" s="3197">
        <v>1068</v>
      </c>
      <c r="H371" s="3191" t="s">
        <v>5546</v>
      </c>
      <c r="I371" s="3191" t="s">
        <v>4381</v>
      </c>
      <c r="J371" s="3194">
        <v>31.37</v>
      </c>
      <c r="K371" s="3194">
        <v>11.88</v>
      </c>
      <c r="L371" s="3196"/>
    </row>
    <row r="372" spans="1:12">
      <c r="A372" s="3190">
        <v>371</v>
      </c>
      <c r="B372" s="3191" t="s">
        <v>4006</v>
      </c>
      <c r="C372" s="3191" t="s">
        <v>5169</v>
      </c>
      <c r="D372" s="3192" t="s">
        <v>5170</v>
      </c>
      <c r="E372" s="3191" t="s">
        <v>4008</v>
      </c>
      <c r="F372" s="3193" t="s">
        <v>5487</v>
      </c>
      <c r="G372" s="3197">
        <v>1069</v>
      </c>
      <c r="H372" s="3191" t="s">
        <v>4382</v>
      </c>
      <c r="I372" s="3191" t="s">
        <v>5547</v>
      </c>
      <c r="J372" s="3194">
        <v>31.37</v>
      </c>
      <c r="K372" s="3194">
        <v>11.88</v>
      </c>
      <c r="L372" s="3196"/>
    </row>
    <row r="373" spans="1:12">
      <c r="A373" s="3190">
        <v>372</v>
      </c>
      <c r="B373" s="3191" t="s">
        <v>5173</v>
      </c>
      <c r="C373" s="3191" t="s">
        <v>4007</v>
      </c>
      <c r="D373" s="3192" t="s">
        <v>5170</v>
      </c>
      <c r="E373" s="3191" t="s">
        <v>5174</v>
      </c>
      <c r="F373" s="3193" t="s">
        <v>4322</v>
      </c>
      <c r="G373" s="3197">
        <v>1070</v>
      </c>
      <c r="H373" s="3191" t="s">
        <v>5548</v>
      </c>
      <c r="I373" s="3191" t="s">
        <v>4383</v>
      </c>
      <c r="J373" s="3194">
        <v>31.37</v>
      </c>
      <c r="K373" s="3194">
        <v>11.88</v>
      </c>
      <c r="L373" s="3196"/>
    </row>
    <row r="374" spans="1:12">
      <c r="A374" s="3190">
        <v>373</v>
      </c>
      <c r="B374" s="3191" t="s">
        <v>4006</v>
      </c>
      <c r="C374" s="3191" t="s">
        <v>5169</v>
      </c>
      <c r="D374" s="3192" t="s">
        <v>5170</v>
      </c>
      <c r="E374" s="3191" t="s">
        <v>4008</v>
      </c>
      <c r="F374" s="3193" t="s">
        <v>5487</v>
      </c>
      <c r="G374" s="3197">
        <v>1071</v>
      </c>
      <c r="H374" s="3191" t="s">
        <v>4384</v>
      </c>
      <c r="I374" s="3191" t="s">
        <v>5549</v>
      </c>
      <c r="J374" s="3194">
        <v>31.37</v>
      </c>
      <c r="K374" s="3194">
        <v>11.88</v>
      </c>
      <c r="L374" s="3196"/>
    </row>
    <row r="375" spans="1:12">
      <c r="A375" s="3190">
        <v>374</v>
      </c>
      <c r="B375" s="3191" t="s">
        <v>5173</v>
      </c>
      <c r="C375" s="3191" t="s">
        <v>4007</v>
      </c>
      <c r="D375" s="3192" t="s">
        <v>5170</v>
      </c>
      <c r="E375" s="3191" t="s">
        <v>5174</v>
      </c>
      <c r="F375" s="3193" t="s">
        <v>4322</v>
      </c>
      <c r="G375" s="3197">
        <v>1072</v>
      </c>
      <c r="H375" s="3191" t="s">
        <v>5550</v>
      </c>
      <c r="I375" s="3191" t="s">
        <v>4385</v>
      </c>
      <c r="J375" s="3194">
        <v>31.37</v>
      </c>
      <c r="K375" s="3194">
        <v>11.88</v>
      </c>
      <c r="L375" s="3196"/>
    </row>
    <row r="376" spans="1:12">
      <c r="A376" s="3190">
        <v>375</v>
      </c>
      <c r="B376" s="3191" t="s">
        <v>4006</v>
      </c>
      <c r="C376" s="3191" t="s">
        <v>5169</v>
      </c>
      <c r="D376" s="3192" t="s">
        <v>5170</v>
      </c>
      <c r="E376" s="3191" t="s">
        <v>4008</v>
      </c>
      <c r="F376" s="3193" t="s">
        <v>5487</v>
      </c>
      <c r="G376" s="3197">
        <v>1073</v>
      </c>
      <c r="H376" s="3191" t="s">
        <v>4386</v>
      </c>
      <c r="I376" s="3191" t="s">
        <v>5551</v>
      </c>
      <c r="J376" s="3194">
        <v>31.37</v>
      </c>
      <c r="K376" s="3194">
        <v>11.88</v>
      </c>
      <c r="L376" s="3196"/>
    </row>
    <row r="377" spans="1:12">
      <c r="A377" s="3190">
        <v>376</v>
      </c>
      <c r="B377" s="3191" t="s">
        <v>5173</v>
      </c>
      <c r="C377" s="3191" t="s">
        <v>4007</v>
      </c>
      <c r="D377" s="3192" t="s">
        <v>5170</v>
      </c>
      <c r="E377" s="3191" t="s">
        <v>5174</v>
      </c>
      <c r="F377" s="3193" t="s">
        <v>4322</v>
      </c>
      <c r="G377" s="3197">
        <v>1074</v>
      </c>
      <c r="H377" s="3191" t="s">
        <v>5552</v>
      </c>
      <c r="I377" s="3191" t="s">
        <v>4387</v>
      </c>
      <c r="J377" s="3194">
        <v>31.37</v>
      </c>
      <c r="K377" s="3194">
        <v>11.88</v>
      </c>
      <c r="L377" s="3196"/>
    </row>
    <row r="378" spans="1:12">
      <c r="A378" s="3190">
        <v>377</v>
      </c>
      <c r="B378" s="3191" t="s">
        <v>4006</v>
      </c>
      <c r="C378" s="3191" t="s">
        <v>5169</v>
      </c>
      <c r="D378" s="3192" t="s">
        <v>5170</v>
      </c>
      <c r="E378" s="3191" t="s">
        <v>4008</v>
      </c>
      <c r="F378" s="3193" t="s">
        <v>5487</v>
      </c>
      <c r="G378" s="3197">
        <v>1075</v>
      </c>
      <c r="H378" s="3191" t="s">
        <v>4388</v>
      </c>
      <c r="I378" s="3191" t="s">
        <v>5553</v>
      </c>
      <c r="J378" s="3194">
        <v>31.37</v>
      </c>
      <c r="K378" s="3194">
        <v>11.88</v>
      </c>
      <c r="L378" s="3196"/>
    </row>
    <row r="379" spans="1:12">
      <c r="A379" s="3190">
        <v>378</v>
      </c>
      <c r="B379" s="3191" t="s">
        <v>5173</v>
      </c>
      <c r="C379" s="3191" t="s">
        <v>4007</v>
      </c>
      <c r="D379" s="3192" t="s">
        <v>5170</v>
      </c>
      <c r="E379" s="3191" t="s">
        <v>5174</v>
      </c>
      <c r="F379" s="3193" t="s">
        <v>4322</v>
      </c>
      <c r="G379" s="3197">
        <v>1076</v>
      </c>
      <c r="H379" s="3191" t="s">
        <v>5554</v>
      </c>
      <c r="I379" s="3191" t="s">
        <v>4389</v>
      </c>
      <c r="J379" s="3194">
        <v>31.37</v>
      </c>
      <c r="K379" s="3194">
        <v>11.88</v>
      </c>
      <c r="L379" s="3196"/>
    </row>
    <row r="380" spans="1:12">
      <c r="A380" s="3190">
        <v>379</v>
      </c>
      <c r="B380" s="3191" t="s">
        <v>4006</v>
      </c>
      <c r="C380" s="3191" t="s">
        <v>5169</v>
      </c>
      <c r="D380" s="3192" t="s">
        <v>5170</v>
      </c>
      <c r="E380" s="3191" t="s">
        <v>4008</v>
      </c>
      <c r="F380" s="3207" t="s">
        <v>5494</v>
      </c>
      <c r="G380" s="3197">
        <v>1077</v>
      </c>
      <c r="H380" s="3191" t="s">
        <v>4390</v>
      </c>
      <c r="I380" s="3191" t="s">
        <v>5555</v>
      </c>
      <c r="J380" s="3194">
        <v>31.37</v>
      </c>
      <c r="K380" s="3194">
        <v>11.88</v>
      </c>
      <c r="L380" s="3196"/>
    </row>
    <row r="381" spans="1:12">
      <c r="A381" s="3190">
        <v>380</v>
      </c>
      <c r="B381" s="3191" t="s">
        <v>5173</v>
      </c>
      <c r="C381" s="3191" t="s">
        <v>4007</v>
      </c>
      <c r="D381" s="3192" t="s">
        <v>5170</v>
      </c>
      <c r="E381" s="3191" t="s">
        <v>5174</v>
      </c>
      <c r="F381" s="3207" t="s">
        <v>4330</v>
      </c>
      <c r="G381" s="3197">
        <v>1078</v>
      </c>
      <c r="H381" s="3191" t="s">
        <v>5556</v>
      </c>
      <c r="I381" s="3191" t="s">
        <v>4391</v>
      </c>
      <c r="J381" s="3194">
        <v>31.37</v>
      </c>
      <c r="K381" s="3194">
        <v>11.88</v>
      </c>
      <c r="L381" s="3196"/>
    </row>
    <row r="382" spans="1:12">
      <c r="A382" s="3200">
        <v>381</v>
      </c>
      <c r="B382" s="3204" t="s">
        <v>4006</v>
      </c>
      <c r="C382" s="3204" t="s">
        <v>5169</v>
      </c>
      <c r="D382" s="3205" t="s">
        <v>5170</v>
      </c>
      <c r="E382" s="3204" t="s">
        <v>4008</v>
      </c>
      <c r="F382" s="3206" t="s">
        <v>5487</v>
      </c>
      <c r="G382" s="3202">
        <v>1079</v>
      </c>
      <c r="H382" s="3204" t="s">
        <v>4392</v>
      </c>
      <c r="I382" s="3204" t="s">
        <v>5557</v>
      </c>
      <c r="J382" s="3201">
        <v>26.14</v>
      </c>
      <c r="K382" s="3208">
        <v>9.9</v>
      </c>
      <c r="L382" s="3196"/>
    </row>
    <row r="383" spans="1:12">
      <c r="A383" s="3190">
        <v>382</v>
      </c>
      <c r="B383" s="3191" t="s">
        <v>5173</v>
      </c>
      <c r="C383" s="3191" t="s">
        <v>4007</v>
      </c>
      <c r="D383" s="3192" t="s">
        <v>5170</v>
      </c>
      <c r="E383" s="3191" t="s">
        <v>5174</v>
      </c>
      <c r="F383" s="3193" t="s">
        <v>4322</v>
      </c>
      <c r="G383" s="3197">
        <v>1080</v>
      </c>
      <c r="H383" s="3191" t="s">
        <v>5558</v>
      </c>
      <c r="I383" s="3191" t="s">
        <v>4393</v>
      </c>
      <c r="J383" s="3194">
        <v>31.37</v>
      </c>
      <c r="K383" s="3194">
        <v>11.88</v>
      </c>
      <c r="L383" s="3196"/>
    </row>
    <row r="384" spans="1:12">
      <c r="A384" s="3190">
        <v>383</v>
      </c>
      <c r="B384" s="3191" t="s">
        <v>4006</v>
      </c>
      <c r="C384" s="3191" t="s">
        <v>5169</v>
      </c>
      <c r="D384" s="3192" t="s">
        <v>5170</v>
      </c>
      <c r="E384" s="3191" t="s">
        <v>4008</v>
      </c>
      <c r="F384" s="3207" t="s">
        <v>5494</v>
      </c>
      <c r="G384" s="3197">
        <v>1081</v>
      </c>
      <c r="H384" s="3191" t="s">
        <v>4394</v>
      </c>
      <c r="I384" s="3191" t="s">
        <v>5559</v>
      </c>
      <c r="J384" s="3194">
        <v>31.37</v>
      </c>
      <c r="K384" s="3194">
        <v>11.88</v>
      </c>
      <c r="L384" s="3196"/>
    </row>
    <row r="385" spans="1:12">
      <c r="A385" s="3190">
        <v>384</v>
      </c>
      <c r="B385" s="3191" t="s">
        <v>5173</v>
      </c>
      <c r="C385" s="3191" t="s">
        <v>4007</v>
      </c>
      <c r="D385" s="3192" t="s">
        <v>5170</v>
      </c>
      <c r="E385" s="3191" t="s">
        <v>5174</v>
      </c>
      <c r="F385" s="3193" t="s">
        <v>4322</v>
      </c>
      <c r="G385" s="3197">
        <v>1082</v>
      </c>
      <c r="H385" s="3191" t="s">
        <v>5560</v>
      </c>
      <c r="I385" s="3191" t="s">
        <v>4395</v>
      </c>
      <c r="J385" s="3194">
        <v>31.37</v>
      </c>
      <c r="K385" s="3194">
        <v>11.88</v>
      </c>
      <c r="L385" s="3196"/>
    </row>
    <row r="386" spans="1:12">
      <c r="A386" s="3190">
        <v>385</v>
      </c>
      <c r="B386" s="3191" t="s">
        <v>4006</v>
      </c>
      <c r="C386" s="3191" t="s">
        <v>5169</v>
      </c>
      <c r="D386" s="3192" t="s">
        <v>5170</v>
      </c>
      <c r="E386" s="3191" t="s">
        <v>4008</v>
      </c>
      <c r="F386" s="3193" t="s">
        <v>5487</v>
      </c>
      <c r="G386" s="3197">
        <v>1083</v>
      </c>
      <c r="H386" s="3191" t="s">
        <v>4396</v>
      </c>
      <c r="I386" s="3191" t="s">
        <v>5561</v>
      </c>
      <c r="J386" s="3194">
        <v>31.37</v>
      </c>
      <c r="K386" s="3194">
        <v>11.88</v>
      </c>
      <c r="L386" s="3196"/>
    </row>
    <row r="387" spans="1:12">
      <c r="A387" s="3190">
        <v>386</v>
      </c>
      <c r="B387" s="3191" t="s">
        <v>5173</v>
      </c>
      <c r="C387" s="3191" t="s">
        <v>4007</v>
      </c>
      <c r="D387" s="3192" t="s">
        <v>5170</v>
      </c>
      <c r="E387" s="3191" t="s">
        <v>5174</v>
      </c>
      <c r="F387" s="3193" t="s">
        <v>4322</v>
      </c>
      <c r="G387" s="3197">
        <v>1084</v>
      </c>
      <c r="H387" s="3191" t="s">
        <v>5562</v>
      </c>
      <c r="I387" s="3191" t="s">
        <v>4397</v>
      </c>
      <c r="J387" s="3194">
        <v>31.37</v>
      </c>
      <c r="K387" s="3194">
        <v>11.88</v>
      </c>
      <c r="L387" s="3196"/>
    </row>
    <row r="388" spans="1:12">
      <c r="A388" s="3190">
        <v>387</v>
      </c>
      <c r="B388" s="3191" t="s">
        <v>4006</v>
      </c>
      <c r="C388" s="3191" t="s">
        <v>5169</v>
      </c>
      <c r="D388" s="3192" t="s">
        <v>5170</v>
      </c>
      <c r="E388" s="3191" t="s">
        <v>4008</v>
      </c>
      <c r="F388" s="3193" t="s">
        <v>5487</v>
      </c>
      <c r="G388" s="3197">
        <v>1085</v>
      </c>
      <c r="H388" s="3191" t="s">
        <v>4398</v>
      </c>
      <c r="I388" s="3191" t="s">
        <v>5563</v>
      </c>
      <c r="J388" s="3194">
        <v>31.37</v>
      </c>
      <c r="K388" s="3194">
        <v>11.88</v>
      </c>
      <c r="L388" s="3196"/>
    </row>
    <row r="389" spans="1:12">
      <c r="A389" s="3190">
        <v>388</v>
      </c>
      <c r="B389" s="3191" t="s">
        <v>5173</v>
      </c>
      <c r="C389" s="3191" t="s">
        <v>4007</v>
      </c>
      <c r="D389" s="3192" t="s">
        <v>5170</v>
      </c>
      <c r="E389" s="3191" t="s">
        <v>5174</v>
      </c>
      <c r="F389" s="3193" t="s">
        <v>4322</v>
      </c>
      <c r="G389" s="3197">
        <v>1086</v>
      </c>
      <c r="H389" s="3191" t="s">
        <v>5564</v>
      </c>
      <c r="I389" s="3191" t="s">
        <v>4399</v>
      </c>
      <c r="J389" s="3194">
        <v>31.37</v>
      </c>
      <c r="K389" s="3194">
        <v>11.88</v>
      </c>
      <c r="L389" s="3196"/>
    </row>
    <row r="390" spans="1:12">
      <c r="A390" s="3190">
        <v>389</v>
      </c>
      <c r="B390" s="3191" t="s">
        <v>4006</v>
      </c>
      <c r="C390" s="3191" t="s">
        <v>5169</v>
      </c>
      <c r="D390" s="3192" t="s">
        <v>5170</v>
      </c>
      <c r="E390" s="3191" t="s">
        <v>4008</v>
      </c>
      <c r="F390" s="3193" t="s">
        <v>5487</v>
      </c>
      <c r="G390" s="3197">
        <v>1087</v>
      </c>
      <c r="H390" s="3191" t="s">
        <v>4400</v>
      </c>
      <c r="I390" s="3191" t="s">
        <v>5565</v>
      </c>
      <c r="J390" s="3194">
        <v>31.37</v>
      </c>
      <c r="K390" s="3194">
        <v>11.88</v>
      </c>
      <c r="L390" s="3196"/>
    </row>
    <row r="391" spans="1:12">
      <c r="A391" s="3190">
        <v>390</v>
      </c>
      <c r="B391" s="3191" t="s">
        <v>5173</v>
      </c>
      <c r="C391" s="3191" t="s">
        <v>4007</v>
      </c>
      <c r="D391" s="3192" t="s">
        <v>5170</v>
      </c>
      <c r="E391" s="3191" t="s">
        <v>5174</v>
      </c>
      <c r="F391" s="3193" t="s">
        <v>4322</v>
      </c>
      <c r="G391" s="3197">
        <v>1088</v>
      </c>
      <c r="H391" s="3191" t="s">
        <v>5566</v>
      </c>
      <c r="I391" s="3191" t="s">
        <v>4401</v>
      </c>
      <c r="J391" s="3194">
        <v>31.37</v>
      </c>
      <c r="K391" s="3194">
        <v>11.88</v>
      </c>
      <c r="L391" s="3196"/>
    </row>
    <row r="392" spans="1:12">
      <c r="A392" s="3190">
        <v>391</v>
      </c>
      <c r="B392" s="3191" t="s">
        <v>4006</v>
      </c>
      <c r="C392" s="3191" t="s">
        <v>5169</v>
      </c>
      <c r="D392" s="3192" t="s">
        <v>5170</v>
      </c>
      <c r="E392" s="3191" t="s">
        <v>4008</v>
      </c>
      <c r="F392" s="3193" t="s">
        <v>5487</v>
      </c>
      <c r="G392" s="3197">
        <v>1089</v>
      </c>
      <c r="H392" s="3191" t="s">
        <v>4402</v>
      </c>
      <c r="I392" s="3191" t="s">
        <v>5567</v>
      </c>
      <c r="J392" s="3194">
        <v>32.69</v>
      </c>
      <c r="K392" s="3194">
        <v>12.38</v>
      </c>
      <c r="L392" s="3196"/>
    </row>
    <row r="393" spans="1:12">
      <c r="A393" s="3190">
        <v>392</v>
      </c>
      <c r="B393" s="3191" t="s">
        <v>5173</v>
      </c>
      <c r="C393" s="3191" t="s">
        <v>4007</v>
      </c>
      <c r="D393" s="3192" t="s">
        <v>5170</v>
      </c>
      <c r="E393" s="3191" t="s">
        <v>5174</v>
      </c>
      <c r="F393" s="3193" t="s">
        <v>4322</v>
      </c>
      <c r="G393" s="3197">
        <v>1090</v>
      </c>
      <c r="H393" s="3191" t="s">
        <v>5568</v>
      </c>
      <c r="I393" s="3191" t="s">
        <v>4403</v>
      </c>
      <c r="J393" s="3194">
        <v>32.69</v>
      </c>
      <c r="K393" s="3194">
        <v>12.38</v>
      </c>
      <c r="L393" s="3196"/>
    </row>
    <row r="394" spans="1:12">
      <c r="A394" s="3190">
        <v>393</v>
      </c>
      <c r="B394" s="3191" t="s">
        <v>4006</v>
      </c>
      <c r="C394" s="3191" t="s">
        <v>5169</v>
      </c>
      <c r="D394" s="3192" t="s">
        <v>5170</v>
      </c>
      <c r="E394" s="3191" t="s">
        <v>4008</v>
      </c>
      <c r="F394" s="3193" t="s">
        <v>5487</v>
      </c>
      <c r="G394" s="3197">
        <v>1091</v>
      </c>
      <c r="H394" s="3191" t="s">
        <v>4404</v>
      </c>
      <c r="I394" s="3191" t="s">
        <v>5569</v>
      </c>
      <c r="J394" s="3194">
        <v>32.69</v>
      </c>
      <c r="K394" s="3194">
        <v>12.38</v>
      </c>
      <c r="L394" s="3196"/>
    </row>
    <row r="395" spans="1:12">
      <c r="A395" s="3190">
        <v>394</v>
      </c>
      <c r="B395" s="3191" t="s">
        <v>5173</v>
      </c>
      <c r="C395" s="3191" t="s">
        <v>4007</v>
      </c>
      <c r="D395" s="3192" t="s">
        <v>5170</v>
      </c>
      <c r="E395" s="3191" t="s">
        <v>5174</v>
      </c>
      <c r="F395" s="3193" t="s">
        <v>4322</v>
      </c>
      <c r="G395" s="3197">
        <v>1092</v>
      </c>
      <c r="H395" s="3191" t="s">
        <v>5570</v>
      </c>
      <c r="I395" s="3191" t="s">
        <v>4405</v>
      </c>
      <c r="J395" s="3194">
        <v>31.37</v>
      </c>
      <c r="K395" s="3194">
        <v>11.88</v>
      </c>
      <c r="L395" s="3196"/>
    </row>
    <row r="396" spans="1:12">
      <c r="A396" s="3190">
        <v>395</v>
      </c>
      <c r="B396" s="3191" t="s">
        <v>4006</v>
      </c>
      <c r="C396" s="3191" t="s">
        <v>5169</v>
      </c>
      <c r="D396" s="3192" t="s">
        <v>5170</v>
      </c>
      <c r="E396" s="3191" t="s">
        <v>4008</v>
      </c>
      <c r="F396" s="3193" t="s">
        <v>5487</v>
      </c>
      <c r="G396" s="3197">
        <v>1093</v>
      </c>
      <c r="H396" s="3191" t="s">
        <v>4406</v>
      </c>
      <c r="I396" s="3191" t="s">
        <v>5571</v>
      </c>
      <c r="J396" s="3194">
        <v>31.37</v>
      </c>
      <c r="K396" s="3194">
        <v>11.88</v>
      </c>
      <c r="L396" s="3196"/>
    </row>
    <row r="397" spans="1:12">
      <c r="A397" s="3190">
        <v>396</v>
      </c>
      <c r="B397" s="3191" t="s">
        <v>5173</v>
      </c>
      <c r="C397" s="3191" t="s">
        <v>4007</v>
      </c>
      <c r="D397" s="3192" t="s">
        <v>5170</v>
      </c>
      <c r="E397" s="3191" t="s">
        <v>5174</v>
      </c>
      <c r="F397" s="3207" t="s">
        <v>4330</v>
      </c>
      <c r="G397" s="3197">
        <v>1094</v>
      </c>
      <c r="H397" s="3191" t="s">
        <v>5572</v>
      </c>
      <c r="I397" s="3191" t="s">
        <v>4407</v>
      </c>
      <c r="J397" s="3194">
        <v>31.37</v>
      </c>
      <c r="K397" s="3194">
        <v>11.88</v>
      </c>
      <c r="L397" s="3196"/>
    </row>
    <row r="398" spans="1:12">
      <c r="A398" s="3190">
        <v>397</v>
      </c>
      <c r="B398" s="3191" t="s">
        <v>4006</v>
      </c>
      <c r="C398" s="3191" t="s">
        <v>5169</v>
      </c>
      <c r="D398" s="3192" t="s">
        <v>5170</v>
      </c>
      <c r="E398" s="3191" t="s">
        <v>4008</v>
      </c>
      <c r="F398" s="3193" t="s">
        <v>5487</v>
      </c>
      <c r="G398" s="3197">
        <v>1095</v>
      </c>
      <c r="H398" s="3191" t="s">
        <v>4408</v>
      </c>
      <c r="I398" s="3191" t="s">
        <v>5573</v>
      </c>
      <c r="J398" s="3194">
        <v>31.37</v>
      </c>
      <c r="K398" s="3194">
        <v>11.88</v>
      </c>
      <c r="L398" s="3196"/>
    </row>
    <row r="399" spans="1:12">
      <c r="A399" s="3190">
        <v>398</v>
      </c>
      <c r="B399" s="3191" t="s">
        <v>5173</v>
      </c>
      <c r="C399" s="3191" t="s">
        <v>4007</v>
      </c>
      <c r="D399" s="3192" t="s">
        <v>5170</v>
      </c>
      <c r="E399" s="3191" t="s">
        <v>5174</v>
      </c>
      <c r="F399" s="3207" t="s">
        <v>4330</v>
      </c>
      <c r="G399" s="3197">
        <v>1096</v>
      </c>
      <c r="H399" s="3191" t="s">
        <v>5574</v>
      </c>
      <c r="I399" s="3191" t="s">
        <v>4409</v>
      </c>
      <c r="J399" s="3194">
        <v>31.37</v>
      </c>
      <c r="K399" s="3194">
        <v>11.88</v>
      </c>
      <c r="L399" s="3196"/>
    </row>
    <row r="400" spans="1:12">
      <c r="A400" s="3190">
        <v>399</v>
      </c>
      <c r="B400" s="3191" t="s">
        <v>4006</v>
      </c>
      <c r="C400" s="3191" t="s">
        <v>5169</v>
      </c>
      <c r="D400" s="3192" t="s">
        <v>5170</v>
      </c>
      <c r="E400" s="3191" t="s">
        <v>4008</v>
      </c>
      <c r="F400" s="3193" t="s">
        <v>5487</v>
      </c>
      <c r="G400" s="3197">
        <v>1097</v>
      </c>
      <c r="H400" s="3191" t="s">
        <v>4410</v>
      </c>
      <c r="I400" s="3191" t="s">
        <v>5575</v>
      </c>
      <c r="J400" s="3194">
        <v>31.37</v>
      </c>
      <c r="K400" s="3194">
        <v>11.88</v>
      </c>
      <c r="L400" s="3196"/>
    </row>
    <row r="401" spans="1:12">
      <c r="A401" s="3190">
        <v>400</v>
      </c>
      <c r="B401" s="3191" t="s">
        <v>5173</v>
      </c>
      <c r="C401" s="3191" t="s">
        <v>4007</v>
      </c>
      <c r="D401" s="3192" t="s">
        <v>5170</v>
      </c>
      <c r="E401" s="3191" t="s">
        <v>5174</v>
      </c>
      <c r="F401" s="3193" t="s">
        <v>4322</v>
      </c>
      <c r="G401" s="3197">
        <v>1098</v>
      </c>
      <c r="H401" s="3191" t="s">
        <v>5576</v>
      </c>
      <c r="I401" s="3191" t="s">
        <v>4411</v>
      </c>
      <c r="J401" s="3194">
        <v>31.37</v>
      </c>
      <c r="K401" s="3194">
        <v>11.88</v>
      </c>
      <c r="L401" s="3196"/>
    </row>
    <row r="402" spans="1:12">
      <c r="A402" s="3190">
        <v>401</v>
      </c>
      <c r="B402" s="3191" t="s">
        <v>4006</v>
      </c>
      <c r="C402" s="3191" t="s">
        <v>5169</v>
      </c>
      <c r="D402" s="3192" t="s">
        <v>5170</v>
      </c>
      <c r="E402" s="3191" t="s">
        <v>4008</v>
      </c>
      <c r="F402" s="3193" t="s">
        <v>5487</v>
      </c>
      <c r="G402" s="3197">
        <v>1099</v>
      </c>
      <c r="H402" s="3191" t="s">
        <v>4412</v>
      </c>
      <c r="I402" s="3191" t="s">
        <v>5577</v>
      </c>
      <c r="J402" s="3194">
        <v>31.37</v>
      </c>
      <c r="K402" s="3194">
        <v>11.88</v>
      </c>
      <c r="L402" s="3196"/>
    </row>
    <row r="403" spans="1:12">
      <c r="A403" s="3190">
        <v>402</v>
      </c>
      <c r="B403" s="3191" t="s">
        <v>5173</v>
      </c>
      <c r="C403" s="3191" t="s">
        <v>4007</v>
      </c>
      <c r="D403" s="3192" t="s">
        <v>5170</v>
      </c>
      <c r="E403" s="3191" t="s">
        <v>5174</v>
      </c>
      <c r="F403" s="3193" t="s">
        <v>4322</v>
      </c>
      <c r="G403" s="3197">
        <v>1100</v>
      </c>
      <c r="H403" s="3191" t="s">
        <v>5578</v>
      </c>
      <c r="I403" s="3191" t="s">
        <v>4413</v>
      </c>
      <c r="J403" s="3194">
        <v>32.69</v>
      </c>
      <c r="K403" s="3194">
        <v>12.38</v>
      </c>
      <c r="L403" s="3196"/>
    </row>
    <row r="404" spans="1:12">
      <c r="A404" s="3190">
        <v>403</v>
      </c>
      <c r="B404" s="3191" t="s">
        <v>4006</v>
      </c>
      <c r="C404" s="3191" t="s">
        <v>5169</v>
      </c>
      <c r="D404" s="3192" t="s">
        <v>5170</v>
      </c>
      <c r="E404" s="3191" t="s">
        <v>4008</v>
      </c>
      <c r="F404" s="3193" t="s">
        <v>5487</v>
      </c>
      <c r="G404" s="3197">
        <v>1101</v>
      </c>
      <c r="H404" s="3191" t="s">
        <v>4414</v>
      </c>
      <c r="I404" s="3191" t="s">
        <v>5579</v>
      </c>
      <c r="J404" s="3194">
        <v>32.69</v>
      </c>
      <c r="K404" s="3194">
        <v>12.38</v>
      </c>
      <c r="L404" s="3196"/>
    </row>
    <row r="405" spans="1:12">
      <c r="A405" s="3190">
        <v>404</v>
      </c>
      <c r="B405" s="3191" t="s">
        <v>5173</v>
      </c>
      <c r="C405" s="3191" t="s">
        <v>4007</v>
      </c>
      <c r="D405" s="3192" t="s">
        <v>5170</v>
      </c>
      <c r="E405" s="3191" t="s">
        <v>5174</v>
      </c>
      <c r="F405" s="3193" t="s">
        <v>4322</v>
      </c>
      <c r="G405" s="3197">
        <v>1102</v>
      </c>
      <c r="H405" s="3191" t="s">
        <v>5580</v>
      </c>
      <c r="I405" s="3191" t="s">
        <v>4415</v>
      </c>
      <c r="J405" s="3194">
        <v>32.69</v>
      </c>
      <c r="K405" s="3194">
        <v>12.38</v>
      </c>
      <c r="L405" s="3196"/>
    </row>
    <row r="406" spans="1:12">
      <c r="A406" s="3190">
        <v>405</v>
      </c>
      <c r="B406" s="3198" t="s">
        <v>4416</v>
      </c>
      <c r="C406" s="3191" t="s">
        <v>5169</v>
      </c>
      <c r="D406" s="3192" t="s">
        <v>5170</v>
      </c>
      <c r="E406" s="3191" t="s">
        <v>4008</v>
      </c>
      <c r="F406" s="3193" t="s">
        <v>5487</v>
      </c>
      <c r="G406" s="3197">
        <v>1103</v>
      </c>
      <c r="H406" s="3191" t="s">
        <v>4417</v>
      </c>
      <c r="I406" s="3191" t="s">
        <v>5581</v>
      </c>
      <c r="J406" s="3194">
        <v>31.37</v>
      </c>
      <c r="K406" s="3194">
        <v>11.88</v>
      </c>
      <c r="L406" s="3196"/>
    </row>
    <row r="407" spans="1:12">
      <c r="A407" s="3190">
        <v>406</v>
      </c>
      <c r="B407" s="3191" t="s">
        <v>5173</v>
      </c>
      <c r="C407" s="3191" t="s">
        <v>4007</v>
      </c>
      <c r="D407" s="3192" t="s">
        <v>5170</v>
      </c>
      <c r="E407" s="3191" t="s">
        <v>5174</v>
      </c>
      <c r="F407" s="3193" t="s">
        <v>4322</v>
      </c>
      <c r="G407" s="3197">
        <v>1104</v>
      </c>
      <c r="H407" s="3191" t="s">
        <v>5582</v>
      </c>
      <c r="I407" s="3191" t="s">
        <v>4418</v>
      </c>
      <c r="J407" s="3194">
        <v>31.37</v>
      </c>
      <c r="K407" s="3194">
        <v>11.88</v>
      </c>
      <c r="L407" s="3196"/>
    </row>
    <row r="408" spans="1:12">
      <c r="A408" s="3190">
        <v>407</v>
      </c>
      <c r="B408" s="3191" t="s">
        <v>4006</v>
      </c>
      <c r="C408" s="3191" t="s">
        <v>5169</v>
      </c>
      <c r="D408" s="3192" t="s">
        <v>5170</v>
      </c>
      <c r="E408" s="3191" t="s">
        <v>4008</v>
      </c>
      <c r="F408" s="3193" t="s">
        <v>5487</v>
      </c>
      <c r="G408" s="3197">
        <v>1105</v>
      </c>
      <c r="H408" s="3191" t="s">
        <v>4419</v>
      </c>
      <c r="I408" s="3191" t="s">
        <v>5583</v>
      </c>
      <c r="J408" s="3194">
        <v>31.37</v>
      </c>
      <c r="K408" s="3194">
        <v>11.88</v>
      </c>
      <c r="L408" s="3196"/>
    </row>
    <row r="409" spans="1:12">
      <c r="A409" s="3190">
        <v>408</v>
      </c>
      <c r="B409" s="3191" t="s">
        <v>5173</v>
      </c>
      <c r="C409" s="3191" t="s">
        <v>4007</v>
      </c>
      <c r="D409" s="3192" t="s">
        <v>5170</v>
      </c>
      <c r="E409" s="3191" t="s">
        <v>5174</v>
      </c>
      <c r="F409" s="3193" t="s">
        <v>4322</v>
      </c>
      <c r="G409" s="3197">
        <v>1106</v>
      </c>
      <c r="H409" s="3191" t="s">
        <v>5584</v>
      </c>
      <c r="I409" s="3191" t="s">
        <v>4420</v>
      </c>
      <c r="J409" s="3194">
        <v>31.37</v>
      </c>
      <c r="K409" s="3194">
        <v>11.88</v>
      </c>
      <c r="L409" s="3196"/>
    </row>
    <row r="410" spans="1:12">
      <c r="A410" s="3190">
        <v>409</v>
      </c>
      <c r="B410" s="3191" t="s">
        <v>4006</v>
      </c>
      <c r="C410" s="3191" t="s">
        <v>5169</v>
      </c>
      <c r="D410" s="3192" t="s">
        <v>5170</v>
      </c>
      <c r="E410" s="3191" t="s">
        <v>4008</v>
      </c>
      <c r="F410" s="3193" t="s">
        <v>5487</v>
      </c>
      <c r="G410" s="3197">
        <v>1107</v>
      </c>
      <c r="H410" s="3191" t="s">
        <v>4421</v>
      </c>
      <c r="I410" s="3191" t="s">
        <v>5585</v>
      </c>
      <c r="J410" s="3194">
        <v>31.37</v>
      </c>
      <c r="K410" s="3194">
        <v>11.88</v>
      </c>
      <c r="L410" s="3196"/>
    </row>
    <row r="411" spans="1:12">
      <c r="A411" s="3190">
        <v>410</v>
      </c>
      <c r="B411" s="3191" t="s">
        <v>5173</v>
      </c>
      <c r="C411" s="3191" t="s">
        <v>4007</v>
      </c>
      <c r="D411" s="3192" t="s">
        <v>5170</v>
      </c>
      <c r="E411" s="3191" t="s">
        <v>5174</v>
      </c>
      <c r="F411" s="3193" t="s">
        <v>4322</v>
      </c>
      <c r="G411" s="3197">
        <v>1108</v>
      </c>
      <c r="H411" s="3191" t="s">
        <v>5586</v>
      </c>
      <c r="I411" s="3191" t="s">
        <v>4422</v>
      </c>
      <c r="J411" s="3194">
        <v>31.37</v>
      </c>
      <c r="K411" s="3194">
        <v>11.88</v>
      </c>
      <c r="L411" s="3196"/>
    </row>
    <row r="412" spans="1:12">
      <c r="A412" s="3190">
        <v>411</v>
      </c>
      <c r="B412" s="3191" t="s">
        <v>4006</v>
      </c>
      <c r="C412" s="3191" t="s">
        <v>5169</v>
      </c>
      <c r="D412" s="3192" t="s">
        <v>5170</v>
      </c>
      <c r="E412" s="3191" t="s">
        <v>4008</v>
      </c>
      <c r="F412" s="3193" t="s">
        <v>5487</v>
      </c>
      <c r="G412" s="3197">
        <v>1109</v>
      </c>
      <c r="H412" s="3191" t="s">
        <v>4423</v>
      </c>
      <c r="I412" s="3191" t="s">
        <v>5587</v>
      </c>
      <c r="J412" s="3194">
        <v>31.37</v>
      </c>
      <c r="K412" s="3194">
        <v>11.88</v>
      </c>
      <c r="L412" s="3196"/>
    </row>
    <row r="413" spans="1:12">
      <c r="A413" s="3190">
        <v>412</v>
      </c>
      <c r="B413" s="3191" t="s">
        <v>5173</v>
      </c>
      <c r="C413" s="3191" t="s">
        <v>4007</v>
      </c>
      <c r="D413" s="3192" t="s">
        <v>5170</v>
      </c>
      <c r="E413" s="3191" t="s">
        <v>5174</v>
      </c>
      <c r="F413" s="3193" t="s">
        <v>4322</v>
      </c>
      <c r="G413" s="3197">
        <v>1111</v>
      </c>
      <c r="H413" s="3191" t="s">
        <v>5588</v>
      </c>
      <c r="I413" s="3191" t="s">
        <v>4424</v>
      </c>
      <c r="J413" s="3194">
        <v>31.37</v>
      </c>
      <c r="K413" s="3194">
        <v>11.88</v>
      </c>
      <c r="L413" s="3196"/>
    </row>
    <row r="414" spans="1:12">
      <c r="A414" s="3190">
        <v>413</v>
      </c>
      <c r="B414" s="3204" t="s">
        <v>4006</v>
      </c>
      <c r="C414" s="3204" t="s">
        <v>5169</v>
      </c>
      <c r="D414" s="3205" t="s">
        <v>5170</v>
      </c>
      <c r="E414" s="3204" t="s">
        <v>4008</v>
      </c>
      <c r="F414" s="3206" t="s">
        <v>5487</v>
      </c>
      <c r="G414" s="3202">
        <v>1112</v>
      </c>
      <c r="H414" s="3204" t="s">
        <v>4425</v>
      </c>
      <c r="I414" s="3204" t="s">
        <v>5589</v>
      </c>
      <c r="J414" s="3201">
        <v>26.14</v>
      </c>
      <c r="K414" s="3208">
        <v>9.9</v>
      </c>
      <c r="L414" s="3209"/>
    </row>
    <row r="415" spans="1:12">
      <c r="A415" s="3190">
        <v>414</v>
      </c>
      <c r="B415" s="3191" t="s">
        <v>5173</v>
      </c>
      <c r="C415" s="3191" t="s">
        <v>4007</v>
      </c>
      <c r="D415" s="3192" t="s">
        <v>5170</v>
      </c>
      <c r="E415" s="3191" t="s">
        <v>5174</v>
      </c>
      <c r="F415" s="3193" t="s">
        <v>4322</v>
      </c>
      <c r="G415" s="3197">
        <v>1113</v>
      </c>
      <c r="H415" s="3191" t="s">
        <v>5590</v>
      </c>
      <c r="I415" s="3191" t="s">
        <v>4426</v>
      </c>
      <c r="J415" s="3194">
        <v>30.74</v>
      </c>
      <c r="K415" s="3194">
        <v>11.64</v>
      </c>
      <c r="L415" s="3196"/>
    </row>
    <row r="416" spans="1:12">
      <c r="A416" s="3190">
        <v>415</v>
      </c>
      <c r="B416" s="3191" t="s">
        <v>4006</v>
      </c>
      <c r="C416" s="3191" t="s">
        <v>5169</v>
      </c>
      <c r="D416" s="3192" t="s">
        <v>5170</v>
      </c>
      <c r="E416" s="3191" t="s">
        <v>4008</v>
      </c>
      <c r="F416" s="3193" t="s">
        <v>5487</v>
      </c>
      <c r="G416" s="3197">
        <v>1114</v>
      </c>
      <c r="H416" s="3191" t="s">
        <v>4427</v>
      </c>
      <c r="I416" s="3191" t="s">
        <v>5591</v>
      </c>
      <c r="J416" s="3194">
        <v>30.74</v>
      </c>
      <c r="K416" s="3194">
        <v>11.64</v>
      </c>
      <c r="L416" s="3196"/>
    </row>
    <row r="417" spans="1:12">
      <c r="A417" s="3190">
        <v>416</v>
      </c>
      <c r="B417" s="3191" t="s">
        <v>5173</v>
      </c>
      <c r="C417" s="3191" t="s">
        <v>4007</v>
      </c>
      <c r="D417" s="3192" t="s">
        <v>5170</v>
      </c>
      <c r="E417" s="3191" t="s">
        <v>5174</v>
      </c>
      <c r="F417" s="3193" t="s">
        <v>4322</v>
      </c>
      <c r="G417" s="3197">
        <v>1115</v>
      </c>
      <c r="H417" s="3191" t="s">
        <v>5592</v>
      </c>
      <c r="I417" s="3191" t="s">
        <v>4428</v>
      </c>
      <c r="J417" s="3194">
        <v>30.74</v>
      </c>
      <c r="K417" s="3194">
        <v>11.64</v>
      </c>
      <c r="L417" s="3196"/>
    </row>
    <row r="418" spans="1:12">
      <c r="A418" s="3190">
        <v>417</v>
      </c>
      <c r="B418" s="3191" t="s">
        <v>4006</v>
      </c>
      <c r="C418" s="3191" t="s">
        <v>5169</v>
      </c>
      <c r="D418" s="3192" t="s">
        <v>5170</v>
      </c>
      <c r="E418" s="3191" t="s">
        <v>4008</v>
      </c>
      <c r="F418" s="3193" t="s">
        <v>5487</v>
      </c>
      <c r="G418" s="3197">
        <v>1116</v>
      </c>
      <c r="H418" s="3191" t="s">
        <v>4429</v>
      </c>
      <c r="I418" s="3191" t="s">
        <v>5593</v>
      </c>
      <c r="J418" s="3194">
        <v>32.03</v>
      </c>
      <c r="K418" s="3194">
        <v>12.13</v>
      </c>
      <c r="L418" s="3196"/>
    </row>
    <row r="419" spans="1:12">
      <c r="A419" s="3190">
        <v>418</v>
      </c>
      <c r="B419" s="3191" t="s">
        <v>5173</v>
      </c>
      <c r="C419" s="3191" t="s">
        <v>4007</v>
      </c>
      <c r="D419" s="3192" t="s">
        <v>5170</v>
      </c>
      <c r="E419" s="3191" t="s">
        <v>5174</v>
      </c>
      <c r="F419" s="3207" t="s">
        <v>4330</v>
      </c>
      <c r="G419" s="3197">
        <v>1117</v>
      </c>
      <c r="H419" s="3191" t="s">
        <v>5594</v>
      </c>
      <c r="I419" s="3191" t="s">
        <v>4430</v>
      </c>
      <c r="J419" s="3194">
        <v>32.03</v>
      </c>
      <c r="K419" s="3194">
        <v>12.13</v>
      </c>
      <c r="L419" s="3196"/>
    </row>
    <row r="420" spans="1:12">
      <c r="A420" s="3190">
        <v>419</v>
      </c>
      <c r="B420" s="3191" t="s">
        <v>4006</v>
      </c>
      <c r="C420" s="3191" t="s">
        <v>5169</v>
      </c>
      <c r="D420" s="3192" t="s">
        <v>5170</v>
      </c>
      <c r="E420" s="3191" t="s">
        <v>4008</v>
      </c>
      <c r="F420" s="3193" t="s">
        <v>5487</v>
      </c>
      <c r="G420" s="3197">
        <v>1118</v>
      </c>
      <c r="H420" s="3191" t="s">
        <v>4431</v>
      </c>
      <c r="I420" s="3191" t="s">
        <v>5595</v>
      </c>
      <c r="J420" s="3194">
        <v>32.03</v>
      </c>
      <c r="K420" s="3194">
        <v>12.13</v>
      </c>
      <c r="L420" s="3196"/>
    </row>
    <row r="421" spans="1:12">
      <c r="A421" s="3190">
        <v>420</v>
      </c>
      <c r="B421" s="3191" t="s">
        <v>5173</v>
      </c>
      <c r="C421" s="3191" t="s">
        <v>4007</v>
      </c>
      <c r="D421" s="3192" t="s">
        <v>5170</v>
      </c>
      <c r="E421" s="3191" t="s">
        <v>5174</v>
      </c>
      <c r="F421" s="3193" t="s">
        <v>4322</v>
      </c>
      <c r="G421" s="3197">
        <v>1119</v>
      </c>
      <c r="H421" s="3191" t="s">
        <v>5596</v>
      </c>
      <c r="I421" s="3191" t="s">
        <v>4432</v>
      </c>
      <c r="J421" s="3194">
        <v>30.74</v>
      </c>
      <c r="K421" s="3194">
        <v>11.64</v>
      </c>
      <c r="L421" s="3196"/>
    </row>
    <row r="422" spans="1:12">
      <c r="A422" s="3190">
        <v>421</v>
      </c>
      <c r="B422" s="3191" t="s">
        <v>4006</v>
      </c>
      <c r="C422" s="3191" t="s">
        <v>5169</v>
      </c>
      <c r="D422" s="3192" t="s">
        <v>5170</v>
      </c>
      <c r="E422" s="3191" t="s">
        <v>4008</v>
      </c>
      <c r="F422" s="3193" t="s">
        <v>5487</v>
      </c>
      <c r="G422" s="3197">
        <v>1120</v>
      </c>
      <c r="H422" s="3191" t="s">
        <v>4433</v>
      </c>
      <c r="I422" s="3191" t="s">
        <v>5597</v>
      </c>
      <c r="J422" s="3194">
        <v>30.74</v>
      </c>
      <c r="K422" s="3194">
        <v>11.64</v>
      </c>
      <c r="L422" s="3196"/>
    </row>
    <row r="423" spans="1:12">
      <c r="A423" s="3190">
        <v>422</v>
      </c>
      <c r="B423" s="3191" t="s">
        <v>5173</v>
      </c>
      <c r="C423" s="3191" t="s">
        <v>4007</v>
      </c>
      <c r="D423" s="3192" t="s">
        <v>5170</v>
      </c>
      <c r="E423" s="3191" t="s">
        <v>5174</v>
      </c>
      <c r="F423" s="3193" t="s">
        <v>4322</v>
      </c>
      <c r="G423" s="3197">
        <v>1121</v>
      </c>
      <c r="H423" s="3191" t="s">
        <v>5598</v>
      </c>
      <c r="I423" s="3191" t="s">
        <v>4434</v>
      </c>
      <c r="J423" s="3194">
        <v>30.74</v>
      </c>
      <c r="K423" s="3194">
        <v>11.64</v>
      </c>
      <c r="L423" s="3196"/>
    </row>
    <row r="424" spans="1:12">
      <c r="A424" s="3190">
        <v>423</v>
      </c>
      <c r="B424" s="3191" t="s">
        <v>4006</v>
      </c>
      <c r="C424" s="3191" t="s">
        <v>5169</v>
      </c>
      <c r="D424" s="3192" t="s">
        <v>5170</v>
      </c>
      <c r="E424" s="3191" t="s">
        <v>4008</v>
      </c>
      <c r="F424" s="3193" t="s">
        <v>5487</v>
      </c>
      <c r="G424" s="3197">
        <v>1122</v>
      </c>
      <c r="H424" s="3191" t="s">
        <v>4435</v>
      </c>
      <c r="I424" s="3191" t="s">
        <v>5599</v>
      </c>
      <c r="J424" s="3194">
        <v>30.74</v>
      </c>
      <c r="K424" s="3194">
        <v>11.64</v>
      </c>
      <c r="L424" s="3196"/>
    </row>
    <row r="425" spans="1:12">
      <c r="A425" s="3190">
        <v>424</v>
      </c>
      <c r="B425" s="3191" t="s">
        <v>5173</v>
      </c>
      <c r="C425" s="3191" t="s">
        <v>4007</v>
      </c>
      <c r="D425" s="3192" t="s">
        <v>5170</v>
      </c>
      <c r="E425" s="3191" t="s">
        <v>5174</v>
      </c>
      <c r="F425" s="3193" t="s">
        <v>4322</v>
      </c>
      <c r="G425" s="3197">
        <v>1123</v>
      </c>
      <c r="H425" s="3191" t="s">
        <v>5600</v>
      </c>
      <c r="I425" s="3191" t="s">
        <v>4436</v>
      </c>
      <c r="J425" s="3194">
        <v>30.74</v>
      </c>
      <c r="K425" s="3194">
        <v>11.64</v>
      </c>
      <c r="L425" s="3196"/>
    </row>
    <row r="426" spans="1:12">
      <c r="A426" s="3190">
        <v>425</v>
      </c>
      <c r="B426" s="3191" t="s">
        <v>4006</v>
      </c>
      <c r="C426" s="3191" t="s">
        <v>5169</v>
      </c>
      <c r="D426" s="3192" t="s">
        <v>5170</v>
      </c>
      <c r="E426" s="3191" t="s">
        <v>4008</v>
      </c>
      <c r="F426" s="3193" t="s">
        <v>5487</v>
      </c>
      <c r="G426" s="3197">
        <v>1124</v>
      </c>
      <c r="H426" s="3191" t="s">
        <v>4437</v>
      </c>
      <c r="I426" s="3191" t="s">
        <v>5601</v>
      </c>
      <c r="J426" s="3194">
        <v>30.74</v>
      </c>
      <c r="K426" s="3194">
        <v>11.64</v>
      </c>
      <c r="L426" s="3196"/>
    </row>
    <row r="427" spans="1:12">
      <c r="A427" s="3190">
        <v>426</v>
      </c>
      <c r="B427" s="3191" t="s">
        <v>5173</v>
      </c>
      <c r="C427" s="3191" t="s">
        <v>4007</v>
      </c>
      <c r="D427" s="3192" t="s">
        <v>5170</v>
      </c>
      <c r="E427" s="3191" t="s">
        <v>5174</v>
      </c>
      <c r="F427" s="3193" t="s">
        <v>4322</v>
      </c>
      <c r="G427" s="3197">
        <v>1125</v>
      </c>
      <c r="H427" s="3191" t="s">
        <v>5602</v>
      </c>
      <c r="I427" s="3191" t="s">
        <v>4438</v>
      </c>
      <c r="J427" s="3194">
        <v>30.74</v>
      </c>
      <c r="K427" s="3194">
        <v>11.64</v>
      </c>
      <c r="L427" s="3196"/>
    </row>
    <row r="428" spans="1:12">
      <c r="A428" s="3190">
        <v>427</v>
      </c>
      <c r="B428" s="3191" t="s">
        <v>4006</v>
      </c>
      <c r="C428" s="3191" t="s">
        <v>5169</v>
      </c>
      <c r="D428" s="3192" t="s">
        <v>5170</v>
      </c>
      <c r="E428" s="3191" t="s">
        <v>4008</v>
      </c>
      <c r="F428" s="3193" t="s">
        <v>5487</v>
      </c>
      <c r="G428" s="3197">
        <v>1126</v>
      </c>
      <c r="H428" s="3191" t="s">
        <v>4439</v>
      </c>
      <c r="I428" s="3191" t="s">
        <v>5603</v>
      </c>
      <c r="J428" s="3194">
        <v>30.74</v>
      </c>
      <c r="K428" s="3194">
        <v>11.64</v>
      </c>
      <c r="L428" s="3196"/>
    </row>
    <row r="429" spans="1:12">
      <c r="A429" s="3190">
        <v>428</v>
      </c>
      <c r="B429" s="3191" t="s">
        <v>5173</v>
      </c>
      <c r="C429" s="3191" t="s">
        <v>4007</v>
      </c>
      <c r="D429" s="3192" t="s">
        <v>5170</v>
      </c>
      <c r="E429" s="3191" t="s">
        <v>5174</v>
      </c>
      <c r="F429" s="3193" t="s">
        <v>4322</v>
      </c>
      <c r="G429" s="3197">
        <v>1127</v>
      </c>
      <c r="H429" s="3191" t="s">
        <v>5604</v>
      </c>
      <c r="I429" s="3191" t="s">
        <v>4440</v>
      </c>
      <c r="J429" s="3194">
        <v>30.74</v>
      </c>
      <c r="K429" s="3194">
        <v>11.64</v>
      </c>
      <c r="L429" s="3196"/>
    </row>
    <row r="430" spans="1:12">
      <c r="A430" s="3190">
        <v>429</v>
      </c>
      <c r="B430" s="3191" t="s">
        <v>4006</v>
      </c>
      <c r="C430" s="3191" t="s">
        <v>5169</v>
      </c>
      <c r="D430" s="3192" t="s">
        <v>5170</v>
      </c>
      <c r="E430" s="3191" t="s">
        <v>4008</v>
      </c>
      <c r="F430" s="3193" t="s">
        <v>5487</v>
      </c>
      <c r="G430" s="3197">
        <v>1128</v>
      </c>
      <c r="H430" s="3191" t="s">
        <v>4441</v>
      </c>
      <c r="I430" s="3191" t="s">
        <v>5605</v>
      </c>
      <c r="J430" s="3194">
        <v>30.74</v>
      </c>
      <c r="K430" s="3194">
        <v>11.64</v>
      </c>
      <c r="L430" s="3196"/>
    </row>
    <row r="431" spans="1:12">
      <c r="A431" s="3190">
        <v>430</v>
      </c>
      <c r="B431" s="3191" t="s">
        <v>5173</v>
      </c>
      <c r="C431" s="3191" t="s">
        <v>4007</v>
      </c>
      <c r="D431" s="3192" t="s">
        <v>5170</v>
      </c>
      <c r="E431" s="3191" t="s">
        <v>5174</v>
      </c>
      <c r="F431" s="3193" t="s">
        <v>4322</v>
      </c>
      <c r="G431" s="3197">
        <v>1129</v>
      </c>
      <c r="H431" s="3191" t="s">
        <v>5606</v>
      </c>
      <c r="I431" s="3191" t="s">
        <v>4442</v>
      </c>
      <c r="J431" s="3194">
        <v>30.74</v>
      </c>
      <c r="K431" s="3194">
        <v>11.64</v>
      </c>
      <c r="L431" s="3196"/>
    </row>
    <row r="432" spans="1:12">
      <c r="A432" s="3190">
        <v>431</v>
      </c>
      <c r="B432" s="3191" t="s">
        <v>4006</v>
      </c>
      <c r="C432" s="3191" t="s">
        <v>5169</v>
      </c>
      <c r="D432" s="3192" t="s">
        <v>5170</v>
      </c>
      <c r="E432" s="3191" t="s">
        <v>4008</v>
      </c>
      <c r="F432" s="3193" t="s">
        <v>5487</v>
      </c>
      <c r="G432" s="3197">
        <v>1130</v>
      </c>
      <c r="H432" s="3191" t="s">
        <v>4443</v>
      </c>
      <c r="I432" s="3191" t="s">
        <v>5607</v>
      </c>
      <c r="J432" s="3194">
        <v>29.47</v>
      </c>
      <c r="K432" s="3194">
        <v>11.16</v>
      </c>
      <c r="L432" s="3196"/>
    </row>
    <row r="433" spans="1:12">
      <c r="A433" s="3190">
        <v>432</v>
      </c>
      <c r="B433" s="3191" t="s">
        <v>5173</v>
      </c>
      <c r="C433" s="3191" t="s">
        <v>4007</v>
      </c>
      <c r="D433" s="3192" t="s">
        <v>5170</v>
      </c>
      <c r="E433" s="3191" t="s">
        <v>5174</v>
      </c>
      <c r="F433" s="3207" t="s">
        <v>4330</v>
      </c>
      <c r="G433" s="3197">
        <v>1131</v>
      </c>
      <c r="H433" s="3191" t="s">
        <v>5608</v>
      </c>
      <c r="I433" s="3191" t="s">
        <v>4444</v>
      </c>
      <c r="J433" s="3194">
        <v>29.47</v>
      </c>
      <c r="K433" s="3194">
        <v>11.16</v>
      </c>
      <c r="L433" s="3196"/>
    </row>
    <row r="434" spans="1:12">
      <c r="A434" s="3190">
        <v>433</v>
      </c>
      <c r="B434" s="3191" t="s">
        <v>4006</v>
      </c>
      <c r="C434" s="3191" t="s">
        <v>5169</v>
      </c>
      <c r="D434" s="3192" t="s">
        <v>5170</v>
      </c>
      <c r="E434" s="3191" t="s">
        <v>4008</v>
      </c>
      <c r="F434" s="3207" t="s">
        <v>5494</v>
      </c>
      <c r="G434" s="3197">
        <v>1132</v>
      </c>
      <c r="H434" s="3191" t="s">
        <v>4445</v>
      </c>
      <c r="I434" s="3191" t="s">
        <v>5609</v>
      </c>
      <c r="J434" s="3194">
        <v>29.47</v>
      </c>
      <c r="K434" s="3194">
        <v>11.16</v>
      </c>
      <c r="L434" s="3196"/>
    </row>
    <row r="435" spans="1:12">
      <c r="A435" s="3190">
        <v>434</v>
      </c>
      <c r="B435" s="3191" t="s">
        <v>5173</v>
      </c>
      <c r="C435" s="3191" t="s">
        <v>4007</v>
      </c>
      <c r="D435" s="3192" t="s">
        <v>5170</v>
      </c>
      <c r="E435" s="3191" t="s">
        <v>5174</v>
      </c>
      <c r="F435" s="3193" t="s">
        <v>4322</v>
      </c>
      <c r="G435" s="3197">
        <v>1133</v>
      </c>
      <c r="H435" s="3191" t="s">
        <v>5610</v>
      </c>
      <c r="I435" s="3191" t="s">
        <v>4446</v>
      </c>
      <c r="J435" s="3194">
        <v>29.47</v>
      </c>
      <c r="K435" s="3194">
        <v>11.16</v>
      </c>
      <c r="L435" s="3196"/>
    </row>
    <row r="436" spans="1:12">
      <c r="A436" s="3190">
        <v>435</v>
      </c>
      <c r="B436" s="3191" t="s">
        <v>4006</v>
      </c>
      <c r="C436" s="3191" t="s">
        <v>5169</v>
      </c>
      <c r="D436" s="3192" t="s">
        <v>5170</v>
      </c>
      <c r="E436" s="3191" t="s">
        <v>4008</v>
      </c>
      <c r="F436" s="3193" t="s">
        <v>5487</v>
      </c>
      <c r="G436" s="3197">
        <v>1134</v>
      </c>
      <c r="H436" s="3191" t="s">
        <v>4447</v>
      </c>
      <c r="I436" s="3191" t="s">
        <v>5611</v>
      </c>
      <c r="J436" s="3194">
        <v>29.47</v>
      </c>
      <c r="K436" s="3194">
        <v>11.16</v>
      </c>
      <c r="L436" s="3196"/>
    </row>
    <row r="437" spans="1:12">
      <c r="A437" s="3190">
        <v>436</v>
      </c>
      <c r="B437" s="3191" t="s">
        <v>5173</v>
      </c>
      <c r="C437" s="3191" t="s">
        <v>4007</v>
      </c>
      <c r="D437" s="3192" t="s">
        <v>5170</v>
      </c>
      <c r="E437" s="3191" t="s">
        <v>5174</v>
      </c>
      <c r="F437" s="3207" t="s">
        <v>4330</v>
      </c>
      <c r="G437" s="3197">
        <v>1135</v>
      </c>
      <c r="H437" s="3191" t="s">
        <v>5612</v>
      </c>
      <c r="I437" s="3191" t="s">
        <v>4448</v>
      </c>
      <c r="J437" s="3194">
        <v>29.47</v>
      </c>
      <c r="K437" s="3194">
        <v>11.16</v>
      </c>
      <c r="L437" s="3196"/>
    </row>
    <row r="438" spans="1:12">
      <c r="A438" s="3190">
        <v>437</v>
      </c>
      <c r="B438" s="3191" t="s">
        <v>4006</v>
      </c>
      <c r="C438" s="3191" t="s">
        <v>5169</v>
      </c>
      <c r="D438" s="3192" t="s">
        <v>5170</v>
      </c>
      <c r="E438" s="3191" t="s">
        <v>4008</v>
      </c>
      <c r="F438" s="3207" t="s">
        <v>5494</v>
      </c>
      <c r="G438" s="3197">
        <v>1136</v>
      </c>
      <c r="H438" s="3191" t="s">
        <v>4449</v>
      </c>
      <c r="I438" s="3191" t="s">
        <v>5613</v>
      </c>
      <c r="J438" s="3194">
        <v>29.47</v>
      </c>
      <c r="K438" s="3194">
        <v>11.16</v>
      </c>
      <c r="L438" s="3196"/>
    </row>
    <row r="439" spans="1:12">
      <c r="A439" s="3190">
        <v>438</v>
      </c>
      <c r="B439" s="3191" t="s">
        <v>5173</v>
      </c>
      <c r="C439" s="3191" t="s">
        <v>4007</v>
      </c>
      <c r="D439" s="3192" t="s">
        <v>5170</v>
      </c>
      <c r="E439" s="3191" t="s">
        <v>5174</v>
      </c>
      <c r="F439" s="3193" t="s">
        <v>4322</v>
      </c>
      <c r="G439" s="3197">
        <v>1137</v>
      </c>
      <c r="H439" s="3191" t="s">
        <v>5614</v>
      </c>
      <c r="I439" s="3191" t="s">
        <v>4450</v>
      </c>
      <c r="J439" s="3194">
        <v>29.47</v>
      </c>
      <c r="K439" s="3194">
        <v>11.16</v>
      </c>
      <c r="L439" s="3196"/>
    </row>
    <row r="440" spans="1:12">
      <c r="A440" s="3190">
        <v>439</v>
      </c>
      <c r="B440" s="3191" t="s">
        <v>4006</v>
      </c>
      <c r="C440" s="3191" t="s">
        <v>5169</v>
      </c>
      <c r="D440" s="3192" t="s">
        <v>5170</v>
      </c>
      <c r="E440" s="3191" t="s">
        <v>4008</v>
      </c>
      <c r="F440" s="3193" t="s">
        <v>5487</v>
      </c>
      <c r="G440" s="3197">
        <v>1138</v>
      </c>
      <c r="H440" s="3191" t="s">
        <v>4451</v>
      </c>
      <c r="I440" s="3191" t="s">
        <v>5615</v>
      </c>
      <c r="J440" s="3194">
        <v>29.47</v>
      </c>
      <c r="K440" s="3194">
        <v>11.16</v>
      </c>
      <c r="L440" s="3196"/>
    </row>
    <row r="441" spans="1:12">
      <c r="A441" s="3190">
        <v>440</v>
      </c>
      <c r="B441" s="3191" t="s">
        <v>5173</v>
      </c>
      <c r="C441" s="3191" t="s">
        <v>4007</v>
      </c>
      <c r="D441" s="3192" t="s">
        <v>5170</v>
      </c>
      <c r="E441" s="3191" t="s">
        <v>5174</v>
      </c>
      <c r="F441" s="3193" t="s">
        <v>4322</v>
      </c>
      <c r="G441" s="3197">
        <v>1139</v>
      </c>
      <c r="H441" s="3191" t="s">
        <v>5616</v>
      </c>
      <c r="I441" s="3191" t="s">
        <v>4452</v>
      </c>
      <c r="J441" s="3194">
        <v>29.47</v>
      </c>
      <c r="K441" s="3194">
        <v>11.16</v>
      </c>
      <c r="L441" s="3196"/>
    </row>
    <row r="442" spans="1:12">
      <c r="A442" s="3190">
        <v>441</v>
      </c>
      <c r="B442" s="3191" t="s">
        <v>4006</v>
      </c>
      <c r="C442" s="3191" t="s">
        <v>5169</v>
      </c>
      <c r="D442" s="3192" t="s">
        <v>5170</v>
      </c>
      <c r="E442" s="3191" t="s">
        <v>4008</v>
      </c>
      <c r="F442" s="3193" t="s">
        <v>5487</v>
      </c>
      <c r="G442" s="3197">
        <v>1140</v>
      </c>
      <c r="H442" s="3191" t="s">
        <v>4453</v>
      </c>
      <c r="I442" s="3191" t="s">
        <v>5617</v>
      </c>
      <c r="J442" s="3194">
        <v>28.18</v>
      </c>
      <c r="K442" s="3194">
        <v>10.67</v>
      </c>
      <c r="L442" s="3196"/>
    </row>
    <row r="443" spans="1:12">
      <c r="A443" s="3190">
        <v>442</v>
      </c>
      <c r="B443" s="3191" t="s">
        <v>5173</v>
      </c>
      <c r="C443" s="3191" t="s">
        <v>4007</v>
      </c>
      <c r="D443" s="3192" t="s">
        <v>5170</v>
      </c>
      <c r="E443" s="3191" t="s">
        <v>5174</v>
      </c>
      <c r="F443" s="3193" t="s">
        <v>4322</v>
      </c>
      <c r="G443" s="3197">
        <v>1141</v>
      </c>
      <c r="H443" s="3191" t="s">
        <v>5618</v>
      </c>
      <c r="I443" s="3191" t="s">
        <v>4454</v>
      </c>
      <c r="J443" s="3194">
        <v>28.18</v>
      </c>
      <c r="K443" s="3194">
        <v>10.67</v>
      </c>
      <c r="L443" s="3196"/>
    </row>
    <row r="444" spans="1:12">
      <c r="A444" s="3190">
        <v>443</v>
      </c>
      <c r="B444" s="3191" t="s">
        <v>4006</v>
      </c>
      <c r="C444" s="3191" t="s">
        <v>5169</v>
      </c>
      <c r="D444" s="3192" t="s">
        <v>5170</v>
      </c>
      <c r="E444" s="3191" t="s">
        <v>4008</v>
      </c>
      <c r="F444" s="3193" t="s">
        <v>5487</v>
      </c>
      <c r="G444" s="3197">
        <v>1142</v>
      </c>
      <c r="H444" s="3191" t="s">
        <v>4455</v>
      </c>
      <c r="I444" s="3191" t="s">
        <v>5619</v>
      </c>
      <c r="J444" s="3194">
        <v>29.47</v>
      </c>
      <c r="K444" s="3194">
        <v>11.16</v>
      </c>
      <c r="L444" s="3196"/>
    </row>
    <row r="445" spans="1:12">
      <c r="A445" s="3190">
        <v>444</v>
      </c>
      <c r="B445" s="3191" t="s">
        <v>5173</v>
      </c>
      <c r="C445" s="3191" t="s">
        <v>4007</v>
      </c>
      <c r="D445" s="3192" t="s">
        <v>5170</v>
      </c>
      <c r="E445" s="3191" t="s">
        <v>5174</v>
      </c>
      <c r="F445" s="3193" t="s">
        <v>4322</v>
      </c>
      <c r="G445" s="3197">
        <v>1143</v>
      </c>
      <c r="H445" s="3191" t="s">
        <v>5620</v>
      </c>
      <c r="I445" s="3191" t="s">
        <v>4456</v>
      </c>
      <c r="J445" s="3194">
        <v>29.47</v>
      </c>
      <c r="K445" s="3194">
        <v>11.16</v>
      </c>
      <c r="L445" s="3196"/>
    </row>
    <row r="446" spans="1:12">
      <c r="A446" s="3190">
        <v>445</v>
      </c>
      <c r="B446" s="3191" t="s">
        <v>4006</v>
      </c>
      <c r="C446" s="3191" t="s">
        <v>5169</v>
      </c>
      <c r="D446" s="3192" t="s">
        <v>5170</v>
      </c>
      <c r="E446" s="3191" t="s">
        <v>4008</v>
      </c>
      <c r="F446" s="3207" t="s">
        <v>5494</v>
      </c>
      <c r="G446" s="3197">
        <v>1144</v>
      </c>
      <c r="H446" s="3191" t="s">
        <v>4457</v>
      </c>
      <c r="I446" s="3191" t="s">
        <v>5621</v>
      </c>
      <c r="J446" s="3194">
        <v>29.47</v>
      </c>
      <c r="K446" s="3194">
        <v>11.16</v>
      </c>
      <c r="L446" s="3196"/>
    </row>
    <row r="447" spans="1:12">
      <c r="A447" s="3190">
        <v>446</v>
      </c>
      <c r="B447" s="3191" t="s">
        <v>5173</v>
      </c>
      <c r="C447" s="3191" t="s">
        <v>4007</v>
      </c>
      <c r="D447" s="3192" t="s">
        <v>5170</v>
      </c>
      <c r="E447" s="3191" t="s">
        <v>5174</v>
      </c>
      <c r="F447" s="3193" t="s">
        <v>4322</v>
      </c>
      <c r="G447" s="3197">
        <v>1145</v>
      </c>
      <c r="H447" s="3191" t="s">
        <v>5622</v>
      </c>
      <c r="I447" s="3191" t="s">
        <v>4458</v>
      </c>
      <c r="J447" s="3194">
        <v>29.47</v>
      </c>
      <c r="K447" s="3194">
        <v>11.16</v>
      </c>
      <c r="L447" s="3196"/>
    </row>
    <row r="448" spans="1:12">
      <c r="A448" s="3190">
        <v>447</v>
      </c>
      <c r="B448" s="3191" t="s">
        <v>4006</v>
      </c>
      <c r="C448" s="3191" t="s">
        <v>5169</v>
      </c>
      <c r="D448" s="3192" t="s">
        <v>5170</v>
      </c>
      <c r="E448" s="3191" t="s">
        <v>4008</v>
      </c>
      <c r="F448" s="3193" t="s">
        <v>5487</v>
      </c>
      <c r="G448" s="3197">
        <v>1146</v>
      </c>
      <c r="H448" s="3191" t="s">
        <v>4459</v>
      </c>
      <c r="I448" s="3191" t="s">
        <v>5623</v>
      </c>
      <c r="J448" s="3194">
        <v>29.47</v>
      </c>
      <c r="K448" s="3194">
        <v>11.16</v>
      </c>
      <c r="L448" s="3196"/>
    </row>
    <row r="449" spans="1:12">
      <c r="A449" s="3190">
        <v>448</v>
      </c>
      <c r="B449" s="3191" t="s">
        <v>5173</v>
      </c>
      <c r="C449" s="3191" t="s">
        <v>4007</v>
      </c>
      <c r="D449" s="3192" t="s">
        <v>5170</v>
      </c>
      <c r="E449" s="3191" t="s">
        <v>5174</v>
      </c>
      <c r="F449" s="3193" t="s">
        <v>4322</v>
      </c>
      <c r="G449" s="3197">
        <v>1147</v>
      </c>
      <c r="H449" s="3191" t="s">
        <v>5624</v>
      </c>
      <c r="I449" s="3191" t="s">
        <v>4460</v>
      </c>
      <c r="J449" s="3194">
        <v>29.47</v>
      </c>
      <c r="K449" s="3194">
        <v>11.16</v>
      </c>
      <c r="L449" s="3196"/>
    </row>
    <row r="450" spans="1:12">
      <c r="A450" s="3190">
        <v>449</v>
      </c>
      <c r="B450" s="3191" t="s">
        <v>4006</v>
      </c>
      <c r="C450" s="3191" t="s">
        <v>5169</v>
      </c>
      <c r="D450" s="3192" t="s">
        <v>5170</v>
      </c>
      <c r="E450" s="3191" t="s">
        <v>4008</v>
      </c>
      <c r="F450" s="3193" t="s">
        <v>5487</v>
      </c>
      <c r="G450" s="3197">
        <v>1149</v>
      </c>
      <c r="H450" s="3191" t="s">
        <v>4461</v>
      </c>
      <c r="I450" s="3191" t="s">
        <v>5625</v>
      </c>
      <c r="J450" s="3203">
        <v>27.6</v>
      </c>
      <c r="K450" s="3194">
        <v>10.45</v>
      </c>
      <c r="L450" s="3196"/>
    </row>
    <row r="451" spans="1:12">
      <c r="A451" s="3190">
        <v>450</v>
      </c>
      <c r="B451" s="3191" t="s">
        <v>5173</v>
      </c>
      <c r="C451" s="3191" t="s">
        <v>4007</v>
      </c>
      <c r="D451" s="3192" t="s">
        <v>5170</v>
      </c>
      <c r="E451" s="3191" t="s">
        <v>5174</v>
      </c>
      <c r="F451" s="3193" t="s">
        <v>4322</v>
      </c>
      <c r="G451" s="3197">
        <v>1150</v>
      </c>
      <c r="H451" s="3191" t="s">
        <v>5626</v>
      </c>
      <c r="I451" s="3191" t="s">
        <v>4462</v>
      </c>
      <c r="J451" s="3203">
        <v>27.6</v>
      </c>
      <c r="K451" s="3194">
        <v>10.45</v>
      </c>
      <c r="L451" s="3196"/>
    </row>
    <row r="452" spans="1:12">
      <c r="A452" s="3190">
        <v>451</v>
      </c>
      <c r="B452" s="3191" t="s">
        <v>4006</v>
      </c>
      <c r="C452" s="3191" t="s">
        <v>5169</v>
      </c>
      <c r="D452" s="3192" t="s">
        <v>5170</v>
      </c>
      <c r="E452" s="3191" t="s">
        <v>4008</v>
      </c>
      <c r="F452" s="3193" t="s">
        <v>5487</v>
      </c>
      <c r="G452" s="3197">
        <v>1151</v>
      </c>
      <c r="H452" s="3191" t="s">
        <v>4463</v>
      </c>
      <c r="I452" s="3191" t="s">
        <v>5627</v>
      </c>
      <c r="J452" s="3194">
        <v>30.11</v>
      </c>
      <c r="K452" s="3203">
        <v>11.4</v>
      </c>
      <c r="L452" s="3196"/>
    </row>
    <row r="453" spans="1:12">
      <c r="A453" s="3190">
        <v>452</v>
      </c>
      <c r="B453" s="3191" t="s">
        <v>5173</v>
      </c>
      <c r="C453" s="3191" t="s">
        <v>4007</v>
      </c>
      <c r="D453" s="3192" t="s">
        <v>5170</v>
      </c>
      <c r="E453" s="3191" t="s">
        <v>5174</v>
      </c>
      <c r="F453" s="3193" t="s">
        <v>4322</v>
      </c>
      <c r="G453" s="3197">
        <v>1152</v>
      </c>
      <c r="H453" s="3191" t="s">
        <v>5628</v>
      </c>
      <c r="I453" s="3191" t="s">
        <v>4464</v>
      </c>
      <c r="J453" s="3194">
        <v>30.11</v>
      </c>
      <c r="K453" s="3203">
        <v>11.4</v>
      </c>
      <c r="L453" s="3196"/>
    </row>
    <row r="454" spans="1:12">
      <c r="A454" s="3190">
        <v>453</v>
      </c>
      <c r="B454" s="3191" t="s">
        <v>4006</v>
      </c>
      <c r="C454" s="3191" t="s">
        <v>5169</v>
      </c>
      <c r="D454" s="3192" t="s">
        <v>5170</v>
      </c>
      <c r="E454" s="3191" t="s">
        <v>4008</v>
      </c>
      <c r="F454" s="3193" t="s">
        <v>5487</v>
      </c>
      <c r="G454" s="3197">
        <v>1153</v>
      </c>
      <c r="H454" s="3191" t="s">
        <v>4465</v>
      </c>
      <c r="I454" s="3191" t="s">
        <v>5629</v>
      </c>
      <c r="J454" s="3194">
        <v>30.74</v>
      </c>
      <c r="K454" s="3194">
        <v>11.64</v>
      </c>
      <c r="L454" s="3196"/>
    </row>
    <row r="455" spans="1:12">
      <c r="A455" s="3190">
        <v>454</v>
      </c>
      <c r="B455" s="3191" t="s">
        <v>5173</v>
      </c>
      <c r="C455" s="3191" t="s">
        <v>4007</v>
      </c>
      <c r="D455" s="3192" t="s">
        <v>5170</v>
      </c>
      <c r="E455" s="3191" t="s">
        <v>5174</v>
      </c>
      <c r="F455" s="3193" t="s">
        <v>4322</v>
      </c>
      <c r="G455" s="3197">
        <v>1154</v>
      </c>
      <c r="H455" s="3191" t="s">
        <v>5630</v>
      </c>
      <c r="I455" s="3191" t="s">
        <v>4466</v>
      </c>
      <c r="J455" s="3194">
        <v>30.74</v>
      </c>
      <c r="K455" s="3194">
        <v>11.64</v>
      </c>
      <c r="L455" s="3196"/>
    </row>
    <row r="456" spans="1:12">
      <c r="A456" s="3190">
        <v>455</v>
      </c>
      <c r="B456" s="3191" t="s">
        <v>4006</v>
      </c>
      <c r="C456" s="3191" t="s">
        <v>5169</v>
      </c>
      <c r="D456" s="3192" t="s">
        <v>5170</v>
      </c>
      <c r="E456" s="3191" t="s">
        <v>4008</v>
      </c>
      <c r="F456" s="3193" t="s">
        <v>5487</v>
      </c>
      <c r="G456" s="3197">
        <v>1155</v>
      </c>
      <c r="H456" s="3191" t="s">
        <v>4467</v>
      </c>
      <c r="I456" s="3191" t="s">
        <v>5631</v>
      </c>
      <c r="J456" s="3194">
        <v>28.18</v>
      </c>
      <c r="K456" s="3194">
        <v>10.67</v>
      </c>
      <c r="L456" s="3196"/>
    </row>
    <row r="457" spans="1:12">
      <c r="A457" s="3190">
        <v>456</v>
      </c>
      <c r="B457" s="3191" t="s">
        <v>5173</v>
      </c>
      <c r="C457" s="3191" t="s">
        <v>4007</v>
      </c>
      <c r="D457" s="3192" t="s">
        <v>5170</v>
      </c>
      <c r="E457" s="3191" t="s">
        <v>5174</v>
      </c>
      <c r="F457" s="3193" t="s">
        <v>4322</v>
      </c>
      <c r="G457" s="3197">
        <v>1156</v>
      </c>
      <c r="H457" s="3191" t="s">
        <v>5632</v>
      </c>
      <c r="I457" s="3191" t="s">
        <v>4468</v>
      </c>
      <c r="J457" s="3194">
        <v>28.18</v>
      </c>
      <c r="K457" s="3194">
        <v>10.67</v>
      </c>
      <c r="L457" s="3196"/>
    </row>
    <row r="458" spans="1:12">
      <c r="A458" s="3190">
        <v>457</v>
      </c>
      <c r="B458" s="3191" t="s">
        <v>4006</v>
      </c>
      <c r="C458" s="3191" t="s">
        <v>5169</v>
      </c>
      <c r="D458" s="3192" t="s">
        <v>5170</v>
      </c>
      <c r="E458" s="3191" t="s">
        <v>4008</v>
      </c>
      <c r="F458" s="3193" t="s">
        <v>5487</v>
      </c>
      <c r="G458" s="3197">
        <v>1157</v>
      </c>
      <c r="H458" s="3191" t="s">
        <v>4469</v>
      </c>
      <c r="I458" s="3191" t="s">
        <v>5633</v>
      </c>
      <c r="J458" s="3194">
        <v>29.47</v>
      </c>
      <c r="K458" s="3194">
        <v>11.16</v>
      </c>
      <c r="L458" s="3196"/>
    </row>
    <row r="459" spans="1:12">
      <c r="A459" s="3190">
        <v>458</v>
      </c>
      <c r="B459" s="3191" t="s">
        <v>5173</v>
      </c>
      <c r="C459" s="3191" t="s">
        <v>4007</v>
      </c>
      <c r="D459" s="3192" t="s">
        <v>5170</v>
      </c>
      <c r="E459" s="3191" t="s">
        <v>5174</v>
      </c>
      <c r="F459" s="3193" t="s">
        <v>4322</v>
      </c>
      <c r="G459" s="3197">
        <v>1158</v>
      </c>
      <c r="H459" s="3191" t="s">
        <v>5634</v>
      </c>
      <c r="I459" s="3191" t="s">
        <v>4470</v>
      </c>
      <c r="J459" s="3194">
        <v>29.47</v>
      </c>
      <c r="K459" s="3194">
        <v>11.16</v>
      </c>
      <c r="L459" s="3196"/>
    </row>
    <row r="460" spans="1:12">
      <c r="A460" s="3190">
        <v>459</v>
      </c>
      <c r="B460" s="3191" t="s">
        <v>4006</v>
      </c>
      <c r="C460" s="3191" t="s">
        <v>5169</v>
      </c>
      <c r="D460" s="3192" t="s">
        <v>5170</v>
      </c>
      <c r="E460" s="3191" t="s">
        <v>4008</v>
      </c>
      <c r="F460" s="3193" t="s">
        <v>5487</v>
      </c>
      <c r="G460" s="3197">
        <v>1159</v>
      </c>
      <c r="H460" s="3191" t="s">
        <v>4471</v>
      </c>
      <c r="I460" s="3191" t="s">
        <v>5635</v>
      </c>
      <c r="J460" s="3194">
        <v>29.47</v>
      </c>
      <c r="K460" s="3194">
        <v>11.16</v>
      </c>
      <c r="L460" s="3196"/>
    </row>
    <row r="461" spans="1:12">
      <c r="A461" s="3190">
        <v>460</v>
      </c>
      <c r="B461" s="3191" t="s">
        <v>5173</v>
      </c>
      <c r="C461" s="3191" t="s">
        <v>4007</v>
      </c>
      <c r="D461" s="3192" t="s">
        <v>5170</v>
      </c>
      <c r="E461" s="3191" t="s">
        <v>5174</v>
      </c>
      <c r="F461" s="3193" t="s">
        <v>4322</v>
      </c>
      <c r="G461" s="3197">
        <v>1160</v>
      </c>
      <c r="H461" s="3191" t="s">
        <v>5636</v>
      </c>
      <c r="I461" s="3191" t="s">
        <v>4472</v>
      </c>
      <c r="J461" s="3194">
        <v>29.47</v>
      </c>
      <c r="K461" s="3194">
        <v>11.16</v>
      </c>
      <c r="L461" s="3196"/>
    </row>
    <row r="462" spans="1:12">
      <c r="A462" s="3190">
        <v>461</v>
      </c>
      <c r="B462" s="3191" t="s">
        <v>4006</v>
      </c>
      <c r="C462" s="3191" t="s">
        <v>5169</v>
      </c>
      <c r="D462" s="3192" t="s">
        <v>5170</v>
      </c>
      <c r="E462" s="3191" t="s">
        <v>4008</v>
      </c>
      <c r="F462" s="3193" t="s">
        <v>5487</v>
      </c>
      <c r="G462" s="3197">
        <v>1161</v>
      </c>
      <c r="H462" s="3191" t="s">
        <v>4473</v>
      </c>
      <c r="I462" s="3191" t="s">
        <v>5637</v>
      </c>
      <c r="J462" s="3194">
        <v>29.47</v>
      </c>
      <c r="K462" s="3194">
        <v>11.16</v>
      </c>
      <c r="L462" s="3196"/>
    </row>
    <row r="463" spans="1:12">
      <c r="A463" s="3190">
        <v>462</v>
      </c>
      <c r="B463" s="3191" t="s">
        <v>5173</v>
      </c>
      <c r="C463" s="3191" t="s">
        <v>4007</v>
      </c>
      <c r="D463" s="3192" t="s">
        <v>5170</v>
      </c>
      <c r="E463" s="3191" t="s">
        <v>5174</v>
      </c>
      <c r="F463" s="3193" t="s">
        <v>4322</v>
      </c>
      <c r="G463" s="3197">
        <v>1162</v>
      </c>
      <c r="H463" s="3191" t="s">
        <v>5638</v>
      </c>
      <c r="I463" s="3191" t="s">
        <v>4474</v>
      </c>
      <c r="J463" s="3194">
        <v>29.47</v>
      </c>
      <c r="K463" s="3194">
        <v>11.16</v>
      </c>
      <c r="L463" s="3196"/>
    </row>
    <row r="464" spans="1:12">
      <c r="A464" s="3190">
        <v>463</v>
      </c>
      <c r="B464" s="3191" t="s">
        <v>4006</v>
      </c>
      <c r="C464" s="3191" t="s">
        <v>5169</v>
      </c>
      <c r="D464" s="3192" t="s">
        <v>5170</v>
      </c>
      <c r="E464" s="3191" t="s">
        <v>4008</v>
      </c>
      <c r="F464" s="3193" t="s">
        <v>5487</v>
      </c>
      <c r="G464" s="3197">
        <v>1163</v>
      </c>
      <c r="H464" s="3191" t="s">
        <v>4475</v>
      </c>
      <c r="I464" s="3191" t="s">
        <v>5639</v>
      </c>
      <c r="J464" s="3194">
        <v>29.47</v>
      </c>
      <c r="K464" s="3194">
        <v>11.16</v>
      </c>
      <c r="L464" s="3196"/>
    </row>
    <row r="465" spans="1:12">
      <c r="A465" s="3190">
        <v>464</v>
      </c>
      <c r="B465" s="3191" t="s">
        <v>5173</v>
      </c>
      <c r="C465" s="3191" t="s">
        <v>4007</v>
      </c>
      <c r="D465" s="3192" t="s">
        <v>5170</v>
      </c>
      <c r="E465" s="3191" t="s">
        <v>5174</v>
      </c>
      <c r="F465" s="3193" t="s">
        <v>4322</v>
      </c>
      <c r="G465" s="3197">
        <v>1164</v>
      </c>
      <c r="H465" s="3191" t="s">
        <v>5640</v>
      </c>
      <c r="I465" s="3191" t="s">
        <v>4476</v>
      </c>
      <c r="J465" s="3194">
        <v>29.47</v>
      </c>
      <c r="K465" s="3194">
        <v>11.16</v>
      </c>
      <c r="L465" s="3196"/>
    </row>
    <row r="466" spans="1:12">
      <c r="A466" s="3190">
        <v>465</v>
      </c>
      <c r="B466" s="3191" t="s">
        <v>4006</v>
      </c>
      <c r="C466" s="3191" t="s">
        <v>5169</v>
      </c>
      <c r="D466" s="3192" t="s">
        <v>5170</v>
      </c>
      <c r="E466" s="3191" t="s">
        <v>4008</v>
      </c>
      <c r="F466" s="3193" t="s">
        <v>5487</v>
      </c>
      <c r="G466" s="3197">
        <v>1165</v>
      </c>
      <c r="H466" s="3191" t="s">
        <v>4477</v>
      </c>
      <c r="I466" s="3191" t="s">
        <v>5641</v>
      </c>
      <c r="J466" s="3194">
        <v>28.18</v>
      </c>
      <c r="K466" s="3194">
        <v>10.67</v>
      </c>
      <c r="L466" s="3196"/>
    </row>
    <row r="467" spans="1:12">
      <c r="A467" s="3190">
        <v>466</v>
      </c>
      <c r="B467" s="3191" t="s">
        <v>5173</v>
      </c>
      <c r="C467" s="3191" t="s">
        <v>4007</v>
      </c>
      <c r="D467" s="3192" t="s">
        <v>5170</v>
      </c>
      <c r="E467" s="3191" t="s">
        <v>5174</v>
      </c>
      <c r="F467" s="3193" t="s">
        <v>4322</v>
      </c>
      <c r="G467" s="3197">
        <v>1166</v>
      </c>
      <c r="H467" s="3191" t="s">
        <v>5642</v>
      </c>
      <c r="I467" s="3191" t="s">
        <v>4478</v>
      </c>
      <c r="J467" s="3194">
        <v>28.18</v>
      </c>
      <c r="K467" s="3194">
        <v>10.67</v>
      </c>
      <c r="L467" s="3196"/>
    </row>
    <row r="468" spans="1:12">
      <c r="A468" s="3190">
        <v>467</v>
      </c>
      <c r="B468" s="3191" t="s">
        <v>4006</v>
      </c>
      <c r="C468" s="3191" t="s">
        <v>5169</v>
      </c>
      <c r="D468" s="3192" t="s">
        <v>5170</v>
      </c>
      <c r="E468" s="3191" t="s">
        <v>4008</v>
      </c>
      <c r="F468" s="3193" t="s">
        <v>5487</v>
      </c>
      <c r="G468" s="3197">
        <v>1167</v>
      </c>
      <c r="H468" s="3191" t="s">
        <v>4479</v>
      </c>
      <c r="I468" s="3191" t="s">
        <v>5643</v>
      </c>
      <c r="J468" s="3194">
        <v>29.47</v>
      </c>
      <c r="K468" s="3194">
        <v>11.16</v>
      </c>
      <c r="L468" s="3196"/>
    </row>
    <row r="469" spans="1:12">
      <c r="A469" s="3190">
        <v>468</v>
      </c>
      <c r="B469" s="3191" t="s">
        <v>5173</v>
      </c>
      <c r="C469" s="3191" t="s">
        <v>4007</v>
      </c>
      <c r="D469" s="3192" t="s">
        <v>5170</v>
      </c>
      <c r="E469" s="3191" t="s">
        <v>5174</v>
      </c>
      <c r="F469" s="3193" t="s">
        <v>4322</v>
      </c>
      <c r="G469" s="3197">
        <v>1168</v>
      </c>
      <c r="H469" s="3191" t="s">
        <v>5644</v>
      </c>
      <c r="I469" s="3191" t="s">
        <v>4480</v>
      </c>
      <c r="J469" s="3194">
        <v>29.47</v>
      </c>
      <c r="K469" s="3194">
        <v>11.16</v>
      </c>
      <c r="L469" s="3196"/>
    </row>
    <row r="470" spans="1:12">
      <c r="A470" s="3190">
        <v>469</v>
      </c>
      <c r="B470" s="3191" t="s">
        <v>4006</v>
      </c>
      <c r="C470" s="3191" t="s">
        <v>5169</v>
      </c>
      <c r="D470" s="3192" t="s">
        <v>5170</v>
      </c>
      <c r="E470" s="3191" t="s">
        <v>4008</v>
      </c>
      <c r="F470" s="3193" t="s">
        <v>5487</v>
      </c>
      <c r="G470" s="3197">
        <v>1169</v>
      </c>
      <c r="H470" s="3191" t="s">
        <v>4481</v>
      </c>
      <c r="I470" s="3191" t="s">
        <v>5645</v>
      </c>
      <c r="J470" s="3194">
        <v>29.47</v>
      </c>
      <c r="K470" s="3194">
        <v>11.16</v>
      </c>
      <c r="L470" s="3196"/>
    </row>
    <row r="471" spans="1:12">
      <c r="A471" s="3190">
        <v>470</v>
      </c>
      <c r="B471" s="3191" t="s">
        <v>5173</v>
      </c>
      <c r="C471" s="3191" t="s">
        <v>4007</v>
      </c>
      <c r="D471" s="3192" t="s">
        <v>5170</v>
      </c>
      <c r="E471" s="3191" t="s">
        <v>5174</v>
      </c>
      <c r="F471" s="3193" t="s">
        <v>4322</v>
      </c>
      <c r="G471" s="3197">
        <v>1170</v>
      </c>
      <c r="H471" s="3191" t="s">
        <v>5646</v>
      </c>
      <c r="I471" s="3191" t="s">
        <v>4482</v>
      </c>
      <c r="J471" s="3194">
        <v>29.47</v>
      </c>
      <c r="K471" s="3194">
        <v>11.16</v>
      </c>
      <c r="L471" s="3196"/>
    </row>
    <row r="472" spans="1:12">
      <c r="A472" s="3190">
        <v>471</v>
      </c>
      <c r="B472" s="3191" t="s">
        <v>4006</v>
      </c>
      <c r="C472" s="3191" t="s">
        <v>5169</v>
      </c>
      <c r="D472" s="3192" t="s">
        <v>5170</v>
      </c>
      <c r="E472" s="3191" t="s">
        <v>4008</v>
      </c>
      <c r="F472" s="3193" t="s">
        <v>5487</v>
      </c>
      <c r="G472" s="3197">
        <v>1171</v>
      </c>
      <c r="H472" s="3191" t="s">
        <v>4483</v>
      </c>
      <c r="I472" s="3191" t="s">
        <v>5647</v>
      </c>
      <c r="J472" s="3194">
        <v>29.47</v>
      </c>
      <c r="K472" s="3194">
        <v>11.16</v>
      </c>
      <c r="L472" s="3196"/>
    </row>
    <row r="473" spans="1:12">
      <c r="A473" s="3190">
        <v>472</v>
      </c>
      <c r="B473" s="3191" t="s">
        <v>5173</v>
      </c>
      <c r="C473" s="3191" t="s">
        <v>4007</v>
      </c>
      <c r="D473" s="3192" t="s">
        <v>5170</v>
      </c>
      <c r="E473" s="3191" t="s">
        <v>5174</v>
      </c>
      <c r="F473" s="3193" t="s">
        <v>4322</v>
      </c>
      <c r="G473" s="3197">
        <v>1172</v>
      </c>
      <c r="H473" s="3191" t="s">
        <v>5648</v>
      </c>
      <c r="I473" s="3191" t="s">
        <v>4484</v>
      </c>
      <c r="J473" s="3194">
        <v>29.47</v>
      </c>
      <c r="K473" s="3194">
        <v>11.16</v>
      </c>
      <c r="L473" s="3196"/>
    </row>
    <row r="474" spans="1:12">
      <c r="A474" s="3190">
        <v>473</v>
      </c>
      <c r="B474" s="3191" t="s">
        <v>4006</v>
      </c>
      <c r="C474" s="3191" t="s">
        <v>5169</v>
      </c>
      <c r="D474" s="3192" t="s">
        <v>5170</v>
      </c>
      <c r="E474" s="3191" t="s">
        <v>4008</v>
      </c>
      <c r="F474" s="3207" t="s">
        <v>5494</v>
      </c>
      <c r="G474" s="3197">
        <v>1173</v>
      </c>
      <c r="H474" s="3191" t="s">
        <v>4485</v>
      </c>
      <c r="I474" s="3191" t="s">
        <v>5649</v>
      </c>
      <c r="J474" s="3194">
        <v>29.47</v>
      </c>
      <c r="K474" s="3194">
        <v>11.16</v>
      </c>
      <c r="L474" s="3196"/>
    </row>
    <row r="475" spans="1:12">
      <c r="A475" s="3190">
        <v>474</v>
      </c>
      <c r="B475" s="3191" t="s">
        <v>5173</v>
      </c>
      <c r="C475" s="3191" t="s">
        <v>4007</v>
      </c>
      <c r="D475" s="3192" t="s">
        <v>5170</v>
      </c>
      <c r="E475" s="3191" t="s">
        <v>5174</v>
      </c>
      <c r="F475" s="3193" t="s">
        <v>4322</v>
      </c>
      <c r="G475" s="3197">
        <v>1174</v>
      </c>
      <c r="H475" s="3191" t="s">
        <v>5650</v>
      </c>
      <c r="I475" s="3191" t="s">
        <v>4486</v>
      </c>
      <c r="J475" s="3194">
        <v>29.47</v>
      </c>
      <c r="K475" s="3194">
        <v>11.16</v>
      </c>
      <c r="L475" s="3196"/>
    </row>
    <row r="476" spans="1:12">
      <c r="A476" s="3190">
        <v>475</v>
      </c>
      <c r="B476" s="3191" t="s">
        <v>4006</v>
      </c>
      <c r="C476" s="3191" t="s">
        <v>5169</v>
      </c>
      <c r="D476" s="3192" t="s">
        <v>5170</v>
      </c>
      <c r="E476" s="3191" t="s">
        <v>4008</v>
      </c>
      <c r="F476" s="3193" t="s">
        <v>5487</v>
      </c>
      <c r="G476" s="3197">
        <v>1175</v>
      </c>
      <c r="H476" s="3191" t="s">
        <v>4487</v>
      </c>
      <c r="I476" s="3191" t="s">
        <v>5651</v>
      </c>
      <c r="J476" s="3203">
        <v>33.299999999999997</v>
      </c>
      <c r="K476" s="3194">
        <v>12.61</v>
      </c>
      <c r="L476" s="3196"/>
    </row>
    <row r="477" spans="1:12">
      <c r="A477" s="3190">
        <v>476</v>
      </c>
      <c r="B477" s="3191" t="s">
        <v>5173</v>
      </c>
      <c r="C477" s="3191" t="s">
        <v>4007</v>
      </c>
      <c r="D477" s="3192" t="s">
        <v>5170</v>
      </c>
      <c r="E477" s="3191" t="s">
        <v>5174</v>
      </c>
      <c r="F477" s="3193" t="s">
        <v>4322</v>
      </c>
      <c r="G477" s="3197">
        <v>1176</v>
      </c>
      <c r="H477" s="3191" t="s">
        <v>5652</v>
      </c>
      <c r="I477" s="3191" t="s">
        <v>4488</v>
      </c>
      <c r="J477" s="3194">
        <v>30.74</v>
      </c>
      <c r="K477" s="3194">
        <v>11.64</v>
      </c>
      <c r="L477" s="3196"/>
    </row>
    <row r="478" spans="1:12">
      <c r="A478" s="3190">
        <v>477</v>
      </c>
      <c r="B478" s="3191" t="s">
        <v>4006</v>
      </c>
      <c r="C478" s="3191" t="s">
        <v>5169</v>
      </c>
      <c r="D478" s="3192" t="s">
        <v>5170</v>
      </c>
      <c r="E478" s="3191" t="s">
        <v>4008</v>
      </c>
      <c r="F478" s="3193" t="s">
        <v>5487</v>
      </c>
      <c r="G478" s="3197">
        <v>1177</v>
      </c>
      <c r="H478" s="3191" t="s">
        <v>4489</v>
      </c>
      <c r="I478" s="3191" t="s">
        <v>5653</v>
      </c>
      <c r="J478" s="3194">
        <v>28.18</v>
      </c>
      <c r="K478" s="3194">
        <v>10.67</v>
      </c>
      <c r="L478" s="3196"/>
    </row>
    <row r="479" spans="1:12">
      <c r="A479" s="3190">
        <v>478</v>
      </c>
      <c r="B479" s="3191" t="s">
        <v>5173</v>
      </c>
      <c r="C479" s="3191" t="s">
        <v>4007</v>
      </c>
      <c r="D479" s="3192" t="s">
        <v>5170</v>
      </c>
      <c r="E479" s="3191" t="s">
        <v>5174</v>
      </c>
      <c r="F479" s="3193" t="s">
        <v>4322</v>
      </c>
      <c r="G479" s="3197">
        <v>1178</v>
      </c>
      <c r="H479" s="3191" t="s">
        <v>5654</v>
      </c>
      <c r="I479" s="3191" t="s">
        <v>4490</v>
      </c>
      <c r="J479" s="3194">
        <v>28.18</v>
      </c>
      <c r="K479" s="3194">
        <v>10.67</v>
      </c>
      <c r="L479" s="3196"/>
    </row>
    <row r="480" spans="1:12">
      <c r="A480" s="3190">
        <v>479</v>
      </c>
      <c r="B480" s="3191" t="s">
        <v>4006</v>
      </c>
      <c r="C480" s="3191" t="s">
        <v>5169</v>
      </c>
      <c r="D480" s="3192" t="s">
        <v>5170</v>
      </c>
      <c r="E480" s="3191" t="s">
        <v>4008</v>
      </c>
      <c r="F480" s="3193" t="s">
        <v>5487</v>
      </c>
      <c r="G480" s="3197">
        <v>1179</v>
      </c>
      <c r="H480" s="3191" t="s">
        <v>4491</v>
      </c>
      <c r="I480" s="3191" t="s">
        <v>5655</v>
      </c>
      <c r="J480" s="3194">
        <v>30.74</v>
      </c>
      <c r="K480" s="3194">
        <v>11.64</v>
      </c>
      <c r="L480" s="3196"/>
    </row>
    <row r="481" spans="1:12">
      <c r="A481" s="3190">
        <v>480</v>
      </c>
      <c r="B481" s="3191" t="s">
        <v>5173</v>
      </c>
      <c r="C481" s="3191" t="s">
        <v>4007</v>
      </c>
      <c r="D481" s="3192" t="s">
        <v>5170</v>
      </c>
      <c r="E481" s="3191" t="s">
        <v>5174</v>
      </c>
      <c r="F481" s="3193" t="s">
        <v>4322</v>
      </c>
      <c r="G481" s="3197">
        <v>1180</v>
      </c>
      <c r="H481" s="3191" t="s">
        <v>5656</v>
      </c>
      <c r="I481" s="3191" t="s">
        <v>4492</v>
      </c>
      <c r="J481" s="3194">
        <v>30.74</v>
      </c>
      <c r="K481" s="3194">
        <v>11.64</v>
      </c>
      <c r="L481" s="3196"/>
    </row>
    <row r="482" spans="1:12">
      <c r="A482" s="3190">
        <v>481</v>
      </c>
      <c r="B482" s="3191" t="s">
        <v>4006</v>
      </c>
      <c r="C482" s="3191" t="s">
        <v>5169</v>
      </c>
      <c r="D482" s="3192" t="s">
        <v>5170</v>
      </c>
      <c r="E482" s="3191" t="s">
        <v>4008</v>
      </c>
      <c r="F482" s="3207" t="s">
        <v>5494</v>
      </c>
      <c r="G482" s="3197">
        <v>1181</v>
      </c>
      <c r="H482" s="3191" t="s">
        <v>4493</v>
      </c>
      <c r="I482" s="3191" t="s">
        <v>5657</v>
      </c>
      <c r="J482" s="3194">
        <v>28.18</v>
      </c>
      <c r="K482" s="3194">
        <v>10.67</v>
      </c>
      <c r="L482" s="3196"/>
    </row>
    <row r="483" spans="1:12">
      <c r="A483" s="3190">
        <v>482</v>
      </c>
      <c r="B483" s="3191" t="s">
        <v>5173</v>
      </c>
      <c r="C483" s="3191" t="s">
        <v>4007</v>
      </c>
      <c r="D483" s="3192" t="s">
        <v>5170</v>
      </c>
      <c r="E483" s="3191" t="s">
        <v>5174</v>
      </c>
      <c r="F483" s="3207" t="s">
        <v>4330</v>
      </c>
      <c r="G483" s="3197">
        <v>1182</v>
      </c>
      <c r="H483" s="3191" t="s">
        <v>5658</v>
      </c>
      <c r="I483" s="3191" t="s">
        <v>4494</v>
      </c>
      <c r="J483" s="3194">
        <v>28.18</v>
      </c>
      <c r="K483" s="3194">
        <v>10.67</v>
      </c>
      <c r="L483" s="3196"/>
    </row>
    <row r="484" spans="1:12">
      <c r="A484" s="3190">
        <v>483</v>
      </c>
      <c r="B484" s="3191" t="s">
        <v>4006</v>
      </c>
      <c r="C484" s="3191" t="s">
        <v>5169</v>
      </c>
      <c r="D484" s="3192" t="s">
        <v>5170</v>
      </c>
      <c r="E484" s="3191" t="s">
        <v>4008</v>
      </c>
      <c r="F484" s="3193" t="s">
        <v>5487</v>
      </c>
      <c r="G484" s="3197">
        <v>1184</v>
      </c>
      <c r="H484" s="3191" t="s">
        <v>4495</v>
      </c>
      <c r="I484" s="3191" t="s">
        <v>5659</v>
      </c>
      <c r="J484" s="3194">
        <v>29.47</v>
      </c>
      <c r="K484" s="3194">
        <v>11.16</v>
      </c>
      <c r="L484" s="3196"/>
    </row>
    <row r="485" spans="1:12">
      <c r="A485" s="3190">
        <v>484</v>
      </c>
      <c r="B485" s="3191" t="s">
        <v>5173</v>
      </c>
      <c r="C485" s="3191" t="s">
        <v>4007</v>
      </c>
      <c r="D485" s="3192" t="s">
        <v>5170</v>
      </c>
      <c r="E485" s="3191" t="s">
        <v>5174</v>
      </c>
      <c r="F485" s="3193" t="s">
        <v>4322</v>
      </c>
      <c r="G485" s="3197">
        <v>1185</v>
      </c>
      <c r="H485" s="3191" t="s">
        <v>5660</v>
      </c>
      <c r="I485" s="3191" t="s">
        <v>4496</v>
      </c>
      <c r="J485" s="3194">
        <v>29.47</v>
      </c>
      <c r="K485" s="3194">
        <v>11.16</v>
      </c>
      <c r="L485" s="3196"/>
    </row>
    <row r="486" spans="1:12">
      <c r="A486" s="3190">
        <v>485</v>
      </c>
      <c r="B486" s="3191" t="s">
        <v>4006</v>
      </c>
      <c r="C486" s="3191" t="s">
        <v>5169</v>
      </c>
      <c r="D486" s="3192" t="s">
        <v>5170</v>
      </c>
      <c r="E486" s="3191" t="s">
        <v>4008</v>
      </c>
      <c r="F486" s="3193" t="s">
        <v>5487</v>
      </c>
      <c r="G486" s="3197">
        <v>1186</v>
      </c>
      <c r="H486" s="3191" t="s">
        <v>4497</v>
      </c>
      <c r="I486" s="3191" t="s">
        <v>5661</v>
      </c>
      <c r="J486" s="3194">
        <v>29.47</v>
      </c>
      <c r="K486" s="3194">
        <v>11.16</v>
      </c>
      <c r="L486" s="3196"/>
    </row>
    <row r="487" spans="1:12">
      <c r="A487" s="3190">
        <v>486</v>
      </c>
      <c r="B487" s="3191" t="s">
        <v>5173</v>
      </c>
      <c r="C487" s="3191" t="s">
        <v>4007</v>
      </c>
      <c r="D487" s="3192" t="s">
        <v>5170</v>
      </c>
      <c r="E487" s="3191" t="s">
        <v>5174</v>
      </c>
      <c r="F487" s="3193" t="s">
        <v>4322</v>
      </c>
      <c r="G487" s="3197">
        <v>1187</v>
      </c>
      <c r="H487" s="3191" t="s">
        <v>5662</v>
      </c>
      <c r="I487" s="3191" t="s">
        <v>4498</v>
      </c>
      <c r="J487" s="3194">
        <v>29.47</v>
      </c>
      <c r="K487" s="3194">
        <v>11.16</v>
      </c>
      <c r="L487" s="3196"/>
    </row>
    <row r="488" spans="1:12">
      <c r="A488" s="3190">
        <v>487</v>
      </c>
      <c r="B488" s="3191" t="s">
        <v>4006</v>
      </c>
      <c r="C488" s="3191" t="s">
        <v>5169</v>
      </c>
      <c r="D488" s="3192" t="s">
        <v>5170</v>
      </c>
      <c r="E488" s="3191" t="s">
        <v>4008</v>
      </c>
      <c r="F488" s="3193" t="s">
        <v>5487</v>
      </c>
      <c r="G488" s="3197">
        <v>1188</v>
      </c>
      <c r="H488" s="3191" t="s">
        <v>4499</v>
      </c>
      <c r="I488" s="3191" t="s">
        <v>5663</v>
      </c>
      <c r="J488" s="3194">
        <v>29.47</v>
      </c>
      <c r="K488" s="3194">
        <v>11.16</v>
      </c>
      <c r="L488" s="3196"/>
    </row>
    <row r="489" spans="1:12">
      <c r="A489" s="3190">
        <v>488</v>
      </c>
      <c r="B489" s="3191" t="s">
        <v>5173</v>
      </c>
      <c r="C489" s="3191" t="s">
        <v>4007</v>
      </c>
      <c r="D489" s="3192" t="s">
        <v>5170</v>
      </c>
      <c r="E489" s="3191" t="s">
        <v>5174</v>
      </c>
      <c r="F489" s="3193" t="s">
        <v>4322</v>
      </c>
      <c r="G489" s="3197">
        <v>1189</v>
      </c>
      <c r="H489" s="3191" t="s">
        <v>5664</v>
      </c>
      <c r="I489" s="3191" t="s">
        <v>4500</v>
      </c>
      <c r="J489" s="3194">
        <v>29.47</v>
      </c>
      <c r="K489" s="3194">
        <v>11.16</v>
      </c>
      <c r="L489" s="3196"/>
    </row>
    <row r="490" spans="1:12">
      <c r="A490" s="3190">
        <v>489</v>
      </c>
      <c r="B490" s="3191" t="s">
        <v>4006</v>
      </c>
      <c r="C490" s="3191" t="s">
        <v>5169</v>
      </c>
      <c r="D490" s="3192" t="s">
        <v>5170</v>
      </c>
      <c r="E490" s="3191" t="s">
        <v>4008</v>
      </c>
      <c r="F490" s="3193" t="s">
        <v>5487</v>
      </c>
      <c r="G490" s="3197">
        <v>1190</v>
      </c>
      <c r="H490" s="3191" t="s">
        <v>4501</v>
      </c>
      <c r="I490" s="3191" t="s">
        <v>5665</v>
      </c>
      <c r="J490" s="3194">
        <v>29.47</v>
      </c>
      <c r="K490" s="3194">
        <v>11.16</v>
      </c>
      <c r="L490" s="3196"/>
    </row>
    <row r="491" spans="1:12">
      <c r="A491" s="3190">
        <v>490</v>
      </c>
      <c r="B491" s="3191" t="s">
        <v>5173</v>
      </c>
      <c r="C491" s="3191" t="s">
        <v>4007</v>
      </c>
      <c r="D491" s="3192" t="s">
        <v>5170</v>
      </c>
      <c r="E491" s="3191" t="s">
        <v>5174</v>
      </c>
      <c r="F491" s="3193" t="s">
        <v>4322</v>
      </c>
      <c r="G491" s="3197">
        <v>1191</v>
      </c>
      <c r="H491" s="3191" t="s">
        <v>5666</v>
      </c>
      <c r="I491" s="3191" t="s">
        <v>4502</v>
      </c>
      <c r="J491" s="3194">
        <v>29.47</v>
      </c>
      <c r="K491" s="3194">
        <v>11.16</v>
      </c>
      <c r="L491" s="3196"/>
    </row>
    <row r="492" spans="1:12">
      <c r="A492" s="3190">
        <v>491</v>
      </c>
      <c r="B492" s="3191" t="s">
        <v>4006</v>
      </c>
      <c r="C492" s="3191" t="s">
        <v>5169</v>
      </c>
      <c r="D492" s="3192" t="s">
        <v>5170</v>
      </c>
      <c r="E492" s="3191" t="s">
        <v>4008</v>
      </c>
      <c r="F492" s="3193" t="s">
        <v>5487</v>
      </c>
      <c r="G492" s="3197">
        <v>1192</v>
      </c>
      <c r="H492" s="3191" t="s">
        <v>4503</v>
      </c>
      <c r="I492" s="3191" t="s">
        <v>5667</v>
      </c>
      <c r="J492" s="3194">
        <v>29.47</v>
      </c>
      <c r="K492" s="3194">
        <v>11.16</v>
      </c>
      <c r="L492" s="3196"/>
    </row>
    <row r="493" spans="1:12">
      <c r="A493" s="3190">
        <v>492</v>
      </c>
      <c r="B493" s="3191" t="s">
        <v>5173</v>
      </c>
      <c r="C493" s="3191" t="s">
        <v>4007</v>
      </c>
      <c r="D493" s="3192" t="s">
        <v>5170</v>
      </c>
      <c r="E493" s="3191" t="s">
        <v>5174</v>
      </c>
      <c r="F493" s="3193" t="s">
        <v>4322</v>
      </c>
      <c r="G493" s="3197">
        <v>1193</v>
      </c>
      <c r="H493" s="3191" t="s">
        <v>5668</v>
      </c>
      <c r="I493" s="3191" t="s">
        <v>4504</v>
      </c>
      <c r="J493" s="3194">
        <v>30.74</v>
      </c>
      <c r="K493" s="3194">
        <v>11.64</v>
      </c>
      <c r="L493" s="3196"/>
    </row>
    <row r="494" spans="1:12">
      <c r="A494" s="3190">
        <v>493</v>
      </c>
      <c r="B494" s="3191" t="s">
        <v>4006</v>
      </c>
      <c r="C494" s="3191" t="s">
        <v>5169</v>
      </c>
      <c r="D494" s="3192" t="s">
        <v>5170</v>
      </c>
      <c r="E494" s="3191" t="s">
        <v>4008</v>
      </c>
      <c r="F494" s="3193" t="s">
        <v>5487</v>
      </c>
      <c r="G494" s="3197">
        <v>1194</v>
      </c>
      <c r="H494" s="3191" t="s">
        <v>4505</v>
      </c>
      <c r="I494" s="3191" t="s">
        <v>5669</v>
      </c>
      <c r="J494" s="3194">
        <v>29.47</v>
      </c>
      <c r="K494" s="3194">
        <v>11.16</v>
      </c>
      <c r="L494" s="3196"/>
    </row>
    <row r="495" spans="1:12">
      <c r="A495" s="3190">
        <v>494</v>
      </c>
      <c r="B495" s="3191" t="s">
        <v>5173</v>
      </c>
      <c r="C495" s="3191" t="s">
        <v>4007</v>
      </c>
      <c r="D495" s="3192" t="s">
        <v>5170</v>
      </c>
      <c r="E495" s="3191" t="s">
        <v>5174</v>
      </c>
      <c r="F495" s="3193" t="s">
        <v>4322</v>
      </c>
      <c r="G495" s="3197">
        <v>1195</v>
      </c>
      <c r="H495" s="3191" t="s">
        <v>5670</v>
      </c>
      <c r="I495" s="3191" t="s">
        <v>4506</v>
      </c>
      <c r="J495" s="3194">
        <v>30.74</v>
      </c>
      <c r="K495" s="3194">
        <v>11.64</v>
      </c>
      <c r="L495" s="3196"/>
    </row>
    <row r="496" spans="1:12">
      <c r="A496" s="3190">
        <v>495</v>
      </c>
      <c r="B496" s="3191" t="s">
        <v>4006</v>
      </c>
      <c r="C496" s="3191" t="s">
        <v>5169</v>
      </c>
      <c r="D496" s="3192" t="s">
        <v>5170</v>
      </c>
      <c r="E496" s="3191" t="s">
        <v>4008</v>
      </c>
      <c r="F496" s="3193" t="s">
        <v>5487</v>
      </c>
      <c r="G496" s="3197">
        <v>1196</v>
      </c>
      <c r="H496" s="3191" t="s">
        <v>4507</v>
      </c>
      <c r="I496" s="3191" t="s">
        <v>5671</v>
      </c>
      <c r="J496" s="3194">
        <v>30.74</v>
      </c>
      <c r="K496" s="3194">
        <v>11.64</v>
      </c>
      <c r="L496" s="3196"/>
    </row>
    <row r="497" spans="1:12">
      <c r="A497" s="3190">
        <v>496</v>
      </c>
      <c r="B497" s="3191" t="s">
        <v>5173</v>
      </c>
      <c r="C497" s="3191" t="s">
        <v>4007</v>
      </c>
      <c r="D497" s="3192" t="s">
        <v>5170</v>
      </c>
      <c r="E497" s="3191" t="s">
        <v>5174</v>
      </c>
      <c r="F497" s="3207" t="s">
        <v>4330</v>
      </c>
      <c r="G497" s="3197">
        <v>1197</v>
      </c>
      <c r="H497" s="3191" t="s">
        <v>5672</v>
      </c>
      <c r="I497" s="3191" t="s">
        <v>4508</v>
      </c>
      <c r="J497" s="3194">
        <v>29.47</v>
      </c>
      <c r="K497" s="3194">
        <v>11.16</v>
      </c>
      <c r="L497" s="3196"/>
    </row>
    <row r="498" spans="1:12">
      <c r="A498" s="3190">
        <v>497</v>
      </c>
      <c r="B498" s="3191" t="s">
        <v>4006</v>
      </c>
      <c r="C498" s="3191" t="s">
        <v>5169</v>
      </c>
      <c r="D498" s="3192" t="s">
        <v>5170</v>
      </c>
      <c r="E498" s="3191" t="s">
        <v>4008</v>
      </c>
      <c r="F498" s="3193" t="s">
        <v>5487</v>
      </c>
      <c r="G498" s="3197">
        <v>1198</v>
      </c>
      <c r="H498" s="3191" t="s">
        <v>4509</v>
      </c>
      <c r="I498" s="3191" t="s">
        <v>5673</v>
      </c>
      <c r="J498" s="3194">
        <v>29.47</v>
      </c>
      <c r="K498" s="3194">
        <v>11.16</v>
      </c>
      <c r="L498" s="3196"/>
    </row>
    <row r="499" spans="1:12">
      <c r="A499" s="3190">
        <v>498</v>
      </c>
      <c r="B499" s="3191" t="s">
        <v>5173</v>
      </c>
      <c r="C499" s="3191" t="s">
        <v>4007</v>
      </c>
      <c r="D499" s="3192" t="s">
        <v>5170</v>
      </c>
      <c r="E499" s="3191" t="s">
        <v>5174</v>
      </c>
      <c r="F499" s="3193" t="s">
        <v>4322</v>
      </c>
      <c r="G499" s="3197">
        <v>1199</v>
      </c>
      <c r="H499" s="3191" t="s">
        <v>5674</v>
      </c>
      <c r="I499" s="3191" t="s">
        <v>4510</v>
      </c>
      <c r="J499" s="3194">
        <v>29.47</v>
      </c>
      <c r="K499" s="3194">
        <v>11.16</v>
      </c>
      <c r="L499" s="3196"/>
    </row>
    <row r="500" spans="1:12">
      <c r="A500" s="3190">
        <v>499</v>
      </c>
      <c r="B500" s="3191" t="s">
        <v>4006</v>
      </c>
      <c r="C500" s="3191" t="s">
        <v>5169</v>
      </c>
      <c r="D500" s="3192" t="s">
        <v>5170</v>
      </c>
      <c r="E500" s="3191" t="s">
        <v>4008</v>
      </c>
      <c r="F500" s="3193" t="s">
        <v>5487</v>
      </c>
      <c r="G500" s="3197">
        <v>1200</v>
      </c>
      <c r="H500" s="3191" t="s">
        <v>4511</v>
      </c>
      <c r="I500" s="3191" t="s">
        <v>5675</v>
      </c>
      <c r="J500" s="3194">
        <v>29.47</v>
      </c>
      <c r="K500" s="3194">
        <v>11.16</v>
      </c>
      <c r="L500" s="3196"/>
    </row>
    <row r="501" spans="1:12">
      <c r="A501" s="3190">
        <v>500</v>
      </c>
      <c r="B501" s="3191" t="s">
        <v>5173</v>
      </c>
      <c r="C501" s="3191" t="s">
        <v>4007</v>
      </c>
      <c r="D501" s="3192" t="s">
        <v>5170</v>
      </c>
      <c r="E501" s="3191" t="s">
        <v>5174</v>
      </c>
      <c r="F501" s="3193" t="s">
        <v>4322</v>
      </c>
      <c r="G501" s="3197">
        <v>1201</v>
      </c>
      <c r="H501" s="3191" t="s">
        <v>5676</v>
      </c>
      <c r="I501" s="3191" t="s">
        <v>4512</v>
      </c>
      <c r="J501" s="3194">
        <v>29.47</v>
      </c>
      <c r="K501" s="3194">
        <v>11.16</v>
      </c>
      <c r="L501" s="3196"/>
    </row>
    <row r="502" spans="1:12">
      <c r="A502" s="3190">
        <v>501</v>
      </c>
      <c r="B502" s="3191" t="s">
        <v>4006</v>
      </c>
      <c r="C502" s="3191" t="s">
        <v>5169</v>
      </c>
      <c r="D502" s="3192" t="s">
        <v>5170</v>
      </c>
      <c r="E502" s="3191" t="s">
        <v>4008</v>
      </c>
      <c r="F502" s="3193" t="s">
        <v>5487</v>
      </c>
      <c r="G502" s="3197">
        <v>1202</v>
      </c>
      <c r="H502" s="3191" t="s">
        <v>4513</v>
      </c>
      <c r="I502" s="3191" t="s">
        <v>5677</v>
      </c>
      <c r="J502" s="3194">
        <v>29.47</v>
      </c>
      <c r="K502" s="3194">
        <v>11.16</v>
      </c>
      <c r="L502" s="3196"/>
    </row>
    <row r="503" spans="1:12">
      <c r="A503" s="3190">
        <v>502</v>
      </c>
      <c r="B503" s="3191" t="s">
        <v>5173</v>
      </c>
      <c r="C503" s="3191" t="s">
        <v>4007</v>
      </c>
      <c r="D503" s="3192" t="s">
        <v>5170</v>
      </c>
      <c r="E503" s="3191" t="s">
        <v>5174</v>
      </c>
      <c r="F503" s="3193" t="s">
        <v>4322</v>
      </c>
      <c r="G503" s="3197">
        <v>1203</v>
      </c>
      <c r="H503" s="3191" t="s">
        <v>5678</v>
      </c>
      <c r="I503" s="3191" t="s">
        <v>4514</v>
      </c>
      <c r="J503" s="3194">
        <v>29.47</v>
      </c>
      <c r="K503" s="3194">
        <v>11.16</v>
      </c>
      <c r="L503" s="3196"/>
    </row>
    <row r="504" spans="1:12">
      <c r="A504" s="3190">
        <v>503</v>
      </c>
      <c r="B504" s="3191" t="s">
        <v>4006</v>
      </c>
      <c r="C504" s="3191" t="s">
        <v>5169</v>
      </c>
      <c r="D504" s="3192" t="s">
        <v>5170</v>
      </c>
      <c r="E504" s="3191" t="s">
        <v>4008</v>
      </c>
      <c r="F504" s="3193" t="s">
        <v>5487</v>
      </c>
      <c r="G504" s="3197">
        <v>1204</v>
      </c>
      <c r="H504" s="3191" t="s">
        <v>4515</v>
      </c>
      <c r="I504" s="3191" t="s">
        <v>5679</v>
      </c>
      <c r="J504" s="3194">
        <v>29.47</v>
      </c>
      <c r="K504" s="3194">
        <v>11.16</v>
      </c>
      <c r="L504" s="3196"/>
    </row>
    <row r="505" spans="1:12">
      <c r="A505" s="3190">
        <v>504</v>
      </c>
      <c r="B505" s="3191" t="s">
        <v>5173</v>
      </c>
      <c r="C505" s="3191" t="s">
        <v>4007</v>
      </c>
      <c r="D505" s="3192" t="s">
        <v>5170</v>
      </c>
      <c r="E505" s="3191" t="s">
        <v>5174</v>
      </c>
      <c r="F505" s="3193" t="s">
        <v>4322</v>
      </c>
      <c r="G505" s="3197">
        <v>1205</v>
      </c>
      <c r="H505" s="3191" t="s">
        <v>5680</v>
      </c>
      <c r="I505" s="3191" t="s">
        <v>4516</v>
      </c>
      <c r="J505" s="3194">
        <v>29.47</v>
      </c>
      <c r="K505" s="3194">
        <v>11.16</v>
      </c>
      <c r="L505" s="3196"/>
    </row>
    <row r="506" spans="1:12">
      <c r="A506" s="3190">
        <v>505</v>
      </c>
      <c r="B506" s="3191" t="s">
        <v>4006</v>
      </c>
      <c r="C506" s="3191" t="s">
        <v>5169</v>
      </c>
      <c r="D506" s="3192" t="s">
        <v>5170</v>
      </c>
      <c r="E506" s="3191" t="s">
        <v>4008</v>
      </c>
      <c r="F506" s="3193" t="s">
        <v>5487</v>
      </c>
      <c r="G506" s="3197">
        <v>1206</v>
      </c>
      <c r="H506" s="3191" t="s">
        <v>4517</v>
      </c>
      <c r="I506" s="3191" t="s">
        <v>5681</v>
      </c>
      <c r="J506" s="3194">
        <v>29.47</v>
      </c>
      <c r="K506" s="3194">
        <v>11.16</v>
      </c>
      <c r="L506" s="3196"/>
    </row>
    <row r="507" spans="1:12">
      <c r="A507" s="3190">
        <v>506</v>
      </c>
      <c r="B507" s="3191" t="s">
        <v>5173</v>
      </c>
      <c r="C507" s="3191" t="s">
        <v>4007</v>
      </c>
      <c r="D507" s="3192" t="s">
        <v>5170</v>
      </c>
      <c r="E507" s="3191" t="s">
        <v>5174</v>
      </c>
      <c r="F507" s="3193" t="s">
        <v>4322</v>
      </c>
      <c r="G507" s="3197">
        <v>1207</v>
      </c>
      <c r="H507" s="3191" t="s">
        <v>5682</v>
      </c>
      <c r="I507" s="3191" t="s">
        <v>4518</v>
      </c>
      <c r="J507" s="3194">
        <v>28.18</v>
      </c>
      <c r="K507" s="3194">
        <v>10.67</v>
      </c>
      <c r="L507" s="3196"/>
    </row>
    <row r="508" spans="1:12">
      <c r="A508" s="3190">
        <v>507</v>
      </c>
      <c r="B508" s="3191" t="s">
        <v>4006</v>
      </c>
      <c r="C508" s="3191" t="s">
        <v>5169</v>
      </c>
      <c r="D508" s="3192" t="s">
        <v>5170</v>
      </c>
      <c r="E508" s="3191" t="s">
        <v>4008</v>
      </c>
      <c r="F508" s="3193" t="s">
        <v>5487</v>
      </c>
      <c r="G508" s="3197">
        <v>1208</v>
      </c>
      <c r="H508" s="3191" t="s">
        <v>4519</v>
      </c>
      <c r="I508" s="3191" t="s">
        <v>5683</v>
      </c>
      <c r="J508" s="3194">
        <v>29.47</v>
      </c>
      <c r="K508" s="3194">
        <v>11.16</v>
      </c>
      <c r="L508" s="3196"/>
    </row>
    <row r="509" spans="1:12">
      <c r="A509" s="3190">
        <v>508</v>
      </c>
      <c r="B509" s="3191" t="s">
        <v>5173</v>
      </c>
      <c r="C509" s="3191" t="s">
        <v>4007</v>
      </c>
      <c r="D509" s="3192" t="s">
        <v>5170</v>
      </c>
      <c r="E509" s="3191" t="s">
        <v>5174</v>
      </c>
      <c r="F509" s="3193" t="s">
        <v>4322</v>
      </c>
      <c r="G509" s="3197">
        <v>1212</v>
      </c>
      <c r="H509" s="3191" t="s">
        <v>5684</v>
      </c>
      <c r="I509" s="3191" t="s">
        <v>4520</v>
      </c>
      <c r="J509" s="3194">
        <v>29.47</v>
      </c>
      <c r="K509" s="3194">
        <v>11.16</v>
      </c>
      <c r="L509" s="3196"/>
    </row>
    <row r="510" spans="1:12">
      <c r="A510" s="3190">
        <v>509</v>
      </c>
      <c r="B510" s="3191" t="s">
        <v>4006</v>
      </c>
      <c r="C510" s="3191" t="s">
        <v>5169</v>
      </c>
      <c r="D510" s="3192" t="s">
        <v>5170</v>
      </c>
      <c r="E510" s="3191" t="s">
        <v>4008</v>
      </c>
      <c r="F510" s="3193" t="s">
        <v>5487</v>
      </c>
      <c r="G510" s="3197">
        <v>1213</v>
      </c>
      <c r="H510" s="3191" t="s">
        <v>4521</v>
      </c>
      <c r="I510" s="3191" t="s">
        <v>5685</v>
      </c>
      <c r="J510" s="3194">
        <v>29.47</v>
      </c>
      <c r="K510" s="3194">
        <v>11.16</v>
      </c>
      <c r="L510" s="3196"/>
    </row>
    <row r="511" spans="1:12">
      <c r="A511" s="3190">
        <v>510</v>
      </c>
      <c r="B511" s="3191" t="s">
        <v>5173</v>
      </c>
      <c r="C511" s="3191" t="s">
        <v>4007</v>
      </c>
      <c r="D511" s="3192" t="s">
        <v>5170</v>
      </c>
      <c r="E511" s="3191" t="s">
        <v>5174</v>
      </c>
      <c r="F511" s="3193" t="s">
        <v>4322</v>
      </c>
      <c r="G511" s="3197">
        <v>1214</v>
      </c>
      <c r="H511" s="3191" t="s">
        <v>5686</v>
      </c>
      <c r="I511" s="3191" t="s">
        <v>4522</v>
      </c>
      <c r="J511" s="3194">
        <v>29.47</v>
      </c>
      <c r="K511" s="3194">
        <v>11.16</v>
      </c>
      <c r="L511" s="3196"/>
    </row>
    <row r="512" spans="1:12">
      <c r="A512" s="3190">
        <v>511</v>
      </c>
      <c r="B512" s="3191" t="s">
        <v>4006</v>
      </c>
      <c r="C512" s="3191" t="s">
        <v>5169</v>
      </c>
      <c r="D512" s="3192" t="s">
        <v>5170</v>
      </c>
      <c r="E512" s="3191" t="s">
        <v>4008</v>
      </c>
      <c r="F512" s="3193" t="s">
        <v>5487</v>
      </c>
      <c r="G512" s="3197">
        <v>1215</v>
      </c>
      <c r="H512" s="3191" t="s">
        <v>4523</v>
      </c>
      <c r="I512" s="3191" t="s">
        <v>5687</v>
      </c>
      <c r="J512" s="3194">
        <v>30.74</v>
      </c>
      <c r="K512" s="3194">
        <v>11.64</v>
      </c>
      <c r="L512" s="3196"/>
    </row>
    <row r="513" spans="1:12">
      <c r="A513" s="3190">
        <v>512</v>
      </c>
      <c r="B513" s="3191" t="s">
        <v>5173</v>
      </c>
      <c r="C513" s="3191" t="s">
        <v>4007</v>
      </c>
      <c r="D513" s="3192" t="s">
        <v>5170</v>
      </c>
      <c r="E513" s="3191" t="s">
        <v>5174</v>
      </c>
      <c r="F513" s="3193" t="s">
        <v>4322</v>
      </c>
      <c r="G513" s="3197">
        <v>1216</v>
      </c>
      <c r="H513" s="3191" t="s">
        <v>5688</v>
      </c>
      <c r="I513" s="3191" t="s">
        <v>4524</v>
      </c>
      <c r="J513" s="3194">
        <v>30.74</v>
      </c>
      <c r="K513" s="3194">
        <v>11.64</v>
      </c>
      <c r="L513" s="3196"/>
    </row>
    <row r="514" spans="1:12">
      <c r="A514" s="3190">
        <v>513</v>
      </c>
      <c r="B514" s="3191" t="s">
        <v>4006</v>
      </c>
      <c r="C514" s="3191" t="s">
        <v>5169</v>
      </c>
      <c r="D514" s="3192" t="s">
        <v>5170</v>
      </c>
      <c r="E514" s="3191" t="s">
        <v>4008</v>
      </c>
      <c r="F514" s="3193" t="s">
        <v>5487</v>
      </c>
      <c r="G514" s="3197">
        <v>1217</v>
      </c>
      <c r="H514" s="3191" t="s">
        <v>4525</v>
      </c>
      <c r="I514" s="3191" t="s">
        <v>5689</v>
      </c>
      <c r="J514" s="3194">
        <v>28.18</v>
      </c>
      <c r="K514" s="3194">
        <v>10.67</v>
      </c>
      <c r="L514" s="3196"/>
    </row>
    <row r="515" spans="1:12">
      <c r="A515" s="3190">
        <v>514</v>
      </c>
      <c r="B515" s="3191" t="s">
        <v>5173</v>
      </c>
      <c r="C515" s="3191" t="s">
        <v>4007</v>
      </c>
      <c r="D515" s="3192" t="s">
        <v>5170</v>
      </c>
      <c r="E515" s="3191" t="s">
        <v>5174</v>
      </c>
      <c r="F515" s="3193" t="s">
        <v>4322</v>
      </c>
      <c r="G515" s="3197">
        <v>1218</v>
      </c>
      <c r="H515" s="3191" t="s">
        <v>5690</v>
      </c>
      <c r="I515" s="3191" t="s">
        <v>4526</v>
      </c>
      <c r="J515" s="3194">
        <v>28.18</v>
      </c>
      <c r="K515" s="3194">
        <v>10.67</v>
      </c>
      <c r="L515" s="3196"/>
    </row>
    <row r="516" spans="1:12">
      <c r="A516" s="3190">
        <v>515</v>
      </c>
      <c r="B516" s="3191" t="s">
        <v>4006</v>
      </c>
      <c r="C516" s="3191" t="s">
        <v>5169</v>
      </c>
      <c r="D516" s="3192" t="s">
        <v>5170</v>
      </c>
      <c r="E516" s="3191" t="s">
        <v>4008</v>
      </c>
      <c r="F516" s="3193" t="s">
        <v>5487</v>
      </c>
      <c r="G516" s="3197">
        <v>1220</v>
      </c>
      <c r="H516" s="3191" t="s">
        <v>4527</v>
      </c>
      <c r="I516" s="3191" t="s">
        <v>5691</v>
      </c>
      <c r="J516" s="3194">
        <v>29.47</v>
      </c>
      <c r="K516" s="3194">
        <v>11.16</v>
      </c>
      <c r="L516" s="3196"/>
    </row>
    <row r="517" spans="1:12">
      <c r="A517" s="3190">
        <v>516</v>
      </c>
      <c r="B517" s="3191" t="s">
        <v>5173</v>
      </c>
      <c r="C517" s="3191" t="s">
        <v>4007</v>
      </c>
      <c r="D517" s="3192" t="s">
        <v>5170</v>
      </c>
      <c r="E517" s="3191" t="s">
        <v>5174</v>
      </c>
      <c r="F517" s="3193" t="s">
        <v>4322</v>
      </c>
      <c r="G517" s="3197">
        <v>1221</v>
      </c>
      <c r="H517" s="3191" t="s">
        <v>5692</v>
      </c>
      <c r="I517" s="3191" t="s">
        <v>4528</v>
      </c>
      <c r="J517" s="3194">
        <v>29.47</v>
      </c>
      <c r="K517" s="3194">
        <v>11.16</v>
      </c>
      <c r="L517" s="3196"/>
    </row>
    <row r="518" spans="1:12">
      <c r="A518" s="3190">
        <v>517</v>
      </c>
      <c r="B518" s="3191" t="s">
        <v>4006</v>
      </c>
      <c r="C518" s="3191" t="s">
        <v>5169</v>
      </c>
      <c r="D518" s="3192" t="s">
        <v>5170</v>
      </c>
      <c r="E518" s="3191" t="s">
        <v>4008</v>
      </c>
      <c r="F518" s="3193" t="s">
        <v>5487</v>
      </c>
      <c r="G518" s="3197">
        <v>1222</v>
      </c>
      <c r="H518" s="3191" t="s">
        <v>4529</v>
      </c>
      <c r="I518" s="3191" t="s">
        <v>5693</v>
      </c>
      <c r="J518" s="3194">
        <v>29.47</v>
      </c>
      <c r="K518" s="3194">
        <v>11.16</v>
      </c>
      <c r="L518" s="3196"/>
    </row>
    <row r="519" spans="1:12">
      <c r="A519" s="3190">
        <v>518</v>
      </c>
      <c r="B519" s="3191" t="s">
        <v>5173</v>
      </c>
      <c r="C519" s="3191" t="s">
        <v>4007</v>
      </c>
      <c r="D519" s="3192" t="s">
        <v>5170</v>
      </c>
      <c r="E519" s="3191" t="s">
        <v>5174</v>
      </c>
      <c r="F519" s="3193" t="s">
        <v>4322</v>
      </c>
      <c r="G519" s="3197">
        <v>1223</v>
      </c>
      <c r="H519" s="3191" t="s">
        <v>5694</v>
      </c>
      <c r="I519" s="3191" t="s">
        <v>4530</v>
      </c>
      <c r="J519" s="3194">
        <v>29.47</v>
      </c>
      <c r="K519" s="3194">
        <v>11.16</v>
      </c>
      <c r="L519" s="3196"/>
    </row>
    <row r="520" spans="1:12">
      <c r="A520" s="3190">
        <v>519</v>
      </c>
      <c r="B520" s="3191" t="s">
        <v>4006</v>
      </c>
      <c r="C520" s="3191" t="s">
        <v>5169</v>
      </c>
      <c r="D520" s="3192" t="s">
        <v>5170</v>
      </c>
      <c r="E520" s="3191" t="s">
        <v>4008</v>
      </c>
      <c r="F520" s="3193" t="s">
        <v>5487</v>
      </c>
      <c r="G520" s="3197">
        <v>1224</v>
      </c>
      <c r="H520" s="3191" t="s">
        <v>4531</v>
      </c>
      <c r="I520" s="3191" t="s">
        <v>5695</v>
      </c>
      <c r="J520" s="3194">
        <v>29.47</v>
      </c>
      <c r="K520" s="3194">
        <v>11.16</v>
      </c>
      <c r="L520" s="3196"/>
    </row>
    <row r="521" spans="1:12">
      <c r="A521" s="3190">
        <v>520</v>
      </c>
      <c r="B521" s="3191" t="s">
        <v>5173</v>
      </c>
      <c r="C521" s="3191" t="s">
        <v>4007</v>
      </c>
      <c r="D521" s="3192" t="s">
        <v>5170</v>
      </c>
      <c r="E521" s="3191" t="s">
        <v>5174</v>
      </c>
      <c r="F521" s="3193" t="s">
        <v>4322</v>
      </c>
      <c r="G521" s="3197">
        <v>1225</v>
      </c>
      <c r="H521" s="3191" t="s">
        <v>5696</v>
      </c>
      <c r="I521" s="3191" t="s">
        <v>4532</v>
      </c>
      <c r="J521" s="3194">
        <v>28.18</v>
      </c>
      <c r="K521" s="3194">
        <v>10.67</v>
      </c>
      <c r="L521" s="3196"/>
    </row>
    <row r="522" spans="1:12">
      <c r="A522" s="3190">
        <v>521</v>
      </c>
      <c r="B522" s="3191" t="s">
        <v>4006</v>
      </c>
      <c r="C522" s="3191" t="s">
        <v>5169</v>
      </c>
      <c r="D522" s="3192" t="s">
        <v>5170</v>
      </c>
      <c r="E522" s="3191" t="s">
        <v>4008</v>
      </c>
      <c r="F522" s="3193" t="s">
        <v>5487</v>
      </c>
      <c r="G522" s="3197">
        <v>1226</v>
      </c>
      <c r="H522" s="3191" t="s">
        <v>4533</v>
      </c>
      <c r="I522" s="3191" t="s">
        <v>5697</v>
      </c>
      <c r="J522" s="3194">
        <v>28.18</v>
      </c>
      <c r="K522" s="3194">
        <v>10.67</v>
      </c>
      <c r="L522" s="3196"/>
    </row>
    <row r="523" spans="1:12">
      <c r="A523" s="3190">
        <v>522</v>
      </c>
      <c r="B523" s="3191" t="s">
        <v>5173</v>
      </c>
      <c r="C523" s="3191" t="s">
        <v>4007</v>
      </c>
      <c r="D523" s="3192" t="s">
        <v>5170</v>
      </c>
      <c r="E523" s="3191" t="s">
        <v>5174</v>
      </c>
      <c r="F523" s="3207" t="s">
        <v>4330</v>
      </c>
      <c r="G523" s="3197">
        <v>1227</v>
      </c>
      <c r="H523" s="3191" t="s">
        <v>5698</v>
      </c>
      <c r="I523" s="3191" t="s">
        <v>4534</v>
      </c>
      <c r="J523" s="3194">
        <v>29.47</v>
      </c>
      <c r="K523" s="3194">
        <v>11.16</v>
      </c>
      <c r="L523" s="3196"/>
    </row>
    <row r="524" spans="1:12">
      <c r="A524" s="3190">
        <v>523</v>
      </c>
      <c r="B524" s="3191" t="s">
        <v>4006</v>
      </c>
      <c r="C524" s="3191" t="s">
        <v>5169</v>
      </c>
      <c r="D524" s="3192" t="s">
        <v>5170</v>
      </c>
      <c r="E524" s="3191" t="s">
        <v>4008</v>
      </c>
      <c r="F524" s="3193" t="s">
        <v>5487</v>
      </c>
      <c r="G524" s="3197">
        <v>1228</v>
      </c>
      <c r="H524" s="3191" t="s">
        <v>4535</v>
      </c>
      <c r="I524" s="3191" t="s">
        <v>5699</v>
      </c>
      <c r="J524" s="3194">
        <v>29.47</v>
      </c>
      <c r="K524" s="3194">
        <v>11.16</v>
      </c>
      <c r="L524" s="3196"/>
    </row>
    <row r="525" spans="1:12">
      <c r="A525" s="3190">
        <v>524</v>
      </c>
      <c r="B525" s="3191" t="s">
        <v>5173</v>
      </c>
      <c r="C525" s="3191" t="s">
        <v>4007</v>
      </c>
      <c r="D525" s="3192" t="s">
        <v>5170</v>
      </c>
      <c r="E525" s="3191" t="s">
        <v>5174</v>
      </c>
      <c r="F525" s="3193" t="s">
        <v>4322</v>
      </c>
      <c r="G525" s="3197">
        <v>1229</v>
      </c>
      <c r="H525" s="3191" t="s">
        <v>5700</v>
      </c>
      <c r="I525" s="3191" t="s">
        <v>4536</v>
      </c>
      <c r="J525" s="3194">
        <v>29.47</v>
      </c>
      <c r="K525" s="3194">
        <v>11.16</v>
      </c>
      <c r="L525" s="3196"/>
    </row>
    <row r="526" spans="1:12">
      <c r="A526" s="3190">
        <v>525</v>
      </c>
      <c r="B526" s="3191" t="s">
        <v>4006</v>
      </c>
      <c r="C526" s="3191" t="s">
        <v>5169</v>
      </c>
      <c r="D526" s="3192" t="s">
        <v>5170</v>
      </c>
      <c r="E526" s="3191" t="s">
        <v>4008</v>
      </c>
      <c r="F526" s="3193" t="s">
        <v>5487</v>
      </c>
      <c r="G526" s="3197">
        <v>1230</v>
      </c>
      <c r="H526" s="3191" t="s">
        <v>4537</v>
      </c>
      <c r="I526" s="3191" t="s">
        <v>5701</v>
      </c>
      <c r="J526" s="3194">
        <v>29.47</v>
      </c>
      <c r="K526" s="3194">
        <v>11.16</v>
      </c>
      <c r="L526" s="3210"/>
    </row>
    <row r="527" spans="1:12">
      <c r="A527" s="3190">
        <v>526</v>
      </c>
      <c r="B527" s="3191" t="s">
        <v>5173</v>
      </c>
      <c r="C527" s="3191" t="s">
        <v>4007</v>
      </c>
      <c r="D527" s="3192" t="s">
        <v>5170</v>
      </c>
      <c r="E527" s="3191" t="s">
        <v>5174</v>
      </c>
      <c r="F527" s="3193" t="s">
        <v>4322</v>
      </c>
      <c r="G527" s="3197">
        <v>1231</v>
      </c>
      <c r="H527" s="3191" t="s">
        <v>5702</v>
      </c>
      <c r="I527" s="3191" t="s">
        <v>4538</v>
      </c>
      <c r="J527" s="3194">
        <v>29.47</v>
      </c>
      <c r="K527" s="3194">
        <v>11.16</v>
      </c>
      <c r="L527" s="3196"/>
    </row>
    <row r="528" spans="1:12">
      <c r="A528" s="3190">
        <v>527</v>
      </c>
      <c r="B528" s="3191" t="s">
        <v>4006</v>
      </c>
      <c r="C528" s="3191" t="s">
        <v>5169</v>
      </c>
      <c r="D528" s="3192" t="s">
        <v>5170</v>
      </c>
      <c r="E528" s="3191" t="s">
        <v>4008</v>
      </c>
      <c r="F528" s="3193" t="s">
        <v>5487</v>
      </c>
      <c r="G528" s="3197">
        <v>1232</v>
      </c>
      <c r="H528" s="3191" t="s">
        <v>4539</v>
      </c>
      <c r="I528" s="3191" t="s">
        <v>5703</v>
      </c>
      <c r="J528" s="3194">
        <v>29.47</v>
      </c>
      <c r="K528" s="3194">
        <v>11.16</v>
      </c>
      <c r="L528" s="3196"/>
    </row>
    <row r="529" spans="1:12">
      <c r="A529" s="3190">
        <v>528</v>
      </c>
      <c r="B529" s="3191" t="s">
        <v>5173</v>
      </c>
      <c r="C529" s="3191" t="s">
        <v>4007</v>
      </c>
      <c r="D529" s="3192" t="s">
        <v>5170</v>
      </c>
      <c r="E529" s="3191" t="s">
        <v>5174</v>
      </c>
      <c r="F529" s="3193" t="s">
        <v>4322</v>
      </c>
      <c r="G529" s="3197">
        <v>1233</v>
      </c>
      <c r="H529" s="3191" t="s">
        <v>5704</v>
      </c>
      <c r="I529" s="3191" t="s">
        <v>4540</v>
      </c>
      <c r="J529" s="3194">
        <v>29.47</v>
      </c>
      <c r="K529" s="3194">
        <v>11.16</v>
      </c>
      <c r="L529" s="3196"/>
    </row>
    <row r="530" spans="1:12">
      <c r="A530" s="3190">
        <v>529</v>
      </c>
      <c r="B530" s="3191" t="s">
        <v>4006</v>
      </c>
      <c r="C530" s="3191" t="s">
        <v>5169</v>
      </c>
      <c r="D530" s="3192" t="s">
        <v>5170</v>
      </c>
      <c r="E530" s="3191" t="s">
        <v>4008</v>
      </c>
      <c r="F530" s="3207" t="s">
        <v>5494</v>
      </c>
      <c r="G530" s="3197">
        <v>1234</v>
      </c>
      <c r="H530" s="3191" t="s">
        <v>4541</v>
      </c>
      <c r="I530" s="3191" t="s">
        <v>5705</v>
      </c>
      <c r="J530" s="3194">
        <v>29.47</v>
      </c>
      <c r="K530" s="3194">
        <v>11.16</v>
      </c>
      <c r="L530" s="3196"/>
    </row>
    <row r="531" spans="1:12">
      <c r="A531" s="3190">
        <v>530</v>
      </c>
      <c r="B531" s="3191" t="s">
        <v>5173</v>
      </c>
      <c r="C531" s="3191" t="s">
        <v>4007</v>
      </c>
      <c r="D531" s="3192" t="s">
        <v>5170</v>
      </c>
      <c r="E531" s="3191" t="s">
        <v>5174</v>
      </c>
      <c r="F531" s="3207" t="s">
        <v>4330</v>
      </c>
      <c r="G531" s="3197">
        <v>1235</v>
      </c>
      <c r="H531" s="3191" t="s">
        <v>5706</v>
      </c>
      <c r="I531" s="3191" t="s">
        <v>4542</v>
      </c>
      <c r="J531" s="3194">
        <v>29.47</v>
      </c>
      <c r="K531" s="3194">
        <v>11.16</v>
      </c>
      <c r="L531" s="3196"/>
    </row>
    <row r="532" spans="1:12">
      <c r="A532" s="3190">
        <v>531</v>
      </c>
      <c r="B532" s="3191" t="s">
        <v>4006</v>
      </c>
      <c r="C532" s="3191" t="s">
        <v>5169</v>
      </c>
      <c r="D532" s="3192" t="s">
        <v>5170</v>
      </c>
      <c r="E532" s="3191" t="s">
        <v>4008</v>
      </c>
      <c r="F532" s="3207" t="s">
        <v>5494</v>
      </c>
      <c r="G532" s="3197">
        <v>1236</v>
      </c>
      <c r="H532" s="3191" t="s">
        <v>4543</v>
      </c>
      <c r="I532" s="3191" t="s">
        <v>5707</v>
      </c>
      <c r="J532" s="3194">
        <v>29.47</v>
      </c>
      <c r="K532" s="3194">
        <v>11.16</v>
      </c>
      <c r="L532" s="3196"/>
    </row>
    <row r="533" spans="1:12">
      <c r="A533" s="3190">
        <v>532</v>
      </c>
      <c r="B533" s="3191" t="s">
        <v>5173</v>
      </c>
      <c r="C533" s="3191" t="s">
        <v>4007</v>
      </c>
      <c r="D533" s="3192" t="s">
        <v>5170</v>
      </c>
      <c r="E533" s="3191" t="s">
        <v>5174</v>
      </c>
      <c r="F533" s="3207" t="s">
        <v>4330</v>
      </c>
      <c r="G533" s="3197">
        <v>1237</v>
      </c>
      <c r="H533" s="3191" t="s">
        <v>5708</v>
      </c>
      <c r="I533" s="3191" t="s">
        <v>4544</v>
      </c>
      <c r="J533" s="3194">
        <v>29.47</v>
      </c>
      <c r="K533" s="3194">
        <v>11.16</v>
      </c>
      <c r="L533" s="3196"/>
    </row>
    <row r="534" spans="1:12">
      <c r="A534" s="3190">
        <v>533</v>
      </c>
      <c r="B534" s="3191" t="s">
        <v>4006</v>
      </c>
      <c r="C534" s="3191" t="s">
        <v>5169</v>
      </c>
      <c r="D534" s="3192" t="s">
        <v>5170</v>
      </c>
      <c r="E534" s="3191" t="s">
        <v>4008</v>
      </c>
      <c r="F534" s="3193" t="s">
        <v>5487</v>
      </c>
      <c r="G534" s="3197">
        <v>1238</v>
      </c>
      <c r="H534" s="3191" t="s">
        <v>4545</v>
      </c>
      <c r="I534" s="3191" t="s">
        <v>5709</v>
      </c>
      <c r="J534" s="3194">
        <v>29.47</v>
      </c>
      <c r="K534" s="3194">
        <v>11.16</v>
      </c>
      <c r="L534" s="3196"/>
    </row>
    <row r="535" spans="1:12">
      <c r="A535" s="3190">
        <v>534</v>
      </c>
      <c r="B535" s="3191" t="s">
        <v>5173</v>
      </c>
      <c r="C535" s="3191" t="s">
        <v>4007</v>
      </c>
      <c r="D535" s="3192" t="s">
        <v>5170</v>
      </c>
      <c r="E535" s="3191" t="s">
        <v>5174</v>
      </c>
      <c r="F535" s="3207" t="s">
        <v>4330</v>
      </c>
      <c r="G535" s="3197">
        <v>1239</v>
      </c>
      <c r="H535" s="3191" t="s">
        <v>5710</v>
      </c>
      <c r="I535" s="3191" t="s">
        <v>4546</v>
      </c>
      <c r="J535" s="3194">
        <v>30.74</v>
      </c>
      <c r="K535" s="3194">
        <v>11.64</v>
      </c>
      <c r="L535" s="3196"/>
    </row>
    <row r="536" spans="1:12">
      <c r="A536" s="3190">
        <v>535</v>
      </c>
      <c r="B536" s="3191" t="s">
        <v>4006</v>
      </c>
      <c r="C536" s="3191" t="s">
        <v>5169</v>
      </c>
      <c r="D536" s="3192" t="s">
        <v>5170</v>
      </c>
      <c r="E536" s="3191" t="s">
        <v>4008</v>
      </c>
      <c r="F536" s="3193" t="s">
        <v>5487</v>
      </c>
      <c r="G536" s="3197">
        <v>1240</v>
      </c>
      <c r="H536" s="3191" t="s">
        <v>4547</v>
      </c>
      <c r="I536" s="3191" t="s">
        <v>5711</v>
      </c>
      <c r="J536" s="3194">
        <v>30.74</v>
      </c>
      <c r="K536" s="3194">
        <v>11.64</v>
      </c>
      <c r="L536" s="3196"/>
    </row>
    <row r="537" spans="1:12">
      <c r="A537" s="3190">
        <v>536</v>
      </c>
      <c r="B537" s="3191" t="s">
        <v>5173</v>
      </c>
      <c r="C537" s="3191" t="s">
        <v>4007</v>
      </c>
      <c r="D537" s="3192" t="s">
        <v>5170</v>
      </c>
      <c r="E537" s="3191" t="s">
        <v>5174</v>
      </c>
      <c r="F537" s="3193" t="s">
        <v>4322</v>
      </c>
      <c r="G537" s="3197">
        <v>1241</v>
      </c>
      <c r="H537" s="3191" t="s">
        <v>5712</v>
      </c>
      <c r="I537" s="3191" t="s">
        <v>4548</v>
      </c>
      <c r="J537" s="3194">
        <v>30.74</v>
      </c>
      <c r="K537" s="3194">
        <v>11.64</v>
      </c>
      <c r="L537" s="3196"/>
    </row>
    <row r="538" spans="1:12">
      <c r="A538" s="3190">
        <v>537</v>
      </c>
      <c r="B538" s="3191" t="s">
        <v>4006</v>
      </c>
      <c r="C538" s="3191" t="s">
        <v>5169</v>
      </c>
      <c r="D538" s="3192" t="s">
        <v>5170</v>
      </c>
      <c r="E538" s="3191" t="s">
        <v>4008</v>
      </c>
      <c r="F538" s="3193" t="s">
        <v>5487</v>
      </c>
      <c r="G538" s="3197">
        <v>1242</v>
      </c>
      <c r="H538" s="3191" t="s">
        <v>4549</v>
      </c>
      <c r="I538" s="3191" t="s">
        <v>5713</v>
      </c>
      <c r="J538" s="3194">
        <v>30.74</v>
      </c>
      <c r="K538" s="3194">
        <v>11.64</v>
      </c>
      <c r="L538" s="3196"/>
    </row>
    <row r="539" spans="1:12">
      <c r="A539" s="3190">
        <v>538</v>
      </c>
      <c r="B539" s="3191" t="s">
        <v>5173</v>
      </c>
      <c r="C539" s="3191" t="s">
        <v>4007</v>
      </c>
      <c r="D539" s="3192" t="s">
        <v>5170</v>
      </c>
      <c r="E539" s="3191" t="s">
        <v>5174</v>
      </c>
      <c r="F539" s="3193" t="s">
        <v>4322</v>
      </c>
      <c r="G539" s="3197">
        <v>1243</v>
      </c>
      <c r="H539" s="3191" t="s">
        <v>5714</v>
      </c>
      <c r="I539" s="3191" t="s">
        <v>4550</v>
      </c>
      <c r="J539" s="3194">
        <v>30.74</v>
      </c>
      <c r="K539" s="3194">
        <v>11.64</v>
      </c>
      <c r="L539" s="3196"/>
    </row>
    <row r="540" spans="1:12">
      <c r="A540" s="3190">
        <v>539</v>
      </c>
      <c r="B540" s="3191" t="s">
        <v>4006</v>
      </c>
      <c r="C540" s="3191" t="s">
        <v>5169</v>
      </c>
      <c r="D540" s="3192" t="s">
        <v>5170</v>
      </c>
      <c r="E540" s="3191" t="s">
        <v>4008</v>
      </c>
      <c r="F540" s="3193" t="s">
        <v>5487</v>
      </c>
      <c r="G540" s="3197">
        <v>1244</v>
      </c>
      <c r="H540" s="3191" t="s">
        <v>4551</v>
      </c>
      <c r="I540" s="3191" t="s">
        <v>5715</v>
      </c>
      <c r="J540" s="3194">
        <v>30.74</v>
      </c>
      <c r="K540" s="3194">
        <v>11.64</v>
      </c>
      <c r="L540" s="3196"/>
    </row>
    <row r="541" spans="1:12">
      <c r="A541" s="3190">
        <v>540</v>
      </c>
      <c r="B541" s="3191" t="s">
        <v>5173</v>
      </c>
      <c r="C541" s="3191" t="s">
        <v>4007</v>
      </c>
      <c r="D541" s="3192" t="s">
        <v>5170</v>
      </c>
      <c r="E541" s="3191" t="s">
        <v>5174</v>
      </c>
      <c r="F541" s="3193" t="s">
        <v>4322</v>
      </c>
      <c r="G541" s="3197">
        <v>1245</v>
      </c>
      <c r="H541" s="3191" t="s">
        <v>5716</v>
      </c>
      <c r="I541" s="3191" t="s">
        <v>4552</v>
      </c>
      <c r="J541" s="3194">
        <v>30.74</v>
      </c>
      <c r="K541" s="3194">
        <v>11.64</v>
      </c>
      <c r="L541" s="3196"/>
    </row>
    <row r="542" spans="1:12">
      <c r="A542" s="3190">
        <v>541</v>
      </c>
      <c r="B542" s="3191" t="s">
        <v>4006</v>
      </c>
      <c r="C542" s="3191" t="s">
        <v>5169</v>
      </c>
      <c r="D542" s="3192" t="s">
        <v>5170</v>
      </c>
      <c r="E542" s="3191" t="s">
        <v>4008</v>
      </c>
      <c r="F542" s="3193" t="s">
        <v>5487</v>
      </c>
      <c r="G542" s="3197">
        <v>1246</v>
      </c>
      <c r="H542" s="3191" t="s">
        <v>4553</v>
      </c>
      <c r="I542" s="3191" t="s">
        <v>5717</v>
      </c>
      <c r="J542" s="3194">
        <v>30.74</v>
      </c>
      <c r="K542" s="3194">
        <v>11.64</v>
      </c>
      <c r="L542" s="3196"/>
    </row>
    <row r="543" spans="1:12">
      <c r="A543" s="3190">
        <v>542</v>
      </c>
      <c r="B543" s="3191" t="s">
        <v>5173</v>
      </c>
      <c r="C543" s="3191" t="s">
        <v>4007</v>
      </c>
      <c r="D543" s="3192" t="s">
        <v>5170</v>
      </c>
      <c r="E543" s="3191" t="s">
        <v>5174</v>
      </c>
      <c r="F543" s="3207" t="s">
        <v>4330</v>
      </c>
      <c r="G543" s="3197">
        <v>1247</v>
      </c>
      <c r="H543" s="3191" t="s">
        <v>5718</v>
      </c>
      <c r="I543" s="3191" t="s">
        <v>4554</v>
      </c>
      <c r="J543" s="3194">
        <v>30.74</v>
      </c>
      <c r="K543" s="3194">
        <v>11.64</v>
      </c>
      <c r="L543" s="3196"/>
    </row>
    <row r="544" spans="1:12">
      <c r="A544" s="3190">
        <v>543</v>
      </c>
      <c r="B544" s="3191" t="s">
        <v>4006</v>
      </c>
      <c r="C544" s="3191" t="s">
        <v>5169</v>
      </c>
      <c r="D544" s="3192" t="s">
        <v>5170</v>
      </c>
      <c r="E544" s="3191" t="s">
        <v>4008</v>
      </c>
      <c r="F544" s="3193" t="s">
        <v>5487</v>
      </c>
      <c r="G544" s="3197">
        <v>1248</v>
      </c>
      <c r="H544" s="3191" t="s">
        <v>4555</v>
      </c>
      <c r="I544" s="3191" t="s">
        <v>5719</v>
      </c>
      <c r="J544" s="3194">
        <v>30.74</v>
      </c>
      <c r="K544" s="3194">
        <v>11.64</v>
      </c>
      <c r="L544" s="3196"/>
    </row>
    <row r="545" spans="1:12">
      <c r="A545" s="3190">
        <v>544</v>
      </c>
      <c r="B545" s="3191" t="s">
        <v>5173</v>
      </c>
      <c r="C545" s="3191" t="s">
        <v>4007</v>
      </c>
      <c r="D545" s="3192" t="s">
        <v>5170</v>
      </c>
      <c r="E545" s="3191" t="s">
        <v>5174</v>
      </c>
      <c r="F545" s="3193" t="s">
        <v>4322</v>
      </c>
      <c r="G545" s="3197">
        <v>1249</v>
      </c>
      <c r="H545" s="3191" t="s">
        <v>5720</v>
      </c>
      <c r="I545" s="3191" t="s">
        <v>4556</v>
      </c>
      <c r="J545" s="3194">
        <v>30.74</v>
      </c>
      <c r="K545" s="3194">
        <v>11.64</v>
      </c>
      <c r="L545" s="3196"/>
    </row>
    <row r="546" spans="1:12">
      <c r="A546" s="3190">
        <v>545</v>
      </c>
      <c r="B546" s="3191" t="s">
        <v>4006</v>
      </c>
      <c r="C546" s="3191" t="s">
        <v>5169</v>
      </c>
      <c r="D546" s="3192" t="s">
        <v>5170</v>
      </c>
      <c r="E546" s="3191" t="s">
        <v>4008</v>
      </c>
      <c r="F546" s="3193" t="s">
        <v>5487</v>
      </c>
      <c r="G546" s="3197">
        <v>1251</v>
      </c>
      <c r="H546" s="3191" t="s">
        <v>4557</v>
      </c>
      <c r="I546" s="3191" t="s">
        <v>5721</v>
      </c>
      <c r="J546" s="3194">
        <v>30.74</v>
      </c>
      <c r="K546" s="3194">
        <v>11.64</v>
      </c>
      <c r="L546" s="3196"/>
    </row>
    <row r="547" spans="1:12">
      <c r="A547" s="3190">
        <v>546</v>
      </c>
      <c r="B547" s="3191" t="s">
        <v>5173</v>
      </c>
      <c r="C547" s="3191" t="s">
        <v>4007</v>
      </c>
      <c r="D547" s="3192" t="s">
        <v>5170</v>
      </c>
      <c r="E547" s="3191" t="s">
        <v>5174</v>
      </c>
      <c r="F547" s="3207" t="s">
        <v>4330</v>
      </c>
      <c r="G547" s="3197">
        <v>1252</v>
      </c>
      <c r="H547" s="3191" t="s">
        <v>5722</v>
      </c>
      <c r="I547" s="3191" t="s">
        <v>4558</v>
      </c>
      <c r="J547" s="3194">
        <v>30.74</v>
      </c>
      <c r="K547" s="3194">
        <v>11.64</v>
      </c>
      <c r="L547" s="3196"/>
    </row>
    <row r="548" spans="1:12">
      <c r="A548" s="3190">
        <v>547</v>
      </c>
      <c r="B548" s="3191" t="s">
        <v>4006</v>
      </c>
      <c r="C548" s="3191" t="s">
        <v>5169</v>
      </c>
      <c r="D548" s="3192" t="s">
        <v>5170</v>
      </c>
      <c r="E548" s="3191" t="s">
        <v>4008</v>
      </c>
      <c r="F548" s="3207" t="s">
        <v>5494</v>
      </c>
      <c r="G548" s="3197">
        <v>1259</v>
      </c>
      <c r="H548" s="3191" t="s">
        <v>4559</v>
      </c>
      <c r="I548" s="3191" t="s">
        <v>5723</v>
      </c>
      <c r="J548" s="3194">
        <v>30.74</v>
      </c>
      <c r="K548" s="3194">
        <v>11.64</v>
      </c>
      <c r="L548" s="3196"/>
    </row>
    <row r="549" spans="1:12">
      <c r="A549" s="3190">
        <v>548</v>
      </c>
      <c r="B549" s="3191" t="s">
        <v>5173</v>
      </c>
      <c r="C549" s="3191" t="s">
        <v>4007</v>
      </c>
      <c r="D549" s="3192" t="s">
        <v>5170</v>
      </c>
      <c r="E549" s="3191" t="s">
        <v>5174</v>
      </c>
      <c r="F549" s="3193" t="s">
        <v>4322</v>
      </c>
      <c r="G549" s="3197">
        <v>1262</v>
      </c>
      <c r="H549" s="3191" t="s">
        <v>5724</v>
      </c>
      <c r="I549" s="3191" t="s">
        <v>4560</v>
      </c>
      <c r="J549" s="3194">
        <v>30.74</v>
      </c>
      <c r="K549" s="3194">
        <v>11.64</v>
      </c>
      <c r="L549" s="3196"/>
    </row>
    <row r="550" spans="1:12">
      <c r="A550" s="3190">
        <v>549</v>
      </c>
      <c r="B550" s="3191" t="s">
        <v>4006</v>
      </c>
      <c r="C550" s="3191" t="s">
        <v>5169</v>
      </c>
      <c r="D550" s="3192" t="s">
        <v>5170</v>
      </c>
      <c r="E550" s="3191" t="s">
        <v>4008</v>
      </c>
      <c r="F550" s="3207" t="s">
        <v>5494</v>
      </c>
      <c r="G550" s="3197">
        <v>1264</v>
      </c>
      <c r="H550" s="3191" t="s">
        <v>4561</v>
      </c>
      <c r="I550" s="3191" t="s">
        <v>5725</v>
      </c>
      <c r="J550" s="3194">
        <v>29.47</v>
      </c>
      <c r="K550" s="3194">
        <v>11.16</v>
      </c>
      <c r="L550" s="3196"/>
    </row>
    <row r="551" spans="1:12">
      <c r="A551" s="3190">
        <v>550</v>
      </c>
      <c r="B551" s="3191" t="s">
        <v>5173</v>
      </c>
      <c r="C551" s="3191" t="s">
        <v>4007</v>
      </c>
      <c r="D551" s="3192" t="s">
        <v>5170</v>
      </c>
      <c r="E551" s="3191" t="s">
        <v>5174</v>
      </c>
      <c r="F551" s="3193" t="s">
        <v>4322</v>
      </c>
      <c r="G551" s="3197">
        <v>1265</v>
      </c>
      <c r="H551" s="3191" t="s">
        <v>5726</v>
      </c>
      <c r="I551" s="3191" t="s">
        <v>4562</v>
      </c>
      <c r="J551" s="3194">
        <v>29.47</v>
      </c>
      <c r="K551" s="3194">
        <v>11.16</v>
      </c>
      <c r="L551" s="3196"/>
    </row>
    <row r="552" spans="1:12">
      <c r="A552" s="3190">
        <v>551</v>
      </c>
      <c r="B552" s="3191" t="s">
        <v>4006</v>
      </c>
      <c r="C552" s="3191" t="s">
        <v>5169</v>
      </c>
      <c r="D552" s="3192" t="s">
        <v>5170</v>
      </c>
      <c r="E552" s="3191" t="s">
        <v>4008</v>
      </c>
      <c r="F552" s="3193" t="s">
        <v>5487</v>
      </c>
      <c r="G552" s="3197">
        <v>1267</v>
      </c>
      <c r="H552" s="3191" t="s">
        <v>4563</v>
      </c>
      <c r="I552" s="3191" t="s">
        <v>5727</v>
      </c>
      <c r="J552" s="3194">
        <v>29.47</v>
      </c>
      <c r="K552" s="3194">
        <v>11.16</v>
      </c>
      <c r="L552" s="3196"/>
    </row>
    <row r="553" spans="1:12">
      <c r="A553" s="3190">
        <v>552</v>
      </c>
      <c r="B553" s="3191" t="s">
        <v>5173</v>
      </c>
      <c r="C553" s="3191" t="s">
        <v>4007</v>
      </c>
      <c r="D553" s="3192" t="s">
        <v>5170</v>
      </c>
      <c r="E553" s="3191" t="s">
        <v>5174</v>
      </c>
      <c r="F553" s="3193" t="s">
        <v>4322</v>
      </c>
      <c r="G553" s="3197">
        <v>1269</v>
      </c>
      <c r="H553" s="3191" t="s">
        <v>5728</v>
      </c>
      <c r="I553" s="3191" t="s">
        <v>4564</v>
      </c>
      <c r="J553" s="3194">
        <v>29.47</v>
      </c>
      <c r="K553" s="3194">
        <v>11.16</v>
      </c>
      <c r="L553" s="3196"/>
    </row>
    <row r="554" spans="1:12">
      <c r="A554" s="3190">
        <v>553</v>
      </c>
      <c r="B554" s="3191" t="s">
        <v>4006</v>
      </c>
      <c r="C554" s="3191" t="s">
        <v>5169</v>
      </c>
      <c r="D554" s="3192" t="s">
        <v>5170</v>
      </c>
      <c r="E554" s="3191" t="s">
        <v>4008</v>
      </c>
      <c r="F554" s="3193" t="s">
        <v>5487</v>
      </c>
      <c r="G554" s="3197">
        <v>1270</v>
      </c>
      <c r="H554" s="3191" t="s">
        <v>4565</v>
      </c>
      <c r="I554" s="3191" t="s">
        <v>5729</v>
      </c>
      <c r="J554" s="3194">
        <v>29.47</v>
      </c>
      <c r="K554" s="3194">
        <v>11.16</v>
      </c>
      <c r="L554" s="3196"/>
    </row>
    <row r="555" spans="1:12">
      <c r="A555" s="3190">
        <v>554</v>
      </c>
      <c r="B555" s="3191" t="s">
        <v>5173</v>
      </c>
      <c r="C555" s="3191" t="s">
        <v>4007</v>
      </c>
      <c r="D555" s="3192" t="s">
        <v>5170</v>
      </c>
      <c r="E555" s="3191" t="s">
        <v>5174</v>
      </c>
      <c r="F555" s="3193" t="s">
        <v>4322</v>
      </c>
      <c r="G555" s="3197">
        <v>1272</v>
      </c>
      <c r="H555" s="3191" t="s">
        <v>5730</v>
      </c>
      <c r="I555" s="3191" t="s">
        <v>4566</v>
      </c>
      <c r="J555" s="3194">
        <v>29.47</v>
      </c>
      <c r="K555" s="3194">
        <v>11.16</v>
      </c>
      <c r="L555" s="3196"/>
    </row>
    <row r="556" spans="1:12">
      <c r="A556" s="3190">
        <v>555</v>
      </c>
      <c r="B556" s="3191" t="s">
        <v>4006</v>
      </c>
      <c r="C556" s="3191" t="s">
        <v>5169</v>
      </c>
      <c r="D556" s="3192" t="s">
        <v>5170</v>
      </c>
      <c r="E556" s="3191" t="s">
        <v>4008</v>
      </c>
      <c r="F556" s="3193" t="s">
        <v>5487</v>
      </c>
      <c r="G556" s="3197">
        <v>1273</v>
      </c>
      <c r="H556" s="3191" t="s">
        <v>4567</v>
      </c>
      <c r="I556" s="3191" t="s">
        <v>5731</v>
      </c>
      <c r="J556" s="3194">
        <v>29.47</v>
      </c>
      <c r="K556" s="3194">
        <v>11.16</v>
      </c>
      <c r="L556" s="3196"/>
    </row>
    <row r="557" spans="1:12">
      <c r="A557" s="3190">
        <v>556</v>
      </c>
      <c r="B557" s="3191" t="s">
        <v>5173</v>
      </c>
      <c r="C557" s="3191" t="s">
        <v>4007</v>
      </c>
      <c r="D557" s="3192" t="s">
        <v>5170</v>
      </c>
      <c r="E557" s="3191" t="s">
        <v>5174</v>
      </c>
      <c r="F557" s="3193" t="s">
        <v>4322</v>
      </c>
      <c r="G557" s="3197">
        <v>1274</v>
      </c>
      <c r="H557" s="3191" t="s">
        <v>5732</v>
      </c>
      <c r="I557" s="3191" t="s">
        <v>4568</v>
      </c>
      <c r="J557" s="3194">
        <v>29.47</v>
      </c>
      <c r="K557" s="3194">
        <v>11.16</v>
      </c>
      <c r="L557" s="3196"/>
    </row>
    <row r="558" spans="1:12">
      <c r="A558" s="3190">
        <v>557</v>
      </c>
      <c r="B558" s="3191" t="s">
        <v>4006</v>
      </c>
      <c r="C558" s="3191" t="s">
        <v>5169</v>
      </c>
      <c r="D558" s="3192" t="s">
        <v>5170</v>
      </c>
      <c r="E558" s="3191" t="s">
        <v>4008</v>
      </c>
      <c r="F558" s="3193" t="s">
        <v>5487</v>
      </c>
      <c r="G558" s="3197">
        <v>1275</v>
      </c>
      <c r="H558" s="3191" t="s">
        <v>4569</v>
      </c>
      <c r="I558" s="3191" t="s">
        <v>5733</v>
      </c>
      <c r="J558" s="3194">
        <v>30.74</v>
      </c>
      <c r="K558" s="3194">
        <v>11.64</v>
      </c>
      <c r="L558" s="3196"/>
    </row>
    <row r="559" spans="1:12">
      <c r="A559" s="3190">
        <v>558</v>
      </c>
      <c r="B559" s="3191" t="s">
        <v>5173</v>
      </c>
      <c r="C559" s="3191" t="s">
        <v>4007</v>
      </c>
      <c r="D559" s="3192" t="s">
        <v>5170</v>
      </c>
      <c r="E559" s="3191" t="s">
        <v>5174</v>
      </c>
      <c r="F559" s="3193" t="s">
        <v>4322</v>
      </c>
      <c r="G559" s="3197">
        <v>1276</v>
      </c>
      <c r="H559" s="3191" t="s">
        <v>5734</v>
      </c>
      <c r="I559" s="3191" t="s">
        <v>4570</v>
      </c>
      <c r="J559" s="3194">
        <v>30.74</v>
      </c>
      <c r="K559" s="3194">
        <v>11.64</v>
      </c>
      <c r="L559" s="3196"/>
    </row>
    <row r="560" spans="1:12">
      <c r="A560" s="3190">
        <v>559</v>
      </c>
      <c r="B560" s="3191" t="s">
        <v>4006</v>
      </c>
      <c r="C560" s="3191" t="s">
        <v>5169</v>
      </c>
      <c r="D560" s="3192" t="s">
        <v>5170</v>
      </c>
      <c r="E560" s="3191" t="s">
        <v>4008</v>
      </c>
      <c r="F560" s="3193" t="s">
        <v>5487</v>
      </c>
      <c r="G560" s="3197">
        <v>1278</v>
      </c>
      <c r="H560" s="3191" t="s">
        <v>4571</v>
      </c>
      <c r="I560" s="3191" t="s">
        <v>5735</v>
      </c>
      <c r="J560" s="3194">
        <v>30.08</v>
      </c>
      <c r="K560" s="3194">
        <v>11.39</v>
      </c>
      <c r="L560" s="3196"/>
    </row>
    <row r="561" spans="1:12">
      <c r="A561" s="3190">
        <v>560</v>
      </c>
      <c r="B561" s="3191" t="s">
        <v>5173</v>
      </c>
      <c r="C561" s="3191" t="s">
        <v>4007</v>
      </c>
      <c r="D561" s="3192" t="s">
        <v>5170</v>
      </c>
      <c r="E561" s="3191" t="s">
        <v>5174</v>
      </c>
      <c r="F561" s="3193" t="s">
        <v>4322</v>
      </c>
      <c r="G561" s="3197">
        <v>1279</v>
      </c>
      <c r="H561" s="3191" t="s">
        <v>5736</v>
      </c>
      <c r="I561" s="3191" t="s">
        <v>4572</v>
      </c>
      <c r="J561" s="3194">
        <v>30.08</v>
      </c>
      <c r="K561" s="3194">
        <v>11.39</v>
      </c>
      <c r="L561" s="3196"/>
    </row>
    <row r="562" spans="1:12">
      <c r="A562" s="3190">
        <v>561</v>
      </c>
      <c r="B562" s="3191" t="s">
        <v>4006</v>
      </c>
      <c r="C562" s="3191" t="s">
        <v>5169</v>
      </c>
      <c r="D562" s="3192" t="s">
        <v>5170</v>
      </c>
      <c r="E562" s="3191" t="s">
        <v>4008</v>
      </c>
      <c r="F562" s="3193" t="s">
        <v>5487</v>
      </c>
      <c r="G562" s="3197">
        <v>1281</v>
      </c>
      <c r="H562" s="3191" t="s">
        <v>4573</v>
      </c>
      <c r="I562" s="3191" t="s">
        <v>5737</v>
      </c>
      <c r="J562" s="3194">
        <v>30.08</v>
      </c>
      <c r="K562" s="3194">
        <v>11.39</v>
      </c>
      <c r="L562" s="3196"/>
    </row>
    <row r="563" spans="1:12">
      <c r="A563" s="3190">
        <v>562</v>
      </c>
      <c r="B563" s="3191" t="s">
        <v>5173</v>
      </c>
      <c r="C563" s="3191" t="s">
        <v>4007</v>
      </c>
      <c r="D563" s="3192" t="s">
        <v>5170</v>
      </c>
      <c r="E563" s="3191" t="s">
        <v>5174</v>
      </c>
      <c r="F563" s="3193" t="s">
        <v>4322</v>
      </c>
      <c r="G563" s="3197">
        <v>1282</v>
      </c>
      <c r="H563" s="3191" t="s">
        <v>5738</v>
      </c>
      <c r="I563" s="3191" t="s">
        <v>4574</v>
      </c>
      <c r="J563" s="3194">
        <v>30.08</v>
      </c>
      <c r="K563" s="3194">
        <v>11.39</v>
      </c>
      <c r="L563" s="3196"/>
    </row>
    <row r="564" spans="1:12">
      <c r="A564" s="3190">
        <v>563</v>
      </c>
      <c r="B564" s="3191" t="s">
        <v>4006</v>
      </c>
      <c r="C564" s="3191" t="s">
        <v>5169</v>
      </c>
      <c r="D564" s="3192" t="s">
        <v>5170</v>
      </c>
      <c r="E564" s="3191" t="s">
        <v>4008</v>
      </c>
      <c r="F564" s="3193" t="s">
        <v>5487</v>
      </c>
      <c r="G564" s="3197">
        <v>1284</v>
      </c>
      <c r="H564" s="3191" t="s">
        <v>4575</v>
      </c>
      <c r="I564" s="3191" t="s">
        <v>5739</v>
      </c>
      <c r="J564" s="3194">
        <v>30.08</v>
      </c>
      <c r="K564" s="3194">
        <v>11.39</v>
      </c>
      <c r="L564" s="3196"/>
    </row>
    <row r="565" spans="1:12">
      <c r="A565" s="3190">
        <v>564</v>
      </c>
      <c r="B565" s="3191" t="s">
        <v>5173</v>
      </c>
      <c r="C565" s="3191" t="s">
        <v>4007</v>
      </c>
      <c r="D565" s="3192" t="s">
        <v>5170</v>
      </c>
      <c r="E565" s="3191" t="s">
        <v>5174</v>
      </c>
      <c r="F565" s="3193" t="s">
        <v>4322</v>
      </c>
      <c r="G565" s="3197">
        <v>1290</v>
      </c>
      <c r="H565" s="3191" t="s">
        <v>5740</v>
      </c>
      <c r="I565" s="3191" t="s">
        <v>4576</v>
      </c>
      <c r="J565" s="3194">
        <v>30.08</v>
      </c>
      <c r="K565" s="3194">
        <v>11.39</v>
      </c>
      <c r="L565" s="3196"/>
    </row>
    <row r="566" spans="1:12">
      <c r="A566" s="3190">
        <v>565</v>
      </c>
      <c r="B566" s="3191" t="s">
        <v>4006</v>
      </c>
      <c r="C566" s="3191" t="s">
        <v>5169</v>
      </c>
      <c r="D566" s="3192" t="s">
        <v>5170</v>
      </c>
      <c r="E566" s="3191" t="s">
        <v>4008</v>
      </c>
      <c r="F566" s="3193" t="s">
        <v>5487</v>
      </c>
      <c r="G566" s="3197">
        <v>1293</v>
      </c>
      <c r="H566" s="3191" t="s">
        <v>4577</v>
      </c>
      <c r="I566" s="3191" t="s">
        <v>5741</v>
      </c>
      <c r="J566" s="3194">
        <v>30.08</v>
      </c>
      <c r="K566" s="3194">
        <v>11.39</v>
      </c>
      <c r="L566" s="3196"/>
    </row>
    <row r="567" spans="1:12">
      <c r="A567" s="3190">
        <v>566</v>
      </c>
      <c r="B567" s="3191" t="s">
        <v>5173</v>
      </c>
      <c r="C567" s="3191" t="s">
        <v>4007</v>
      </c>
      <c r="D567" s="3192" t="s">
        <v>5170</v>
      </c>
      <c r="E567" s="3191" t="s">
        <v>5174</v>
      </c>
      <c r="F567" s="3207" t="s">
        <v>4330</v>
      </c>
      <c r="G567" s="3197">
        <v>1294</v>
      </c>
      <c r="H567" s="3191" t="s">
        <v>5742</v>
      </c>
      <c r="I567" s="3191" t="s">
        <v>4578</v>
      </c>
      <c r="J567" s="3194">
        <v>30.08</v>
      </c>
      <c r="K567" s="3194">
        <v>11.39</v>
      </c>
      <c r="L567" s="3196"/>
    </row>
    <row r="568" spans="1:12">
      <c r="A568" s="3190">
        <v>567</v>
      </c>
      <c r="B568" s="3191" t="s">
        <v>4006</v>
      </c>
      <c r="C568" s="3191" t="s">
        <v>5169</v>
      </c>
      <c r="D568" s="3192" t="s">
        <v>5170</v>
      </c>
      <c r="E568" s="3191" t="s">
        <v>4008</v>
      </c>
      <c r="F568" s="3193" t="s">
        <v>5487</v>
      </c>
      <c r="G568" s="3197">
        <v>1295</v>
      </c>
      <c r="H568" s="3191" t="s">
        <v>4579</v>
      </c>
      <c r="I568" s="3191" t="s">
        <v>5743</v>
      </c>
      <c r="J568" s="3194">
        <v>28.76</v>
      </c>
      <c r="K568" s="3194">
        <v>10.89</v>
      </c>
      <c r="L568" s="3196"/>
    </row>
    <row r="569" spans="1:12">
      <c r="A569" s="3190">
        <v>568</v>
      </c>
      <c r="B569" s="3191" t="s">
        <v>5173</v>
      </c>
      <c r="C569" s="3191" t="s">
        <v>4007</v>
      </c>
      <c r="D569" s="3192" t="s">
        <v>5170</v>
      </c>
      <c r="E569" s="3191" t="s">
        <v>5174</v>
      </c>
      <c r="F569" s="3193" t="s">
        <v>4322</v>
      </c>
      <c r="G569" s="3197">
        <v>1305</v>
      </c>
      <c r="H569" s="3191" t="s">
        <v>5744</v>
      </c>
      <c r="I569" s="3191" t="s">
        <v>4580</v>
      </c>
      <c r="J569" s="3194">
        <v>29.47</v>
      </c>
      <c r="K569" s="3194">
        <v>11.16</v>
      </c>
      <c r="L569" s="3196"/>
    </row>
    <row r="570" spans="1:12">
      <c r="A570" s="3190">
        <v>569</v>
      </c>
      <c r="B570" s="3191" t="s">
        <v>4006</v>
      </c>
      <c r="C570" s="3191" t="s">
        <v>5169</v>
      </c>
      <c r="D570" s="3192" t="s">
        <v>5170</v>
      </c>
      <c r="E570" s="3191" t="s">
        <v>4008</v>
      </c>
      <c r="F570" s="3193" t="s">
        <v>5487</v>
      </c>
      <c r="G570" s="3197">
        <v>1306</v>
      </c>
      <c r="H570" s="3191" t="s">
        <v>4581</v>
      </c>
      <c r="I570" s="3191" t="s">
        <v>5745</v>
      </c>
      <c r="J570" s="3194">
        <v>29.47</v>
      </c>
      <c r="K570" s="3194">
        <v>11.16</v>
      </c>
      <c r="L570" s="3196"/>
    </row>
    <row r="571" spans="1:12">
      <c r="A571" s="3190">
        <v>570</v>
      </c>
      <c r="B571" s="3191" t="s">
        <v>5173</v>
      </c>
      <c r="C571" s="3191" t="s">
        <v>4007</v>
      </c>
      <c r="D571" s="3192" t="s">
        <v>5170</v>
      </c>
      <c r="E571" s="3191" t="s">
        <v>5174</v>
      </c>
      <c r="F571" s="3193" t="s">
        <v>4322</v>
      </c>
      <c r="G571" s="3197">
        <v>1308</v>
      </c>
      <c r="H571" s="3191" t="s">
        <v>5746</v>
      </c>
      <c r="I571" s="3191" t="s">
        <v>4582</v>
      </c>
      <c r="J571" s="3194">
        <v>29.47</v>
      </c>
      <c r="K571" s="3194">
        <v>11.16</v>
      </c>
      <c r="L571" s="3196"/>
    </row>
    <row r="572" spans="1:12">
      <c r="A572" s="3190">
        <v>571</v>
      </c>
      <c r="B572" s="3191" t="s">
        <v>4583</v>
      </c>
      <c r="C572" s="3191" t="s">
        <v>5169</v>
      </c>
      <c r="D572" s="3192" t="s">
        <v>5747</v>
      </c>
      <c r="E572" s="3191" t="s">
        <v>4584</v>
      </c>
      <c r="F572" s="3193" t="s">
        <v>5171</v>
      </c>
      <c r="G572" s="3197">
        <v>2001</v>
      </c>
      <c r="H572" s="3191" t="s">
        <v>4585</v>
      </c>
      <c r="I572" s="3191" t="s">
        <v>5748</v>
      </c>
      <c r="J572" s="3194">
        <v>34.46</v>
      </c>
      <c r="K572" s="3194">
        <v>11.64</v>
      </c>
      <c r="L572" s="3196"/>
    </row>
    <row r="573" spans="1:12">
      <c r="A573" s="3190">
        <v>572</v>
      </c>
      <c r="B573" s="3191" t="s">
        <v>5749</v>
      </c>
      <c r="C573" s="3191" t="s">
        <v>4007</v>
      </c>
      <c r="D573" s="3192" t="s">
        <v>5747</v>
      </c>
      <c r="E573" s="3191" t="s">
        <v>5750</v>
      </c>
      <c r="F573" s="3193" t="s">
        <v>4009</v>
      </c>
      <c r="G573" s="3197">
        <v>2002</v>
      </c>
      <c r="H573" s="3191" t="s">
        <v>5751</v>
      </c>
      <c r="I573" s="3191" t="s">
        <v>4586</v>
      </c>
      <c r="J573" s="3194">
        <v>34.46</v>
      </c>
      <c r="K573" s="3194">
        <v>11.64</v>
      </c>
      <c r="L573" s="3196"/>
    </row>
    <row r="574" spans="1:12">
      <c r="A574" s="3190">
        <v>573</v>
      </c>
      <c r="B574" s="3191" t="s">
        <v>4583</v>
      </c>
      <c r="C574" s="3191" t="s">
        <v>5169</v>
      </c>
      <c r="D574" s="3192" t="s">
        <v>5747</v>
      </c>
      <c r="E574" s="3191" t="s">
        <v>4584</v>
      </c>
      <c r="F574" s="3193" t="s">
        <v>5171</v>
      </c>
      <c r="G574" s="3197">
        <v>2003</v>
      </c>
      <c r="H574" s="3191" t="s">
        <v>4587</v>
      </c>
      <c r="I574" s="3191" t="s">
        <v>5752</v>
      </c>
      <c r="J574" s="3194">
        <v>34.46</v>
      </c>
      <c r="K574" s="3194">
        <v>11.64</v>
      </c>
      <c r="L574" s="3196"/>
    </row>
    <row r="575" spans="1:12">
      <c r="A575" s="3190">
        <v>574</v>
      </c>
      <c r="B575" s="3191" t="s">
        <v>5749</v>
      </c>
      <c r="C575" s="3191" t="s">
        <v>4007</v>
      </c>
      <c r="D575" s="3192" t="s">
        <v>5747</v>
      </c>
      <c r="E575" s="3191" t="s">
        <v>5750</v>
      </c>
      <c r="F575" s="3193" t="s">
        <v>4009</v>
      </c>
      <c r="G575" s="3197">
        <v>2004</v>
      </c>
      <c r="H575" s="3191" t="s">
        <v>5753</v>
      </c>
      <c r="I575" s="3191" t="s">
        <v>4588</v>
      </c>
      <c r="J575" s="3194">
        <v>34.46</v>
      </c>
      <c r="K575" s="3194">
        <v>11.64</v>
      </c>
      <c r="L575" s="3196"/>
    </row>
    <row r="576" spans="1:12">
      <c r="A576" s="3190">
        <v>575</v>
      </c>
      <c r="B576" s="3191" t="s">
        <v>4583</v>
      </c>
      <c r="C576" s="3191" t="s">
        <v>5169</v>
      </c>
      <c r="D576" s="3192" t="s">
        <v>5747</v>
      </c>
      <c r="E576" s="3191" t="s">
        <v>4584</v>
      </c>
      <c r="F576" s="3193" t="s">
        <v>5171</v>
      </c>
      <c r="G576" s="3197">
        <v>2005</v>
      </c>
      <c r="H576" s="3191" t="s">
        <v>4589</v>
      </c>
      <c r="I576" s="3191" t="s">
        <v>5754</v>
      </c>
      <c r="J576" s="3194">
        <v>34.46</v>
      </c>
      <c r="K576" s="3194">
        <v>11.64</v>
      </c>
      <c r="L576" s="3196"/>
    </row>
    <row r="577" spans="1:12">
      <c r="A577" s="3190">
        <v>576</v>
      </c>
      <c r="B577" s="3191" t="s">
        <v>5749</v>
      </c>
      <c r="C577" s="3191" t="s">
        <v>4007</v>
      </c>
      <c r="D577" s="3192" t="s">
        <v>5747</v>
      </c>
      <c r="E577" s="3191" t="s">
        <v>5750</v>
      </c>
      <c r="F577" s="3193" t="s">
        <v>4009</v>
      </c>
      <c r="G577" s="3197">
        <v>2006</v>
      </c>
      <c r="H577" s="3191" t="s">
        <v>5755</v>
      </c>
      <c r="I577" s="3191" t="s">
        <v>4590</v>
      </c>
      <c r="J577" s="3194">
        <v>34.46</v>
      </c>
      <c r="K577" s="3194">
        <v>11.64</v>
      </c>
      <c r="L577" s="3196"/>
    </row>
    <row r="578" spans="1:12">
      <c r="A578" s="3190">
        <v>577</v>
      </c>
      <c r="B578" s="3191" t="s">
        <v>4583</v>
      </c>
      <c r="C578" s="3191" t="s">
        <v>5169</v>
      </c>
      <c r="D578" s="3192" t="s">
        <v>5747</v>
      </c>
      <c r="E578" s="3191" t="s">
        <v>4584</v>
      </c>
      <c r="F578" s="3207" t="s">
        <v>5756</v>
      </c>
      <c r="G578" s="3197">
        <v>2007</v>
      </c>
      <c r="H578" s="3191" t="s">
        <v>4592</v>
      </c>
      <c r="I578" s="3191" t="s">
        <v>5757</v>
      </c>
      <c r="J578" s="3194">
        <v>34.46</v>
      </c>
      <c r="K578" s="3194">
        <v>11.64</v>
      </c>
      <c r="L578" s="3196"/>
    </row>
    <row r="579" spans="1:12">
      <c r="A579" s="3190">
        <v>578</v>
      </c>
      <c r="B579" s="3191" t="s">
        <v>5749</v>
      </c>
      <c r="C579" s="3191" t="s">
        <v>4007</v>
      </c>
      <c r="D579" s="3192" t="s">
        <v>5747</v>
      </c>
      <c r="E579" s="3191" t="s">
        <v>5750</v>
      </c>
      <c r="F579" s="3207" t="s">
        <v>4591</v>
      </c>
      <c r="G579" s="3197">
        <v>2008</v>
      </c>
      <c r="H579" s="3191" t="s">
        <v>5758</v>
      </c>
      <c r="I579" s="3191" t="s">
        <v>4593</v>
      </c>
      <c r="J579" s="3194">
        <v>34.46</v>
      </c>
      <c r="K579" s="3194">
        <v>11.64</v>
      </c>
      <c r="L579" s="3196"/>
    </row>
    <row r="580" spans="1:12">
      <c r="A580" s="3190">
        <v>579</v>
      </c>
      <c r="B580" s="3191" t="s">
        <v>4583</v>
      </c>
      <c r="C580" s="3191" t="s">
        <v>5169</v>
      </c>
      <c r="D580" s="3192" t="s">
        <v>5747</v>
      </c>
      <c r="E580" s="3191" t="s">
        <v>4584</v>
      </c>
      <c r="F580" s="3193" t="s">
        <v>5171</v>
      </c>
      <c r="G580" s="3197">
        <v>2009</v>
      </c>
      <c r="H580" s="3191" t="s">
        <v>4594</v>
      </c>
      <c r="I580" s="3191" t="s">
        <v>5759</v>
      </c>
      <c r="J580" s="3194">
        <v>34.46</v>
      </c>
      <c r="K580" s="3194">
        <v>11.64</v>
      </c>
      <c r="L580" s="3196"/>
    </row>
    <row r="581" spans="1:12">
      <c r="A581" s="3190">
        <v>580</v>
      </c>
      <c r="B581" s="3191" t="s">
        <v>5749</v>
      </c>
      <c r="C581" s="3191" t="s">
        <v>4007</v>
      </c>
      <c r="D581" s="3192" t="s">
        <v>5747</v>
      </c>
      <c r="E581" s="3191" t="s">
        <v>5750</v>
      </c>
      <c r="F581" s="3193" t="s">
        <v>4009</v>
      </c>
      <c r="G581" s="3197">
        <v>2010</v>
      </c>
      <c r="H581" s="3191" t="s">
        <v>5760</v>
      </c>
      <c r="I581" s="3191" t="s">
        <v>4595</v>
      </c>
      <c r="J581" s="3194">
        <v>34.46</v>
      </c>
      <c r="K581" s="3194">
        <v>11.64</v>
      </c>
      <c r="L581" s="3196"/>
    </row>
    <row r="582" spans="1:12">
      <c r="A582" s="3190">
        <v>581</v>
      </c>
      <c r="B582" s="3191" t="s">
        <v>4583</v>
      </c>
      <c r="C582" s="3191" t="s">
        <v>5169</v>
      </c>
      <c r="D582" s="3192" t="s">
        <v>5747</v>
      </c>
      <c r="E582" s="3191" t="s">
        <v>4584</v>
      </c>
      <c r="F582" s="3193" t="s">
        <v>5171</v>
      </c>
      <c r="G582" s="3197">
        <v>2011</v>
      </c>
      <c r="H582" s="3191" t="s">
        <v>4596</v>
      </c>
      <c r="I582" s="3191" t="s">
        <v>5761</v>
      </c>
      <c r="J582" s="3194">
        <v>34.46</v>
      </c>
      <c r="K582" s="3194">
        <v>11.64</v>
      </c>
      <c r="L582" s="3196"/>
    </row>
    <row r="583" spans="1:12">
      <c r="A583" s="3190">
        <v>582</v>
      </c>
      <c r="B583" s="3191" t="s">
        <v>5749</v>
      </c>
      <c r="C583" s="3191" t="s">
        <v>4007</v>
      </c>
      <c r="D583" s="3192" t="s">
        <v>5747</v>
      </c>
      <c r="E583" s="3191" t="s">
        <v>5750</v>
      </c>
      <c r="F583" s="3193" t="s">
        <v>4009</v>
      </c>
      <c r="G583" s="3197">
        <v>2012</v>
      </c>
      <c r="H583" s="3191" t="s">
        <v>5762</v>
      </c>
      <c r="I583" s="3191" t="s">
        <v>4597</v>
      </c>
      <c r="J583" s="3194">
        <v>34.46</v>
      </c>
      <c r="K583" s="3194">
        <v>11.64</v>
      </c>
      <c r="L583" s="3196"/>
    </row>
    <row r="584" spans="1:12">
      <c r="A584" s="3190">
        <v>583</v>
      </c>
      <c r="B584" s="3191" t="s">
        <v>4583</v>
      </c>
      <c r="C584" s="3191" t="s">
        <v>5169</v>
      </c>
      <c r="D584" s="3192" t="s">
        <v>5747</v>
      </c>
      <c r="E584" s="3191" t="s">
        <v>4584</v>
      </c>
      <c r="F584" s="3193" t="s">
        <v>5171</v>
      </c>
      <c r="G584" s="3197">
        <v>2014</v>
      </c>
      <c r="H584" s="3191" t="s">
        <v>4598</v>
      </c>
      <c r="I584" s="3191" t="s">
        <v>5763</v>
      </c>
      <c r="J584" s="3194">
        <v>38.049999999999997</v>
      </c>
      <c r="K584" s="3194">
        <v>12.85</v>
      </c>
      <c r="L584" s="3196"/>
    </row>
    <row r="585" spans="1:12">
      <c r="A585" s="3190">
        <v>584</v>
      </c>
      <c r="B585" s="3191" t="s">
        <v>5749</v>
      </c>
      <c r="C585" s="3191" t="s">
        <v>4007</v>
      </c>
      <c r="D585" s="3192" t="s">
        <v>5747</v>
      </c>
      <c r="E585" s="3191" t="s">
        <v>5750</v>
      </c>
      <c r="F585" s="3193" t="s">
        <v>4009</v>
      </c>
      <c r="G585" s="3197">
        <v>2015</v>
      </c>
      <c r="H585" s="3191" t="s">
        <v>5764</v>
      </c>
      <c r="I585" s="3191" t="s">
        <v>4599</v>
      </c>
      <c r="J585" s="3194">
        <v>34.46</v>
      </c>
      <c r="K585" s="3194">
        <v>11.64</v>
      </c>
      <c r="L585" s="3196"/>
    </row>
    <row r="586" spans="1:12">
      <c r="A586" s="3190">
        <v>585</v>
      </c>
      <c r="B586" s="3191" t="s">
        <v>4583</v>
      </c>
      <c r="C586" s="3191" t="s">
        <v>5169</v>
      </c>
      <c r="D586" s="3192" t="s">
        <v>5747</v>
      </c>
      <c r="E586" s="3191" t="s">
        <v>4584</v>
      </c>
      <c r="F586" s="3193" t="s">
        <v>5171</v>
      </c>
      <c r="G586" s="3197">
        <v>2017</v>
      </c>
      <c r="H586" s="3191" t="s">
        <v>4600</v>
      </c>
      <c r="I586" s="3191" t="s">
        <v>5765</v>
      </c>
      <c r="J586" s="3194">
        <v>34.46</v>
      </c>
      <c r="K586" s="3194">
        <v>11.64</v>
      </c>
      <c r="L586" s="3196"/>
    </row>
    <row r="587" spans="1:12">
      <c r="A587" s="3190">
        <v>586</v>
      </c>
      <c r="B587" s="3191" t="s">
        <v>5749</v>
      </c>
      <c r="C587" s="3191" t="s">
        <v>4007</v>
      </c>
      <c r="D587" s="3192" t="s">
        <v>5747</v>
      </c>
      <c r="E587" s="3191" t="s">
        <v>5750</v>
      </c>
      <c r="F587" s="3193" t="s">
        <v>4009</v>
      </c>
      <c r="G587" s="3197">
        <v>2018</v>
      </c>
      <c r="H587" s="3191" t="s">
        <v>5766</v>
      </c>
      <c r="I587" s="3191" t="s">
        <v>4601</v>
      </c>
      <c r="J587" s="3194">
        <v>34.46</v>
      </c>
      <c r="K587" s="3194">
        <v>11.64</v>
      </c>
      <c r="L587" s="3196"/>
    </row>
    <row r="588" spans="1:12">
      <c r="A588" s="3190">
        <v>587</v>
      </c>
      <c r="B588" s="3191" t="s">
        <v>4583</v>
      </c>
      <c r="C588" s="3191" t="s">
        <v>5169</v>
      </c>
      <c r="D588" s="3192" t="s">
        <v>5747</v>
      </c>
      <c r="E588" s="3191" t="s">
        <v>4584</v>
      </c>
      <c r="F588" s="3193" t="s">
        <v>5171</v>
      </c>
      <c r="G588" s="3197">
        <v>2019</v>
      </c>
      <c r="H588" s="3191" t="s">
        <v>4602</v>
      </c>
      <c r="I588" s="3191" t="s">
        <v>5767</v>
      </c>
      <c r="J588" s="3194">
        <v>34.46</v>
      </c>
      <c r="K588" s="3194">
        <v>11.64</v>
      </c>
      <c r="L588" s="3196"/>
    </row>
    <row r="589" spans="1:12">
      <c r="A589" s="3190">
        <v>588</v>
      </c>
      <c r="B589" s="3191" t="s">
        <v>5749</v>
      </c>
      <c r="C589" s="3191" t="s">
        <v>4007</v>
      </c>
      <c r="D589" s="3192" t="s">
        <v>5747</v>
      </c>
      <c r="E589" s="3191" t="s">
        <v>5750</v>
      </c>
      <c r="F589" s="3193" t="s">
        <v>4009</v>
      </c>
      <c r="G589" s="3197">
        <v>2020</v>
      </c>
      <c r="H589" s="3191" t="s">
        <v>5768</v>
      </c>
      <c r="I589" s="3191" t="s">
        <v>4603</v>
      </c>
      <c r="J589" s="3194">
        <v>34.46</v>
      </c>
      <c r="K589" s="3194">
        <v>11.64</v>
      </c>
      <c r="L589" s="3196"/>
    </row>
    <row r="590" spans="1:12">
      <c r="A590" s="3190">
        <v>589</v>
      </c>
      <c r="B590" s="3191" t="s">
        <v>4583</v>
      </c>
      <c r="C590" s="3191" t="s">
        <v>5169</v>
      </c>
      <c r="D590" s="3192" t="s">
        <v>5747</v>
      </c>
      <c r="E590" s="3191" t="s">
        <v>4584</v>
      </c>
      <c r="F590" s="3193" t="s">
        <v>5171</v>
      </c>
      <c r="G590" s="3197">
        <v>2021</v>
      </c>
      <c r="H590" s="3191" t="s">
        <v>4604</v>
      </c>
      <c r="I590" s="3191" t="s">
        <v>5769</v>
      </c>
      <c r="J590" s="3194">
        <v>34.46</v>
      </c>
      <c r="K590" s="3194">
        <v>11.64</v>
      </c>
      <c r="L590" s="3196"/>
    </row>
    <row r="591" spans="1:12">
      <c r="A591" s="3190">
        <v>590</v>
      </c>
      <c r="B591" s="3191" t="s">
        <v>5749</v>
      </c>
      <c r="C591" s="3191" t="s">
        <v>4007</v>
      </c>
      <c r="D591" s="3192" t="s">
        <v>5747</v>
      </c>
      <c r="E591" s="3191" t="s">
        <v>5750</v>
      </c>
      <c r="F591" s="3193" t="s">
        <v>4009</v>
      </c>
      <c r="G591" s="3197">
        <v>2023</v>
      </c>
      <c r="H591" s="3191" t="s">
        <v>5770</v>
      </c>
      <c r="I591" s="3191" t="s">
        <v>4605</v>
      </c>
      <c r="J591" s="3194">
        <v>34.46</v>
      </c>
      <c r="K591" s="3194">
        <v>11.64</v>
      </c>
      <c r="L591" s="3196"/>
    </row>
    <row r="592" spans="1:12">
      <c r="A592" s="3190">
        <v>591</v>
      </c>
      <c r="B592" s="3191" t="s">
        <v>4583</v>
      </c>
      <c r="C592" s="3191" t="s">
        <v>5169</v>
      </c>
      <c r="D592" s="3192" t="s">
        <v>5747</v>
      </c>
      <c r="E592" s="3191" t="s">
        <v>4584</v>
      </c>
      <c r="F592" s="3193" t="s">
        <v>5171</v>
      </c>
      <c r="G592" s="3197">
        <v>2024</v>
      </c>
      <c r="H592" s="3191" t="s">
        <v>4606</v>
      </c>
      <c r="I592" s="3191" t="s">
        <v>5771</v>
      </c>
      <c r="J592" s="3194">
        <v>34.46</v>
      </c>
      <c r="K592" s="3194">
        <v>11.64</v>
      </c>
      <c r="L592" s="3196"/>
    </row>
    <row r="593" spans="1:12">
      <c r="A593" s="3190">
        <v>592</v>
      </c>
      <c r="B593" s="3191" t="s">
        <v>5749</v>
      </c>
      <c r="C593" s="3191" t="s">
        <v>4007</v>
      </c>
      <c r="D593" s="3192" t="s">
        <v>5747</v>
      </c>
      <c r="E593" s="3191" t="s">
        <v>5750</v>
      </c>
      <c r="F593" s="3207" t="s">
        <v>4591</v>
      </c>
      <c r="G593" s="3197">
        <v>2025</v>
      </c>
      <c r="H593" s="3191" t="s">
        <v>5772</v>
      </c>
      <c r="I593" s="3191" t="s">
        <v>4607</v>
      </c>
      <c r="J593" s="3194">
        <v>34.46</v>
      </c>
      <c r="K593" s="3194">
        <v>11.64</v>
      </c>
      <c r="L593" s="3196"/>
    </row>
    <row r="594" spans="1:12">
      <c r="A594" s="3190">
        <v>593</v>
      </c>
      <c r="B594" s="3191" t="s">
        <v>4583</v>
      </c>
      <c r="C594" s="3191" t="s">
        <v>5169</v>
      </c>
      <c r="D594" s="3192" t="s">
        <v>5747</v>
      </c>
      <c r="E594" s="3191" t="s">
        <v>4584</v>
      </c>
      <c r="F594" s="3193" t="s">
        <v>5171</v>
      </c>
      <c r="G594" s="3197">
        <v>2026</v>
      </c>
      <c r="H594" s="3191" t="s">
        <v>4608</v>
      </c>
      <c r="I594" s="3191" t="s">
        <v>5773</v>
      </c>
      <c r="J594" s="3194">
        <v>34.46</v>
      </c>
      <c r="K594" s="3194">
        <v>11.64</v>
      </c>
      <c r="L594" s="3196"/>
    </row>
    <row r="595" spans="1:12">
      <c r="A595" s="3190">
        <v>594</v>
      </c>
      <c r="B595" s="3191" t="s">
        <v>5749</v>
      </c>
      <c r="C595" s="3191" t="s">
        <v>4007</v>
      </c>
      <c r="D595" s="3192" t="s">
        <v>5747</v>
      </c>
      <c r="E595" s="3191" t="s">
        <v>5750</v>
      </c>
      <c r="F595" s="3193" t="s">
        <v>4009</v>
      </c>
      <c r="G595" s="3197">
        <v>2028</v>
      </c>
      <c r="H595" s="3191" t="s">
        <v>5774</v>
      </c>
      <c r="I595" s="3191" t="s">
        <v>4609</v>
      </c>
      <c r="J595" s="3194">
        <v>34.46</v>
      </c>
      <c r="K595" s="3194">
        <v>11.64</v>
      </c>
      <c r="L595" s="3196"/>
    </row>
    <row r="596" spans="1:12">
      <c r="A596" s="3190">
        <v>595</v>
      </c>
      <c r="B596" s="3191" t="s">
        <v>4583</v>
      </c>
      <c r="C596" s="3191" t="s">
        <v>5169</v>
      </c>
      <c r="D596" s="3192" t="s">
        <v>5747</v>
      </c>
      <c r="E596" s="3191" t="s">
        <v>4584</v>
      </c>
      <c r="F596" s="3193" t="s">
        <v>5171</v>
      </c>
      <c r="G596" s="3197">
        <v>2029</v>
      </c>
      <c r="H596" s="3191" t="s">
        <v>4610</v>
      </c>
      <c r="I596" s="3191" t="s">
        <v>5775</v>
      </c>
      <c r="J596" s="3194">
        <v>34.46</v>
      </c>
      <c r="K596" s="3194">
        <v>11.64</v>
      </c>
      <c r="L596" s="3196"/>
    </row>
    <row r="597" spans="1:12">
      <c r="A597" s="3190">
        <v>596</v>
      </c>
      <c r="B597" s="3191" t="s">
        <v>5749</v>
      </c>
      <c r="C597" s="3191" t="s">
        <v>4007</v>
      </c>
      <c r="D597" s="3192" t="s">
        <v>5747</v>
      </c>
      <c r="E597" s="3191" t="s">
        <v>5750</v>
      </c>
      <c r="F597" s="3193" t="s">
        <v>4009</v>
      </c>
      <c r="G597" s="3197">
        <v>2030</v>
      </c>
      <c r="H597" s="3191" t="s">
        <v>5776</v>
      </c>
      <c r="I597" s="3191" t="s">
        <v>4611</v>
      </c>
      <c r="J597" s="3194">
        <v>34.46</v>
      </c>
      <c r="K597" s="3194">
        <v>11.64</v>
      </c>
      <c r="L597" s="3196"/>
    </row>
    <row r="598" spans="1:12">
      <c r="A598" s="3190">
        <v>597</v>
      </c>
      <c r="B598" s="3191" t="s">
        <v>4583</v>
      </c>
      <c r="C598" s="3191" t="s">
        <v>5169</v>
      </c>
      <c r="D598" s="3192" t="s">
        <v>5747</v>
      </c>
      <c r="E598" s="3191" t="s">
        <v>4584</v>
      </c>
      <c r="F598" s="3193" t="s">
        <v>5171</v>
      </c>
      <c r="G598" s="3197">
        <v>2031</v>
      </c>
      <c r="H598" s="3191" t="s">
        <v>4612</v>
      </c>
      <c r="I598" s="3191" t="s">
        <v>5777</v>
      </c>
      <c r="J598" s="3211">
        <v>33.75</v>
      </c>
      <c r="K598" s="3203">
        <v>11.4</v>
      </c>
      <c r="L598" s="3196"/>
    </row>
    <row r="599" spans="1:12">
      <c r="A599" s="3190">
        <v>598</v>
      </c>
      <c r="B599" s="3191" t="s">
        <v>5749</v>
      </c>
      <c r="C599" s="3191" t="s">
        <v>4007</v>
      </c>
      <c r="D599" s="3192" t="s">
        <v>5747</v>
      </c>
      <c r="E599" s="3191" t="s">
        <v>5750</v>
      </c>
      <c r="F599" s="3193" t="s">
        <v>4009</v>
      </c>
      <c r="G599" s="3197">
        <v>2032</v>
      </c>
      <c r="H599" s="3191" t="s">
        <v>5778</v>
      </c>
      <c r="I599" s="3191" t="s">
        <v>4613</v>
      </c>
      <c r="J599" s="3194">
        <v>33.75</v>
      </c>
      <c r="K599" s="3203">
        <v>11.4</v>
      </c>
      <c r="L599" s="3196"/>
    </row>
    <row r="600" spans="1:12">
      <c r="A600" s="3190">
        <v>599</v>
      </c>
      <c r="B600" s="3191" t="s">
        <v>4583</v>
      </c>
      <c r="C600" s="3191" t="s">
        <v>5169</v>
      </c>
      <c r="D600" s="3192" t="s">
        <v>5747</v>
      </c>
      <c r="E600" s="3191" t="s">
        <v>4584</v>
      </c>
      <c r="F600" s="3193" t="s">
        <v>5171</v>
      </c>
      <c r="G600" s="3197">
        <v>2033</v>
      </c>
      <c r="H600" s="3191" t="s">
        <v>4614</v>
      </c>
      <c r="I600" s="3191" t="s">
        <v>5779</v>
      </c>
      <c r="J600" s="3194">
        <v>33.75</v>
      </c>
      <c r="K600" s="3203">
        <v>11.4</v>
      </c>
      <c r="L600" s="3196"/>
    </row>
    <row r="601" spans="1:12">
      <c r="A601" s="3190">
        <v>600</v>
      </c>
      <c r="B601" s="3191" t="s">
        <v>5749</v>
      </c>
      <c r="C601" s="3191" t="s">
        <v>4007</v>
      </c>
      <c r="D601" s="3192" t="s">
        <v>5747</v>
      </c>
      <c r="E601" s="3191" t="s">
        <v>5750</v>
      </c>
      <c r="F601" s="3193" t="s">
        <v>4009</v>
      </c>
      <c r="G601" s="3197">
        <v>2034</v>
      </c>
      <c r="H601" s="3191" t="s">
        <v>5780</v>
      </c>
      <c r="I601" s="3191" t="s">
        <v>4615</v>
      </c>
      <c r="J601" s="3194">
        <v>33.75</v>
      </c>
      <c r="K601" s="3203">
        <v>11.4</v>
      </c>
      <c r="L601" s="3196"/>
    </row>
    <row r="602" spans="1:12">
      <c r="A602" s="3190">
        <v>601</v>
      </c>
      <c r="B602" s="3191" t="s">
        <v>4583</v>
      </c>
      <c r="C602" s="3191" t="s">
        <v>5169</v>
      </c>
      <c r="D602" s="3192" t="s">
        <v>5747</v>
      </c>
      <c r="E602" s="3191" t="s">
        <v>4584</v>
      </c>
      <c r="F602" s="3193" t="s">
        <v>5171</v>
      </c>
      <c r="G602" s="3197">
        <v>2035</v>
      </c>
      <c r="H602" s="3191" t="s">
        <v>4616</v>
      </c>
      <c r="I602" s="3191" t="s">
        <v>5781</v>
      </c>
      <c r="J602" s="3194">
        <v>33.75</v>
      </c>
      <c r="K602" s="3203">
        <v>11.4</v>
      </c>
      <c r="L602" s="3196"/>
    </row>
    <row r="603" spans="1:12">
      <c r="A603" s="3190">
        <v>602</v>
      </c>
      <c r="B603" s="3191" t="s">
        <v>5749</v>
      </c>
      <c r="C603" s="3191" t="s">
        <v>4007</v>
      </c>
      <c r="D603" s="3192" t="s">
        <v>5747</v>
      </c>
      <c r="E603" s="3191" t="s">
        <v>5750</v>
      </c>
      <c r="F603" s="3193" t="s">
        <v>4009</v>
      </c>
      <c r="G603" s="3197">
        <v>2036</v>
      </c>
      <c r="H603" s="3191" t="s">
        <v>5782</v>
      </c>
      <c r="I603" s="3191" t="s">
        <v>4617</v>
      </c>
      <c r="J603" s="3194">
        <v>33.75</v>
      </c>
      <c r="K603" s="3203">
        <v>11.4</v>
      </c>
      <c r="L603" s="3196"/>
    </row>
    <row r="604" spans="1:12">
      <c r="A604" s="3190">
        <v>603</v>
      </c>
      <c r="B604" s="3191" t="s">
        <v>4583</v>
      </c>
      <c r="C604" s="3191" t="s">
        <v>5169</v>
      </c>
      <c r="D604" s="3192" t="s">
        <v>5747</v>
      </c>
      <c r="E604" s="3191" t="s">
        <v>4584</v>
      </c>
      <c r="F604" s="3193" t="s">
        <v>5171</v>
      </c>
      <c r="G604" s="3197">
        <v>2037</v>
      </c>
      <c r="H604" s="3191" t="s">
        <v>4618</v>
      </c>
      <c r="I604" s="3191" t="s">
        <v>5783</v>
      </c>
      <c r="J604" s="3194">
        <v>34.46</v>
      </c>
      <c r="K604" s="3194">
        <v>11.64</v>
      </c>
      <c r="L604" s="3196"/>
    </row>
    <row r="605" spans="1:12">
      <c r="A605" s="3190">
        <v>604</v>
      </c>
      <c r="B605" s="3191" t="s">
        <v>5749</v>
      </c>
      <c r="C605" s="3191" t="s">
        <v>4007</v>
      </c>
      <c r="D605" s="3192" t="s">
        <v>5747</v>
      </c>
      <c r="E605" s="3191" t="s">
        <v>5750</v>
      </c>
      <c r="F605" s="3193" t="s">
        <v>4009</v>
      </c>
      <c r="G605" s="3197">
        <v>2038</v>
      </c>
      <c r="H605" s="3191" t="s">
        <v>5784</v>
      </c>
      <c r="I605" s="3191" t="s">
        <v>4619</v>
      </c>
      <c r="J605" s="3194">
        <v>34.46</v>
      </c>
      <c r="K605" s="3194">
        <v>11.64</v>
      </c>
      <c r="L605" s="3196"/>
    </row>
    <row r="606" spans="1:12">
      <c r="A606" s="3190">
        <v>605</v>
      </c>
      <c r="B606" s="3191" t="s">
        <v>4583</v>
      </c>
      <c r="C606" s="3191" t="s">
        <v>5169</v>
      </c>
      <c r="D606" s="3192" t="s">
        <v>5747</v>
      </c>
      <c r="E606" s="3191" t="s">
        <v>4584</v>
      </c>
      <c r="F606" s="3193" t="s">
        <v>5171</v>
      </c>
      <c r="G606" s="3197">
        <v>2039</v>
      </c>
      <c r="H606" s="3191" t="s">
        <v>4620</v>
      </c>
      <c r="I606" s="3191" t="s">
        <v>5785</v>
      </c>
      <c r="J606" s="3194">
        <v>34.46</v>
      </c>
      <c r="K606" s="3194">
        <v>11.64</v>
      </c>
      <c r="L606" s="3196"/>
    </row>
    <row r="607" spans="1:12">
      <c r="A607" s="3190">
        <v>606</v>
      </c>
      <c r="B607" s="3191" t="s">
        <v>5749</v>
      </c>
      <c r="C607" s="3191" t="s">
        <v>4007</v>
      </c>
      <c r="D607" s="3192" t="s">
        <v>5786</v>
      </c>
      <c r="E607" s="3191" t="s">
        <v>5750</v>
      </c>
      <c r="F607" s="3193" t="s">
        <v>4009</v>
      </c>
      <c r="G607" s="3197">
        <v>2040</v>
      </c>
      <c r="H607" s="3191" t="s">
        <v>5787</v>
      </c>
      <c r="I607" s="3191" t="s">
        <v>4621</v>
      </c>
      <c r="J607" s="3194">
        <v>36.630000000000003</v>
      </c>
      <c r="K607" s="3194">
        <v>12.37</v>
      </c>
      <c r="L607" s="3196"/>
    </row>
    <row r="608" spans="1:12">
      <c r="A608" s="3190">
        <v>607</v>
      </c>
      <c r="B608" s="3191" t="s">
        <v>4583</v>
      </c>
      <c r="C608" s="3191" t="s">
        <v>5169</v>
      </c>
      <c r="D608" s="3192" t="s">
        <v>5786</v>
      </c>
      <c r="E608" s="3191" t="s">
        <v>4584</v>
      </c>
      <c r="F608" s="3193" t="s">
        <v>5171</v>
      </c>
      <c r="G608" s="3197">
        <v>2041</v>
      </c>
      <c r="H608" s="3191" t="s">
        <v>4622</v>
      </c>
      <c r="I608" s="3191" t="s">
        <v>5788</v>
      </c>
      <c r="J608" s="3194">
        <v>36.630000000000003</v>
      </c>
      <c r="K608" s="3194">
        <v>12.37</v>
      </c>
      <c r="L608" s="3196"/>
    </row>
    <row r="609" spans="1:12">
      <c r="A609" s="3190">
        <v>608</v>
      </c>
      <c r="B609" s="3191" t="s">
        <v>5749</v>
      </c>
      <c r="C609" s="3191" t="s">
        <v>4007</v>
      </c>
      <c r="D609" s="3192" t="s">
        <v>5786</v>
      </c>
      <c r="E609" s="3191" t="s">
        <v>5750</v>
      </c>
      <c r="F609" s="3193" t="s">
        <v>4009</v>
      </c>
      <c r="G609" s="3197">
        <v>2042</v>
      </c>
      <c r="H609" s="3191" t="s">
        <v>5789</v>
      </c>
      <c r="I609" s="3191" t="s">
        <v>4623</v>
      </c>
      <c r="J609" s="3194">
        <v>36.630000000000003</v>
      </c>
      <c r="K609" s="3194">
        <v>12.37</v>
      </c>
      <c r="L609" s="3196"/>
    </row>
    <row r="610" spans="1:12">
      <c r="A610" s="3190">
        <v>609</v>
      </c>
      <c r="B610" s="3191" t="s">
        <v>4583</v>
      </c>
      <c r="C610" s="3191" t="s">
        <v>5169</v>
      </c>
      <c r="D610" s="3192" t="s">
        <v>5786</v>
      </c>
      <c r="E610" s="3191" t="s">
        <v>4584</v>
      </c>
      <c r="F610" s="3193" t="s">
        <v>5171</v>
      </c>
      <c r="G610" s="3197">
        <v>2043</v>
      </c>
      <c r="H610" s="3191" t="s">
        <v>4624</v>
      </c>
      <c r="I610" s="3191" t="s">
        <v>5790</v>
      </c>
      <c r="J610" s="3194">
        <v>36.630000000000003</v>
      </c>
      <c r="K610" s="3194">
        <v>12.37</v>
      </c>
      <c r="L610" s="3196"/>
    </row>
    <row r="611" spans="1:12">
      <c r="A611" s="3190">
        <v>610</v>
      </c>
      <c r="B611" s="3191" t="s">
        <v>5749</v>
      </c>
      <c r="C611" s="3191" t="s">
        <v>4007</v>
      </c>
      <c r="D611" s="3192" t="s">
        <v>5786</v>
      </c>
      <c r="E611" s="3191" t="s">
        <v>5750</v>
      </c>
      <c r="F611" s="3193" t="s">
        <v>4009</v>
      </c>
      <c r="G611" s="3197">
        <v>2044</v>
      </c>
      <c r="H611" s="3191" t="s">
        <v>5791</v>
      </c>
      <c r="I611" s="3191" t="s">
        <v>4625</v>
      </c>
      <c r="J611" s="3194">
        <v>36.630000000000003</v>
      </c>
      <c r="K611" s="3194">
        <v>12.37</v>
      </c>
      <c r="L611" s="3196"/>
    </row>
    <row r="612" spans="1:12">
      <c r="A612" s="3190">
        <v>611</v>
      </c>
      <c r="B612" s="3191" t="s">
        <v>4583</v>
      </c>
      <c r="C612" s="3191" t="s">
        <v>5169</v>
      </c>
      <c r="D612" s="3192" t="s">
        <v>5786</v>
      </c>
      <c r="E612" s="3191" t="s">
        <v>4584</v>
      </c>
      <c r="F612" s="3193" t="s">
        <v>5171</v>
      </c>
      <c r="G612" s="3197">
        <v>2045</v>
      </c>
      <c r="H612" s="3191" t="s">
        <v>4626</v>
      </c>
      <c r="I612" s="3191" t="s">
        <v>5792</v>
      </c>
      <c r="J612" s="3194">
        <v>36.630000000000003</v>
      </c>
      <c r="K612" s="3194">
        <v>12.37</v>
      </c>
      <c r="L612" s="3196"/>
    </row>
    <row r="613" spans="1:12">
      <c r="A613" s="3190">
        <v>612</v>
      </c>
      <c r="B613" s="3191" t="s">
        <v>5749</v>
      </c>
      <c r="C613" s="3191" t="s">
        <v>4007</v>
      </c>
      <c r="D613" s="3192" t="s">
        <v>5786</v>
      </c>
      <c r="E613" s="3191" t="s">
        <v>5750</v>
      </c>
      <c r="F613" s="3193" t="s">
        <v>4009</v>
      </c>
      <c r="G613" s="3197">
        <v>2046</v>
      </c>
      <c r="H613" s="3191" t="s">
        <v>5793</v>
      </c>
      <c r="I613" s="3191" t="s">
        <v>4627</v>
      </c>
      <c r="J613" s="3194">
        <v>36.630000000000003</v>
      </c>
      <c r="K613" s="3194">
        <v>12.37</v>
      </c>
      <c r="L613" s="3196"/>
    </row>
    <row r="614" spans="1:12">
      <c r="A614" s="3190">
        <v>613</v>
      </c>
      <c r="B614" s="3191" t="s">
        <v>4583</v>
      </c>
      <c r="C614" s="3191" t="s">
        <v>5169</v>
      </c>
      <c r="D614" s="3192" t="s">
        <v>5786</v>
      </c>
      <c r="E614" s="3191" t="s">
        <v>4584</v>
      </c>
      <c r="F614" s="3193" t="s">
        <v>5171</v>
      </c>
      <c r="G614" s="3197">
        <v>2047</v>
      </c>
      <c r="H614" s="3191" t="s">
        <v>4628</v>
      </c>
      <c r="I614" s="3191" t="s">
        <v>5794</v>
      </c>
      <c r="J614" s="3194">
        <v>36.630000000000003</v>
      </c>
      <c r="K614" s="3194">
        <v>12.37</v>
      </c>
      <c r="L614" s="3196"/>
    </row>
    <row r="615" spans="1:12">
      <c r="A615" s="3190">
        <v>614</v>
      </c>
      <c r="B615" s="3191" t="s">
        <v>5749</v>
      </c>
      <c r="C615" s="3191" t="s">
        <v>4007</v>
      </c>
      <c r="D615" s="3192" t="s">
        <v>5786</v>
      </c>
      <c r="E615" s="3191" t="s">
        <v>5750</v>
      </c>
      <c r="F615" s="3193" t="s">
        <v>4009</v>
      </c>
      <c r="G615" s="3197">
        <v>2048</v>
      </c>
      <c r="H615" s="3191" t="s">
        <v>5795</v>
      </c>
      <c r="I615" s="3191" t="s">
        <v>4629</v>
      </c>
      <c r="J615" s="3194">
        <v>36.630000000000003</v>
      </c>
      <c r="K615" s="3194">
        <v>12.37</v>
      </c>
      <c r="L615" s="3196"/>
    </row>
    <row r="616" spans="1:12">
      <c r="A616" s="3190">
        <v>615</v>
      </c>
      <c r="B616" s="3191" t="s">
        <v>4583</v>
      </c>
      <c r="C616" s="3191" t="s">
        <v>5169</v>
      </c>
      <c r="D616" s="3192" t="s">
        <v>5786</v>
      </c>
      <c r="E616" s="3191" t="s">
        <v>4584</v>
      </c>
      <c r="F616" s="3193" t="s">
        <v>5171</v>
      </c>
      <c r="G616" s="3197">
        <v>2049</v>
      </c>
      <c r="H616" s="3191" t="s">
        <v>4630</v>
      </c>
      <c r="I616" s="3191" t="s">
        <v>5796</v>
      </c>
      <c r="J616" s="3194">
        <v>36.630000000000003</v>
      </c>
      <c r="K616" s="3194">
        <v>12.37</v>
      </c>
      <c r="L616" s="3196"/>
    </row>
    <row r="617" spans="1:12">
      <c r="A617" s="3190">
        <v>616</v>
      </c>
      <c r="B617" s="3191" t="s">
        <v>5749</v>
      </c>
      <c r="C617" s="3191" t="s">
        <v>4007</v>
      </c>
      <c r="D617" s="3192" t="s">
        <v>5786</v>
      </c>
      <c r="E617" s="3191" t="s">
        <v>5750</v>
      </c>
      <c r="F617" s="3193" t="s">
        <v>4009</v>
      </c>
      <c r="G617" s="3197">
        <v>2050</v>
      </c>
      <c r="H617" s="3191" t="s">
        <v>5797</v>
      </c>
      <c r="I617" s="3191" t="s">
        <v>4631</v>
      </c>
      <c r="J617" s="3194">
        <v>36.630000000000003</v>
      </c>
      <c r="K617" s="3194">
        <v>12.37</v>
      </c>
      <c r="L617" s="3196"/>
    </row>
    <row r="618" spans="1:12">
      <c r="A618" s="3190">
        <v>617</v>
      </c>
      <c r="B618" s="3191" t="s">
        <v>4583</v>
      </c>
      <c r="C618" s="3191" t="s">
        <v>5169</v>
      </c>
      <c r="D618" s="3192" t="s">
        <v>5786</v>
      </c>
      <c r="E618" s="3191" t="s">
        <v>4584</v>
      </c>
      <c r="F618" s="3193" t="s">
        <v>5171</v>
      </c>
      <c r="G618" s="3197">
        <v>2051</v>
      </c>
      <c r="H618" s="3191" t="s">
        <v>4632</v>
      </c>
      <c r="I618" s="3191" t="s">
        <v>5798</v>
      </c>
      <c r="J618" s="3194">
        <v>36.630000000000003</v>
      </c>
      <c r="K618" s="3194">
        <v>12.37</v>
      </c>
      <c r="L618" s="3196"/>
    </row>
    <row r="619" spans="1:12">
      <c r="A619" s="3190">
        <v>618</v>
      </c>
      <c r="B619" s="3191" t="s">
        <v>5749</v>
      </c>
      <c r="C619" s="3191" t="s">
        <v>4007</v>
      </c>
      <c r="D619" s="3192" t="s">
        <v>5747</v>
      </c>
      <c r="E619" s="3191" t="s">
        <v>5750</v>
      </c>
      <c r="F619" s="3193" t="s">
        <v>4009</v>
      </c>
      <c r="G619" s="3197">
        <v>2052</v>
      </c>
      <c r="H619" s="3191" t="s">
        <v>5799</v>
      </c>
      <c r="I619" s="3191" t="s">
        <v>4633</v>
      </c>
      <c r="J619" s="3194">
        <v>36.630000000000003</v>
      </c>
      <c r="K619" s="3194">
        <v>12.37</v>
      </c>
      <c r="L619" s="3196"/>
    </row>
    <row r="620" spans="1:12">
      <c r="A620" s="3190">
        <v>619</v>
      </c>
      <c r="B620" s="3191" t="s">
        <v>4583</v>
      </c>
      <c r="C620" s="3191" t="s">
        <v>5169</v>
      </c>
      <c r="D620" s="3192" t="s">
        <v>5747</v>
      </c>
      <c r="E620" s="3191" t="s">
        <v>4584</v>
      </c>
      <c r="F620" s="3193" t="s">
        <v>5171</v>
      </c>
      <c r="G620" s="3197">
        <v>2053</v>
      </c>
      <c r="H620" s="3191" t="s">
        <v>4634</v>
      </c>
      <c r="I620" s="3191" t="s">
        <v>5800</v>
      </c>
      <c r="J620" s="3194">
        <v>36.630000000000003</v>
      </c>
      <c r="K620" s="3194">
        <v>12.37</v>
      </c>
      <c r="L620" s="3196"/>
    </row>
    <row r="621" spans="1:12">
      <c r="A621" s="3190">
        <v>620</v>
      </c>
      <c r="B621" s="3191" t="s">
        <v>5749</v>
      </c>
      <c r="C621" s="3191" t="s">
        <v>4007</v>
      </c>
      <c r="D621" s="3192" t="s">
        <v>5747</v>
      </c>
      <c r="E621" s="3191" t="s">
        <v>5750</v>
      </c>
      <c r="F621" s="3193" t="s">
        <v>4009</v>
      </c>
      <c r="G621" s="3197">
        <v>2054</v>
      </c>
      <c r="H621" s="3191" t="s">
        <v>5801</v>
      </c>
      <c r="I621" s="3191" t="s">
        <v>4635</v>
      </c>
      <c r="J621" s="3194">
        <v>36.630000000000003</v>
      </c>
      <c r="K621" s="3194">
        <v>12.37</v>
      </c>
      <c r="L621" s="3196"/>
    </row>
    <row r="622" spans="1:12">
      <c r="A622" s="3190">
        <v>621</v>
      </c>
      <c r="B622" s="3191" t="s">
        <v>4583</v>
      </c>
      <c r="C622" s="3191" t="s">
        <v>5169</v>
      </c>
      <c r="D622" s="3192" t="s">
        <v>5747</v>
      </c>
      <c r="E622" s="3191" t="s">
        <v>4584</v>
      </c>
      <c r="F622" s="3193" t="s">
        <v>5171</v>
      </c>
      <c r="G622" s="3197">
        <v>2055</v>
      </c>
      <c r="H622" s="3191" t="s">
        <v>4636</v>
      </c>
      <c r="I622" s="3191" t="s">
        <v>5802</v>
      </c>
      <c r="J622" s="3194">
        <v>35.909999999999997</v>
      </c>
      <c r="K622" s="3194">
        <v>12.13</v>
      </c>
      <c r="L622" s="3196"/>
    </row>
    <row r="623" spans="1:12">
      <c r="A623" s="3190">
        <v>622</v>
      </c>
      <c r="B623" s="3191" t="s">
        <v>5749</v>
      </c>
      <c r="C623" s="3191" t="s">
        <v>4007</v>
      </c>
      <c r="D623" s="3192" t="s">
        <v>5747</v>
      </c>
      <c r="E623" s="3191" t="s">
        <v>5750</v>
      </c>
      <c r="F623" s="3193" t="s">
        <v>4009</v>
      </c>
      <c r="G623" s="3197">
        <v>2056</v>
      </c>
      <c r="H623" s="3191" t="s">
        <v>5803</v>
      </c>
      <c r="I623" s="3191" t="s">
        <v>4637</v>
      </c>
      <c r="J623" s="3194">
        <v>35.909999999999997</v>
      </c>
      <c r="K623" s="3194">
        <v>12.13</v>
      </c>
      <c r="L623" s="3196"/>
    </row>
    <row r="624" spans="1:12">
      <c r="A624" s="3190">
        <v>623</v>
      </c>
      <c r="B624" s="3191" t="s">
        <v>4583</v>
      </c>
      <c r="C624" s="3191" t="s">
        <v>5169</v>
      </c>
      <c r="D624" s="3192" t="s">
        <v>5747</v>
      </c>
      <c r="E624" s="3191" t="s">
        <v>4584</v>
      </c>
      <c r="F624" s="3193" t="s">
        <v>5171</v>
      </c>
      <c r="G624" s="3197">
        <v>2057</v>
      </c>
      <c r="H624" s="3191" t="s">
        <v>4638</v>
      </c>
      <c r="I624" s="3191" t="s">
        <v>5804</v>
      </c>
      <c r="J624" s="3194">
        <v>35.909999999999997</v>
      </c>
      <c r="K624" s="3194">
        <v>12.13</v>
      </c>
      <c r="L624" s="3196"/>
    </row>
    <row r="625" spans="1:12">
      <c r="A625" s="3190">
        <v>624</v>
      </c>
      <c r="B625" s="3191" t="s">
        <v>5749</v>
      </c>
      <c r="C625" s="3191" t="s">
        <v>4007</v>
      </c>
      <c r="D625" s="3192" t="s">
        <v>5786</v>
      </c>
      <c r="E625" s="3191" t="s">
        <v>5750</v>
      </c>
      <c r="F625" s="3193" t="s">
        <v>4009</v>
      </c>
      <c r="G625" s="3197">
        <v>2068</v>
      </c>
      <c r="H625" s="3191" t="s">
        <v>5805</v>
      </c>
      <c r="I625" s="3191" t="s">
        <v>4639</v>
      </c>
      <c r="J625" s="3194">
        <v>36.630000000000003</v>
      </c>
      <c r="K625" s="3194">
        <v>12.37</v>
      </c>
      <c r="L625" s="3196"/>
    </row>
    <row r="626" spans="1:12">
      <c r="A626" s="3190">
        <v>625</v>
      </c>
      <c r="B626" s="3191" t="s">
        <v>4583</v>
      </c>
      <c r="C626" s="3191" t="s">
        <v>5169</v>
      </c>
      <c r="D626" s="3192" t="s">
        <v>5786</v>
      </c>
      <c r="E626" s="3191" t="s">
        <v>4584</v>
      </c>
      <c r="F626" s="3193" t="s">
        <v>5171</v>
      </c>
      <c r="G626" s="3197">
        <v>2069</v>
      </c>
      <c r="H626" s="3191" t="s">
        <v>4640</v>
      </c>
      <c r="I626" s="3191" t="s">
        <v>5806</v>
      </c>
      <c r="J626" s="3194">
        <v>36.630000000000003</v>
      </c>
      <c r="K626" s="3194">
        <v>12.37</v>
      </c>
      <c r="L626" s="3196"/>
    </row>
    <row r="627" spans="1:12">
      <c r="A627" s="3190">
        <v>626</v>
      </c>
      <c r="B627" s="3191" t="s">
        <v>5749</v>
      </c>
      <c r="C627" s="3191" t="s">
        <v>4007</v>
      </c>
      <c r="D627" s="3192" t="s">
        <v>5786</v>
      </c>
      <c r="E627" s="3191" t="s">
        <v>5750</v>
      </c>
      <c r="F627" s="3207" t="s">
        <v>4591</v>
      </c>
      <c r="G627" s="3197">
        <v>2070</v>
      </c>
      <c r="H627" s="3191" t="s">
        <v>5807</v>
      </c>
      <c r="I627" s="3191" t="s">
        <v>4641</v>
      </c>
      <c r="J627" s="3194">
        <v>36.630000000000003</v>
      </c>
      <c r="K627" s="3194">
        <v>12.37</v>
      </c>
      <c r="L627" s="3196"/>
    </row>
    <row r="628" spans="1:12">
      <c r="A628" s="3190">
        <v>627</v>
      </c>
      <c r="B628" s="3191" t="s">
        <v>4583</v>
      </c>
      <c r="C628" s="3191" t="s">
        <v>5169</v>
      </c>
      <c r="D628" s="3218" t="s">
        <v>5786</v>
      </c>
      <c r="E628" s="3191" t="s">
        <v>4584</v>
      </c>
      <c r="F628" s="3193" t="s">
        <v>5171</v>
      </c>
      <c r="G628" s="3197">
        <v>2071</v>
      </c>
      <c r="H628" s="3191" t="s">
        <v>4642</v>
      </c>
      <c r="I628" s="3191" t="s">
        <v>5808</v>
      </c>
      <c r="J628" s="3194">
        <v>36.630000000000003</v>
      </c>
      <c r="K628" s="3194">
        <v>12.37</v>
      </c>
      <c r="L628" s="3196"/>
    </row>
    <row r="629" spans="1:12">
      <c r="A629" s="3190">
        <v>628</v>
      </c>
      <c r="B629" s="3191" t="s">
        <v>5749</v>
      </c>
      <c r="C629" s="3191" t="s">
        <v>4007</v>
      </c>
      <c r="D629" s="3218" t="s">
        <v>5786</v>
      </c>
      <c r="E629" s="3191" t="s">
        <v>5750</v>
      </c>
      <c r="F629" s="3193" t="s">
        <v>4009</v>
      </c>
      <c r="G629" s="3197">
        <v>2072</v>
      </c>
      <c r="H629" s="3191" t="s">
        <v>5809</v>
      </c>
      <c r="I629" s="3191" t="s">
        <v>4643</v>
      </c>
      <c r="J629" s="3194">
        <v>36.630000000000003</v>
      </c>
      <c r="K629" s="3194">
        <v>12.37</v>
      </c>
      <c r="L629" s="3196"/>
    </row>
    <row r="630" spans="1:12">
      <c r="A630" s="3190">
        <v>629</v>
      </c>
      <c r="B630" s="3191" t="s">
        <v>4583</v>
      </c>
      <c r="C630" s="3191" t="s">
        <v>5169</v>
      </c>
      <c r="D630" s="3192" t="s">
        <v>5786</v>
      </c>
      <c r="E630" s="3191" t="s">
        <v>4584</v>
      </c>
      <c r="F630" s="3193" t="s">
        <v>5171</v>
      </c>
      <c r="G630" s="3197">
        <v>2073</v>
      </c>
      <c r="H630" s="3191" t="s">
        <v>4644</v>
      </c>
      <c r="I630" s="3191" t="s">
        <v>5810</v>
      </c>
      <c r="J630" s="3194">
        <v>36.630000000000003</v>
      </c>
      <c r="K630" s="3194">
        <v>12.37</v>
      </c>
      <c r="L630" s="3196"/>
    </row>
    <row r="631" spans="1:12">
      <c r="A631" s="3190">
        <v>630</v>
      </c>
      <c r="B631" s="3191" t="s">
        <v>5749</v>
      </c>
      <c r="C631" s="3191" t="s">
        <v>4007</v>
      </c>
      <c r="D631" s="3192" t="s">
        <v>5786</v>
      </c>
      <c r="E631" s="3191" t="s">
        <v>5750</v>
      </c>
      <c r="F631" s="3193" t="s">
        <v>4009</v>
      </c>
      <c r="G631" s="3197">
        <v>2074</v>
      </c>
      <c r="H631" s="3191" t="s">
        <v>5811</v>
      </c>
      <c r="I631" s="3191" t="s">
        <v>4645</v>
      </c>
      <c r="J631" s="3194">
        <v>36.630000000000003</v>
      </c>
      <c r="K631" s="3194">
        <v>12.37</v>
      </c>
      <c r="L631" s="3196"/>
    </row>
    <row r="632" spans="1:12">
      <c r="A632" s="3190">
        <v>631</v>
      </c>
      <c r="B632" s="3191" t="s">
        <v>4583</v>
      </c>
      <c r="C632" s="3191" t="s">
        <v>5169</v>
      </c>
      <c r="D632" s="3192" t="s">
        <v>5786</v>
      </c>
      <c r="E632" s="3191" t="s">
        <v>4584</v>
      </c>
      <c r="F632" s="3193" t="s">
        <v>5171</v>
      </c>
      <c r="G632" s="3197">
        <v>2075</v>
      </c>
      <c r="H632" s="3191" t="s">
        <v>4646</v>
      </c>
      <c r="I632" s="3191" t="s">
        <v>5812</v>
      </c>
      <c r="J632" s="3194">
        <v>36.630000000000003</v>
      </c>
      <c r="K632" s="3194">
        <v>12.37</v>
      </c>
      <c r="L632" s="3196"/>
    </row>
    <row r="633" spans="1:12">
      <c r="A633" s="3190">
        <v>632</v>
      </c>
      <c r="B633" s="3191" t="s">
        <v>5749</v>
      </c>
      <c r="C633" s="3191" t="s">
        <v>4007</v>
      </c>
      <c r="D633" s="3192" t="s">
        <v>5786</v>
      </c>
      <c r="E633" s="3191" t="s">
        <v>5750</v>
      </c>
      <c r="F633" s="3193" t="s">
        <v>4009</v>
      </c>
      <c r="G633" s="3197">
        <v>2076</v>
      </c>
      <c r="H633" s="3191" t="s">
        <v>5813</v>
      </c>
      <c r="I633" s="3191" t="s">
        <v>4647</v>
      </c>
      <c r="J633" s="3194">
        <v>36.630000000000003</v>
      </c>
      <c r="K633" s="3194">
        <v>12.37</v>
      </c>
      <c r="L633" s="3196"/>
    </row>
    <row r="634" spans="1:12">
      <c r="A634" s="3190">
        <v>633</v>
      </c>
      <c r="B634" s="3191" t="s">
        <v>4583</v>
      </c>
      <c r="C634" s="3191" t="s">
        <v>5169</v>
      </c>
      <c r="D634" s="3192" t="s">
        <v>5786</v>
      </c>
      <c r="E634" s="3191" t="s">
        <v>4584</v>
      </c>
      <c r="F634" s="3193" t="s">
        <v>5171</v>
      </c>
      <c r="G634" s="3197">
        <v>2077</v>
      </c>
      <c r="H634" s="3191" t="s">
        <v>4648</v>
      </c>
      <c r="I634" s="3191" t="s">
        <v>5814</v>
      </c>
      <c r="J634" s="3194">
        <v>36.630000000000003</v>
      </c>
      <c r="K634" s="3194">
        <v>12.37</v>
      </c>
      <c r="L634" s="3196"/>
    </row>
    <row r="635" spans="1:12">
      <c r="A635" s="3190">
        <v>634</v>
      </c>
      <c r="B635" s="3191" t="s">
        <v>5749</v>
      </c>
      <c r="C635" s="3191" t="s">
        <v>4007</v>
      </c>
      <c r="D635" s="3192" t="s">
        <v>5786</v>
      </c>
      <c r="E635" s="3191" t="s">
        <v>5750</v>
      </c>
      <c r="F635" s="3193" t="s">
        <v>4009</v>
      </c>
      <c r="G635" s="3197">
        <v>2078</v>
      </c>
      <c r="H635" s="3191" t="s">
        <v>5815</v>
      </c>
      <c r="I635" s="3191" t="s">
        <v>4649</v>
      </c>
      <c r="J635" s="3194">
        <v>36.630000000000003</v>
      </c>
      <c r="K635" s="3194">
        <v>12.37</v>
      </c>
      <c r="L635" s="3196"/>
    </row>
    <row r="636" spans="1:12">
      <c r="A636" s="3190">
        <v>635</v>
      </c>
      <c r="B636" s="3191" t="s">
        <v>4583</v>
      </c>
      <c r="C636" s="3191" t="s">
        <v>5169</v>
      </c>
      <c r="D636" s="3192" t="s">
        <v>5786</v>
      </c>
      <c r="E636" s="3191" t="s">
        <v>4584</v>
      </c>
      <c r="F636" s="3193" t="s">
        <v>5171</v>
      </c>
      <c r="G636" s="3197">
        <v>2079</v>
      </c>
      <c r="H636" s="3191" t="s">
        <v>4650</v>
      </c>
      <c r="I636" s="3191" t="s">
        <v>5816</v>
      </c>
      <c r="J636" s="3194">
        <v>36.630000000000003</v>
      </c>
      <c r="K636" s="3194">
        <v>12.37</v>
      </c>
      <c r="L636" s="3196"/>
    </row>
    <row r="637" spans="1:12">
      <c r="A637" s="3190">
        <v>636</v>
      </c>
      <c r="B637" s="3191" t="s">
        <v>5749</v>
      </c>
      <c r="C637" s="3191" t="s">
        <v>4007</v>
      </c>
      <c r="D637" s="3192" t="s">
        <v>5786</v>
      </c>
      <c r="E637" s="3191" t="s">
        <v>5750</v>
      </c>
      <c r="F637" s="3193" t="s">
        <v>4009</v>
      </c>
      <c r="G637" s="3197">
        <v>2080</v>
      </c>
      <c r="H637" s="3191" t="s">
        <v>5817</v>
      </c>
      <c r="I637" s="3191" t="s">
        <v>4651</v>
      </c>
      <c r="J637" s="3194">
        <v>36.630000000000003</v>
      </c>
      <c r="K637" s="3194">
        <v>12.37</v>
      </c>
      <c r="L637" s="3196"/>
    </row>
    <row r="638" spans="1:12">
      <c r="A638" s="3190">
        <v>637</v>
      </c>
      <c r="B638" s="3191" t="s">
        <v>4583</v>
      </c>
      <c r="C638" s="3191" t="s">
        <v>5169</v>
      </c>
      <c r="D638" s="3192" t="s">
        <v>5786</v>
      </c>
      <c r="E638" s="3191" t="s">
        <v>4584</v>
      </c>
      <c r="F638" s="3193" t="s">
        <v>5171</v>
      </c>
      <c r="G638" s="3197">
        <v>2081</v>
      </c>
      <c r="H638" s="3191" t="s">
        <v>4652</v>
      </c>
      <c r="I638" s="3191" t="s">
        <v>5818</v>
      </c>
      <c r="J638" s="3194">
        <v>36.630000000000003</v>
      </c>
      <c r="K638" s="3194">
        <v>12.37</v>
      </c>
      <c r="L638" s="3196"/>
    </row>
    <row r="639" spans="1:12">
      <c r="A639" s="3190">
        <v>638</v>
      </c>
      <c r="B639" s="3191" t="s">
        <v>5749</v>
      </c>
      <c r="C639" s="3191" t="s">
        <v>4007</v>
      </c>
      <c r="D639" s="3192" t="s">
        <v>5786</v>
      </c>
      <c r="E639" s="3191" t="s">
        <v>5750</v>
      </c>
      <c r="F639" s="3193" t="s">
        <v>4009</v>
      </c>
      <c r="G639" s="3197">
        <v>2082</v>
      </c>
      <c r="H639" s="3191" t="s">
        <v>5819</v>
      </c>
      <c r="I639" s="3191" t="s">
        <v>4653</v>
      </c>
      <c r="J639" s="3194">
        <v>36.630000000000003</v>
      </c>
      <c r="K639" s="3194">
        <v>12.37</v>
      </c>
      <c r="L639" s="3196"/>
    </row>
    <row r="640" spans="1:12">
      <c r="A640" s="3190">
        <v>639</v>
      </c>
      <c r="B640" s="3191" t="s">
        <v>4583</v>
      </c>
      <c r="C640" s="3191" t="s">
        <v>5169</v>
      </c>
      <c r="D640" s="3192" t="s">
        <v>5786</v>
      </c>
      <c r="E640" s="3191" t="s">
        <v>4584</v>
      </c>
      <c r="F640" s="3193" t="s">
        <v>5171</v>
      </c>
      <c r="G640" s="3197">
        <v>2083</v>
      </c>
      <c r="H640" s="3191" t="s">
        <v>4654</v>
      </c>
      <c r="I640" s="3191" t="s">
        <v>5820</v>
      </c>
      <c r="J640" s="3194">
        <v>36.630000000000003</v>
      </c>
      <c r="K640" s="3194">
        <v>12.37</v>
      </c>
      <c r="L640" s="3196"/>
    </row>
    <row r="641" spans="1:12">
      <c r="A641" s="3190">
        <v>640</v>
      </c>
      <c r="B641" s="3191" t="s">
        <v>5749</v>
      </c>
      <c r="C641" s="3191" t="s">
        <v>4007</v>
      </c>
      <c r="D641" s="3192" t="s">
        <v>5786</v>
      </c>
      <c r="E641" s="3191" t="s">
        <v>5750</v>
      </c>
      <c r="F641" s="3193" t="s">
        <v>4009</v>
      </c>
      <c r="G641" s="3197">
        <v>2084</v>
      </c>
      <c r="H641" s="3191" t="s">
        <v>5821</v>
      </c>
      <c r="I641" s="3191" t="s">
        <v>4655</v>
      </c>
      <c r="J641" s="3194">
        <v>36.630000000000003</v>
      </c>
      <c r="K641" s="3194">
        <v>12.37</v>
      </c>
      <c r="L641" s="3196"/>
    </row>
    <row r="642" spans="1:12">
      <c r="A642" s="3190">
        <v>641</v>
      </c>
      <c r="B642" s="3191" t="s">
        <v>4583</v>
      </c>
      <c r="C642" s="3191" t="s">
        <v>5169</v>
      </c>
      <c r="D642" s="3192" t="s">
        <v>5786</v>
      </c>
      <c r="E642" s="3191" t="s">
        <v>4584</v>
      </c>
      <c r="F642" s="3193" t="s">
        <v>5171</v>
      </c>
      <c r="G642" s="3197">
        <v>2085</v>
      </c>
      <c r="H642" s="3191" t="s">
        <v>4656</v>
      </c>
      <c r="I642" s="3191" t="s">
        <v>5822</v>
      </c>
      <c r="J642" s="3194">
        <v>36.630000000000003</v>
      </c>
      <c r="K642" s="3194">
        <v>12.37</v>
      </c>
      <c r="L642" s="3196"/>
    </row>
    <row r="643" spans="1:12">
      <c r="A643" s="3190">
        <v>642</v>
      </c>
      <c r="B643" s="3191" t="s">
        <v>5749</v>
      </c>
      <c r="C643" s="3191" t="s">
        <v>4007</v>
      </c>
      <c r="D643" s="3192" t="s">
        <v>5786</v>
      </c>
      <c r="E643" s="3191" t="s">
        <v>5750</v>
      </c>
      <c r="F643" s="3193" t="s">
        <v>4009</v>
      </c>
      <c r="G643" s="3197">
        <v>2086</v>
      </c>
      <c r="H643" s="3191" t="s">
        <v>5823</v>
      </c>
      <c r="I643" s="3191" t="s">
        <v>4657</v>
      </c>
      <c r="J643" s="3194">
        <v>36.630000000000003</v>
      </c>
      <c r="K643" s="3194">
        <v>12.37</v>
      </c>
      <c r="L643" s="3196"/>
    </row>
    <row r="644" spans="1:12">
      <c r="A644" s="3190">
        <v>643</v>
      </c>
      <c r="B644" s="3191" t="s">
        <v>4583</v>
      </c>
      <c r="C644" s="3191" t="s">
        <v>5169</v>
      </c>
      <c r="D644" s="3192" t="s">
        <v>5786</v>
      </c>
      <c r="E644" s="3191" t="s">
        <v>4584</v>
      </c>
      <c r="F644" s="3193" t="s">
        <v>5171</v>
      </c>
      <c r="G644" s="3197">
        <v>2087</v>
      </c>
      <c r="H644" s="3191" t="s">
        <v>4658</v>
      </c>
      <c r="I644" s="3191" t="s">
        <v>5824</v>
      </c>
      <c r="J644" s="3194">
        <v>36.630000000000003</v>
      </c>
      <c r="K644" s="3194">
        <v>12.37</v>
      </c>
      <c r="L644" s="3196"/>
    </row>
    <row r="645" spans="1:12">
      <c r="A645" s="3190">
        <v>644</v>
      </c>
      <c r="B645" s="3191" t="s">
        <v>5749</v>
      </c>
      <c r="C645" s="3191" t="s">
        <v>4007</v>
      </c>
      <c r="D645" s="3192" t="s">
        <v>5786</v>
      </c>
      <c r="E645" s="3191" t="s">
        <v>5750</v>
      </c>
      <c r="F645" s="3193" t="s">
        <v>4009</v>
      </c>
      <c r="G645" s="3197">
        <v>2088</v>
      </c>
      <c r="H645" s="3191" t="s">
        <v>5825</v>
      </c>
      <c r="I645" s="3191" t="s">
        <v>4659</v>
      </c>
      <c r="J645" s="3194">
        <v>36.630000000000003</v>
      </c>
      <c r="K645" s="3194">
        <v>12.37</v>
      </c>
      <c r="L645" s="3196"/>
    </row>
    <row r="646" spans="1:12">
      <c r="A646" s="3190">
        <v>645</v>
      </c>
      <c r="B646" s="3191" t="s">
        <v>4583</v>
      </c>
      <c r="C646" s="3191" t="s">
        <v>5169</v>
      </c>
      <c r="D646" s="3192" t="s">
        <v>5786</v>
      </c>
      <c r="E646" s="3191" t="s">
        <v>4584</v>
      </c>
      <c r="F646" s="3193" t="s">
        <v>5171</v>
      </c>
      <c r="G646" s="3197">
        <v>2089</v>
      </c>
      <c r="H646" s="3191" t="s">
        <v>4660</v>
      </c>
      <c r="I646" s="3191" t="s">
        <v>5826</v>
      </c>
      <c r="J646" s="3194">
        <v>36.630000000000003</v>
      </c>
      <c r="K646" s="3194">
        <v>12.37</v>
      </c>
      <c r="L646" s="3196"/>
    </row>
    <row r="647" spans="1:12">
      <c r="A647" s="3190">
        <v>646</v>
      </c>
      <c r="B647" s="3191" t="s">
        <v>5749</v>
      </c>
      <c r="C647" s="3191" t="s">
        <v>4007</v>
      </c>
      <c r="D647" s="3192" t="s">
        <v>5786</v>
      </c>
      <c r="E647" s="3191" t="s">
        <v>5750</v>
      </c>
      <c r="F647" s="3193" t="s">
        <v>4009</v>
      </c>
      <c r="G647" s="3197">
        <v>2090</v>
      </c>
      <c r="H647" s="3191" t="s">
        <v>5827</v>
      </c>
      <c r="I647" s="3191" t="s">
        <v>4661</v>
      </c>
      <c r="J647" s="3194">
        <v>36.630000000000003</v>
      </c>
      <c r="K647" s="3194">
        <v>12.37</v>
      </c>
      <c r="L647" s="3196"/>
    </row>
    <row r="648" spans="1:12">
      <c r="A648" s="3190">
        <v>647</v>
      </c>
      <c r="B648" s="3191" t="s">
        <v>4583</v>
      </c>
      <c r="C648" s="3191" t="s">
        <v>5169</v>
      </c>
      <c r="D648" s="3192" t="s">
        <v>5786</v>
      </c>
      <c r="E648" s="3191" t="s">
        <v>4584</v>
      </c>
      <c r="F648" s="3193" t="s">
        <v>5171</v>
      </c>
      <c r="G648" s="3197">
        <v>2091</v>
      </c>
      <c r="H648" s="3191" t="s">
        <v>4662</v>
      </c>
      <c r="I648" s="3191" t="s">
        <v>5828</v>
      </c>
      <c r="J648" s="3194">
        <v>36.630000000000003</v>
      </c>
      <c r="K648" s="3194">
        <v>12.37</v>
      </c>
      <c r="L648" s="3196"/>
    </row>
    <row r="649" spans="1:12">
      <c r="A649" s="3190">
        <v>648</v>
      </c>
      <c r="B649" s="3191" t="s">
        <v>5749</v>
      </c>
      <c r="C649" s="3191" t="s">
        <v>4007</v>
      </c>
      <c r="D649" s="3192" t="s">
        <v>5786</v>
      </c>
      <c r="E649" s="3191" t="s">
        <v>5750</v>
      </c>
      <c r="F649" s="3193" t="s">
        <v>4009</v>
      </c>
      <c r="G649" s="3197">
        <v>2092</v>
      </c>
      <c r="H649" s="3191" t="s">
        <v>5829</v>
      </c>
      <c r="I649" s="3191" t="s">
        <v>4663</v>
      </c>
      <c r="J649" s="3194">
        <v>36.630000000000003</v>
      </c>
      <c r="K649" s="3194">
        <v>12.37</v>
      </c>
      <c r="L649" s="3196"/>
    </row>
    <row r="650" spans="1:12">
      <c r="A650" s="3190">
        <v>649</v>
      </c>
      <c r="B650" s="3191" t="s">
        <v>4583</v>
      </c>
      <c r="C650" s="3191" t="s">
        <v>5169</v>
      </c>
      <c r="D650" s="3192" t="s">
        <v>5786</v>
      </c>
      <c r="E650" s="3191" t="s">
        <v>4584</v>
      </c>
      <c r="F650" s="3193" t="s">
        <v>5171</v>
      </c>
      <c r="G650" s="3197">
        <v>2093</v>
      </c>
      <c r="H650" s="3191" t="s">
        <v>4664</v>
      </c>
      <c r="I650" s="3191" t="s">
        <v>5830</v>
      </c>
      <c r="J650" s="3194">
        <v>36.630000000000003</v>
      </c>
      <c r="K650" s="3194">
        <v>12.37</v>
      </c>
      <c r="L650" s="3196"/>
    </row>
    <row r="651" spans="1:12">
      <c r="A651" s="3190">
        <v>650</v>
      </c>
      <c r="B651" s="3191" t="s">
        <v>5749</v>
      </c>
      <c r="C651" s="3191" t="s">
        <v>4007</v>
      </c>
      <c r="D651" s="3192" t="s">
        <v>5747</v>
      </c>
      <c r="E651" s="3191" t="s">
        <v>5750</v>
      </c>
      <c r="F651" s="3193" t="s">
        <v>4009</v>
      </c>
      <c r="G651" s="3197">
        <v>2097</v>
      </c>
      <c r="H651" s="3191" t="s">
        <v>5831</v>
      </c>
      <c r="I651" s="3191" t="s">
        <v>4665</v>
      </c>
      <c r="J651" s="3194">
        <v>35.909999999999997</v>
      </c>
      <c r="K651" s="3194">
        <v>12.13</v>
      </c>
      <c r="L651" s="3196"/>
    </row>
    <row r="652" spans="1:12">
      <c r="A652" s="3190">
        <v>651</v>
      </c>
      <c r="B652" s="3191" t="s">
        <v>4583</v>
      </c>
      <c r="C652" s="3191" t="s">
        <v>5169</v>
      </c>
      <c r="D652" s="3192" t="s">
        <v>5747</v>
      </c>
      <c r="E652" s="3191" t="s">
        <v>4584</v>
      </c>
      <c r="F652" s="3193" t="s">
        <v>5171</v>
      </c>
      <c r="G652" s="3197">
        <v>2098</v>
      </c>
      <c r="H652" s="3191" t="s">
        <v>4666</v>
      </c>
      <c r="I652" s="3191" t="s">
        <v>5832</v>
      </c>
      <c r="J652" s="3194">
        <v>35.909999999999997</v>
      </c>
      <c r="K652" s="3194">
        <v>12.13</v>
      </c>
      <c r="L652" s="3196"/>
    </row>
    <row r="653" spans="1:12">
      <c r="A653" s="3190">
        <v>652</v>
      </c>
      <c r="B653" s="3191" t="s">
        <v>5749</v>
      </c>
      <c r="C653" s="3191" t="s">
        <v>4007</v>
      </c>
      <c r="D653" s="3192" t="s">
        <v>5747</v>
      </c>
      <c r="E653" s="3191" t="s">
        <v>5750</v>
      </c>
      <c r="F653" s="3193" t="s">
        <v>4009</v>
      </c>
      <c r="G653" s="3197">
        <v>2099</v>
      </c>
      <c r="H653" s="3191" t="s">
        <v>5833</v>
      </c>
      <c r="I653" s="3191" t="s">
        <v>4667</v>
      </c>
      <c r="J653" s="3194">
        <v>33.04</v>
      </c>
      <c r="K653" s="3194">
        <v>11.16</v>
      </c>
      <c r="L653" s="3196"/>
    </row>
    <row r="654" spans="1:12">
      <c r="A654" s="3190">
        <v>653</v>
      </c>
      <c r="B654" s="3191" t="s">
        <v>4583</v>
      </c>
      <c r="C654" s="3191" t="s">
        <v>5169</v>
      </c>
      <c r="D654" s="3192" t="s">
        <v>5747</v>
      </c>
      <c r="E654" s="3191" t="s">
        <v>4584</v>
      </c>
      <c r="F654" s="3193" t="s">
        <v>5171</v>
      </c>
      <c r="G654" s="3197">
        <v>2100</v>
      </c>
      <c r="H654" s="3191" t="s">
        <v>4668</v>
      </c>
      <c r="I654" s="3191" t="s">
        <v>5834</v>
      </c>
      <c r="J654" s="3194">
        <v>33.04</v>
      </c>
      <c r="K654" s="3194">
        <v>11.16</v>
      </c>
      <c r="L654" s="3196"/>
    </row>
    <row r="655" spans="1:12">
      <c r="A655" s="3190">
        <v>654</v>
      </c>
      <c r="B655" s="3191" t="s">
        <v>5749</v>
      </c>
      <c r="C655" s="3191" t="s">
        <v>4007</v>
      </c>
      <c r="D655" s="3192" t="s">
        <v>5747</v>
      </c>
      <c r="E655" s="3191" t="s">
        <v>5750</v>
      </c>
      <c r="F655" s="3193" t="s">
        <v>4009</v>
      </c>
      <c r="G655" s="3197">
        <v>2101</v>
      </c>
      <c r="H655" s="3191" t="s">
        <v>5835</v>
      </c>
      <c r="I655" s="3191" t="s">
        <v>4669</v>
      </c>
      <c r="J655" s="3194">
        <v>35.909999999999997</v>
      </c>
      <c r="K655" s="3194">
        <v>12.13</v>
      </c>
      <c r="L655" s="3196"/>
    </row>
    <row r="656" spans="1:12">
      <c r="A656" s="3190">
        <v>655</v>
      </c>
      <c r="B656" s="3191" t="s">
        <v>4583</v>
      </c>
      <c r="C656" s="3191" t="s">
        <v>5169</v>
      </c>
      <c r="D656" s="3192" t="s">
        <v>5747</v>
      </c>
      <c r="E656" s="3191" t="s">
        <v>4584</v>
      </c>
      <c r="F656" s="3193" t="s">
        <v>5171</v>
      </c>
      <c r="G656" s="3197">
        <v>2102</v>
      </c>
      <c r="H656" s="3191" t="s">
        <v>4670</v>
      </c>
      <c r="I656" s="3191" t="s">
        <v>5836</v>
      </c>
      <c r="J656" s="3194">
        <v>35.909999999999997</v>
      </c>
      <c r="K656" s="3194">
        <v>12.13</v>
      </c>
      <c r="L656" s="3196"/>
    </row>
    <row r="657" spans="1:12">
      <c r="A657" s="3190">
        <v>656</v>
      </c>
      <c r="B657" s="3191" t="s">
        <v>5749</v>
      </c>
      <c r="C657" s="3191" t="s">
        <v>4007</v>
      </c>
      <c r="D657" s="3192" t="s">
        <v>5747</v>
      </c>
      <c r="E657" s="3191" t="s">
        <v>5750</v>
      </c>
      <c r="F657" s="3193" t="s">
        <v>4009</v>
      </c>
      <c r="G657" s="3197">
        <v>2103</v>
      </c>
      <c r="H657" s="3191" t="s">
        <v>5837</v>
      </c>
      <c r="I657" s="3191" t="s">
        <v>4671</v>
      </c>
      <c r="J657" s="3194">
        <v>34.46</v>
      </c>
      <c r="K657" s="3194">
        <v>11.64</v>
      </c>
      <c r="L657" s="3196"/>
    </row>
    <row r="658" spans="1:12">
      <c r="A658" s="3190">
        <v>657</v>
      </c>
      <c r="B658" s="3191" t="s">
        <v>4583</v>
      </c>
      <c r="C658" s="3191" t="s">
        <v>5169</v>
      </c>
      <c r="D658" s="3192" t="s">
        <v>5747</v>
      </c>
      <c r="E658" s="3191" t="s">
        <v>4584</v>
      </c>
      <c r="F658" s="3193" t="s">
        <v>5171</v>
      </c>
      <c r="G658" s="3197">
        <v>2104</v>
      </c>
      <c r="H658" s="3191" t="s">
        <v>4672</v>
      </c>
      <c r="I658" s="3191" t="s">
        <v>5838</v>
      </c>
      <c r="J658" s="3194">
        <v>34.46</v>
      </c>
      <c r="K658" s="3194">
        <v>11.64</v>
      </c>
      <c r="L658" s="3196"/>
    </row>
    <row r="659" spans="1:12">
      <c r="A659" s="3190">
        <v>658</v>
      </c>
      <c r="B659" s="3191" t="s">
        <v>5749</v>
      </c>
      <c r="C659" s="3191" t="s">
        <v>4007</v>
      </c>
      <c r="D659" s="3192" t="s">
        <v>5747</v>
      </c>
      <c r="E659" s="3191" t="s">
        <v>5750</v>
      </c>
      <c r="F659" s="3193" t="s">
        <v>4009</v>
      </c>
      <c r="G659" s="3197">
        <v>2105</v>
      </c>
      <c r="H659" s="3191" t="s">
        <v>5839</v>
      </c>
      <c r="I659" s="3191" t="s">
        <v>4673</v>
      </c>
      <c r="J659" s="3194">
        <v>35.17</v>
      </c>
      <c r="K659" s="3194">
        <v>11.88</v>
      </c>
      <c r="L659" s="3196"/>
    </row>
    <row r="660" spans="1:12">
      <c r="A660" s="3190">
        <v>659</v>
      </c>
      <c r="B660" s="3191" t="s">
        <v>4583</v>
      </c>
      <c r="C660" s="3191" t="s">
        <v>5169</v>
      </c>
      <c r="D660" s="3192" t="s">
        <v>5747</v>
      </c>
      <c r="E660" s="3191" t="s">
        <v>4584</v>
      </c>
      <c r="F660" s="3193" t="s">
        <v>5171</v>
      </c>
      <c r="G660" s="3197">
        <v>2106</v>
      </c>
      <c r="H660" s="3191" t="s">
        <v>4674</v>
      </c>
      <c r="I660" s="3191" t="s">
        <v>5840</v>
      </c>
      <c r="J660" s="3194">
        <v>35.17</v>
      </c>
      <c r="K660" s="3194">
        <v>11.88</v>
      </c>
      <c r="L660" s="3196"/>
    </row>
    <row r="661" spans="1:12">
      <c r="A661" s="3190">
        <v>660</v>
      </c>
      <c r="B661" s="3191" t="s">
        <v>5749</v>
      </c>
      <c r="C661" s="3191" t="s">
        <v>4007</v>
      </c>
      <c r="D661" s="3192" t="s">
        <v>5747</v>
      </c>
      <c r="E661" s="3191" t="s">
        <v>5750</v>
      </c>
      <c r="F661" s="3193" t="s">
        <v>4009</v>
      </c>
      <c r="G661" s="3197">
        <v>2107</v>
      </c>
      <c r="H661" s="3191" t="s">
        <v>5841</v>
      </c>
      <c r="I661" s="3191" t="s">
        <v>4675</v>
      </c>
      <c r="J661" s="3194">
        <v>35.17</v>
      </c>
      <c r="K661" s="3194">
        <v>11.88</v>
      </c>
      <c r="L661" s="3196"/>
    </row>
    <row r="662" spans="1:12">
      <c r="A662" s="3190">
        <v>661</v>
      </c>
      <c r="B662" s="3191" t="s">
        <v>4583</v>
      </c>
      <c r="C662" s="3191" t="s">
        <v>5169</v>
      </c>
      <c r="D662" s="3192" t="s">
        <v>5747</v>
      </c>
      <c r="E662" s="3191" t="s">
        <v>4584</v>
      </c>
      <c r="F662" s="3193" t="s">
        <v>5171</v>
      </c>
      <c r="G662" s="3197">
        <v>2108</v>
      </c>
      <c r="H662" s="3191" t="s">
        <v>4676</v>
      </c>
      <c r="I662" s="3191" t="s">
        <v>5842</v>
      </c>
      <c r="J662" s="3194">
        <v>35.17</v>
      </c>
      <c r="K662" s="3194">
        <v>11.88</v>
      </c>
      <c r="L662" s="3196"/>
    </row>
    <row r="663" spans="1:12">
      <c r="A663" s="3190">
        <v>662</v>
      </c>
      <c r="B663" s="3191" t="s">
        <v>5749</v>
      </c>
      <c r="C663" s="3191" t="s">
        <v>4007</v>
      </c>
      <c r="D663" s="3192" t="s">
        <v>5747</v>
      </c>
      <c r="E663" s="3191" t="s">
        <v>5750</v>
      </c>
      <c r="F663" s="3193" t="s">
        <v>4009</v>
      </c>
      <c r="G663" s="3197">
        <v>2109</v>
      </c>
      <c r="H663" s="3191" t="s">
        <v>5843</v>
      </c>
      <c r="I663" s="3191" t="s">
        <v>4677</v>
      </c>
      <c r="J663" s="3194">
        <v>35.17</v>
      </c>
      <c r="K663" s="3194">
        <v>11.88</v>
      </c>
      <c r="L663" s="3196"/>
    </row>
    <row r="664" spans="1:12">
      <c r="A664" s="3190">
        <v>663</v>
      </c>
      <c r="B664" s="3191" t="s">
        <v>4583</v>
      </c>
      <c r="C664" s="3191" t="s">
        <v>5169</v>
      </c>
      <c r="D664" s="3192" t="s">
        <v>5747</v>
      </c>
      <c r="E664" s="3191" t="s">
        <v>4584</v>
      </c>
      <c r="F664" s="3193" t="s">
        <v>5171</v>
      </c>
      <c r="G664" s="3197">
        <v>2110</v>
      </c>
      <c r="H664" s="3191" t="s">
        <v>4678</v>
      </c>
      <c r="I664" s="3191" t="s">
        <v>5844</v>
      </c>
      <c r="J664" s="3194">
        <v>35.17</v>
      </c>
      <c r="K664" s="3194">
        <v>11.88</v>
      </c>
      <c r="L664" s="3196"/>
    </row>
    <row r="665" spans="1:12">
      <c r="A665" s="3190">
        <v>664</v>
      </c>
      <c r="B665" s="3191" t="s">
        <v>5749</v>
      </c>
      <c r="C665" s="3191" t="s">
        <v>4007</v>
      </c>
      <c r="D665" s="3192" t="s">
        <v>5747</v>
      </c>
      <c r="E665" s="3191" t="s">
        <v>5750</v>
      </c>
      <c r="F665" s="3207" t="s">
        <v>4591</v>
      </c>
      <c r="G665" s="3197">
        <v>2111</v>
      </c>
      <c r="H665" s="3191" t="s">
        <v>5845</v>
      </c>
      <c r="I665" s="3191" t="s">
        <v>4679</v>
      </c>
      <c r="J665" s="3194">
        <v>35.17</v>
      </c>
      <c r="K665" s="3194">
        <v>11.88</v>
      </c>
      <c r="L665" s="3196"/>
    </row>
    <row r="666" spans="1:12">
      <c r="A666" s="3190">
        <v>665</v>
      </c>
      <c r="B666" s="3191" t="s">
        <v>4583</v>
      </c>
      <c r="C666" s="3191" t="s">
        <v>5169</v>
      </c>
      <c r="D666" s="3192" t="s">
        <v>5747</v>
      </c>
      <c r="E666" s="3191" t="s">
        <v>4584</v>
      </c>
      <c r="F666" s="3207" t="s">
        <v>5756</v>
      </c>
      <c r="G666" s="3197">
        <v>2112</v>
      </c>
      <c r="H666" s="3191" t="s">
        <v>4680</v>
      </c>
      <c r="I666" s="3191" t="s">
        <v>5846</v>
      </c>
      <c r="J666" s="3194">
        <v>35.17</v>
      </c>
      <c r="K666" s="3194">
        <v>11.88</v>
      </c>
      <c r="L666" s="3196"/>
    </row>
    <row r="667" spans="1:12">
      <c r="A667" s="3190">
        <v>666</v>
      </c>
      <c r="B667" s="3191" t="s">
        <v>5749</v>
      </c>
      <c r="C667" s="3191" t="s">
        <v>4007</v>
      </c>
      <c r="D667" s="3192" t="s">
        <v>5747</v>
      </c>
      <c r="E667" s="3191" t="s">
        <v>5750</v>
      </c>
      <c r="F667" s="3207" t="s">
        <v>4591</v>
      </c>
      <c r="G667" s="3197">
        <v>2113</v>
      </c>
      <c r="H667" s="3191" t="s">
        <v>5847</v>
      </c>
      <c r="I667" s="3191" t="s">
        <v>4681</v>
      </c>
      <c r="J667" s="3194">
        <v>35.17</v>
      </c>
      <c r="K667" s="3194">
        <v>11.88</v>
      </c>
      <c r="L667" s="3196"/>
    </row>
    <row r="668" spans="1:12">
      <c r="A668" s="3190">
        <v>667</v>
      </c>
      <c r="B668" s="3191" t="s">
        <v>4583</v>
      </c>
      <c r="C668" s="3191" t="s">
        <v>5169</v>
      </c>
      <c r="D668" s="3192" t="s">
        <v>5747</v>
      </c>
      <c r="E668" s="3191" t="s">
        <v>4584</v>
      </c>
      <c r="F668" s="3193" t="s">
        <v>5171</v>
      </c>
      <c r="G668" s="3197">
        <v>2114</v>
      </c>
      <c r="H668" s="3191" t="s">
        <v>4682</v>
      </c>
      <c r="I668" s="3191" t="s">
        <v>5848</v>
      </c>
      <c r="J668" s="3194">
        <v>35.17</v>
      </c>
      <c r="K668" s="3194">
        <v>11.88</v>
      </c>
      <c r="L668" s="3196"/>
    </row>
    <row r="669" spans="1:12">
      <c r="A669" s="3190">
        <v>668</v>
      </c>
      <c r="B669" s="3191" t="s">
        <v>5749</v>
      </c>
      <c r="C669" s="3191" t="s">
        <v>4007</v>
      </c>
      <c r="D669" s="3192" t="s">
        <v>5747</v>
      </c>
      <c r="E669" s="3191" t="s">
        <v>5750</v>
      </c>
      <c r="F669" s="3193" t="s">
        <v>4009</v>
      </c>
      <c r="G669" s="3197">
        <v>2115</v>
      </c>
      <c r="H669" s="3191" t="s">
        <v>5849</v>
      </c>
      <c r="I669" s="3191" t="s">
        <v>4683</v>
      </c>
      <c r="J669" s="3194">
        <v>35.17</v>
      </c>
      <c r="K669" s="3194">
        <v>11.88</v>
      </c>
      <c r="L669" s="3196"/>
    </row>
    <row r="670" spans="1:12">
      <c r="A670" s="3190">
        <v>669</v>
      </c>
      <c r="B670" s="3191" t="s">
        <v>4583</v>
      </c>
      <c r="C670" s="3191" t="s">
        <v>5169</v>
      </c>
      <c r="D670" s="3192" t="s">
        <v>5747</v>
      </c>
      <c r="E670" s="3191" t="s">
        <v>4584</v>
      </c>
      <c r="F670" s="3193" t="s">
        <v>5171</v>
      </c>
      <c r="G670" s="3197">
        <v>2116</v>
      </c>
      <c r="H670" s="3191" t="s">
        <v>4684</v>
      </c>
      <c r="I670" s="3191" t="s">
        <v>5850</v>
      </c>
      <c r="J670" s="3194">
        <v>35.17</v>
      </c>
      <c r="K670" s="3194">
        <v>11.88</v>
      </c>
      <c r="L670" s="3196"/>
    </row>
    <row r="671" spans="1:12">
      <c r="A671" s="3190">
        <v>670</v>
      </c>
      <c r="B671" s="3191" t="s">
        <v>5749</v>
      </c>
      <c r="C671" s="3191" t="s">
        <v>4007</v>
      </c>
      <c r="D671" s="3192" t="s">
        <v>5747</v>
      </c>
      <c r="E671" s="3191" t="s">
        <v>5750</v>
      </c>
      <c r="F671" s="3193" t="s">
        <v>4009</v>
      </c>
      <c r="G671" s="3197">
        <v>2117</v>
      </c>
      <c r="H671" s="3191" t="s">
        <v>5851</v>
      </c>
      <c r="I671" s="3191" t="s">
        <v>4685</v>
      </c>
      <c r="J671" s="3194">
        <v>35.17</v>
      </c>
      <c r="K671" s="3194">
        <v>11.88</v>
      </c>
      <c r="L671" s="3196"/>
    </row>
    <row r="672" spans="1:12">
      <c r="A672" s="3190">
        <v>671</v>
      </c>
      <c r="B672" s="3191" t="s">
        <v>4583</v>
      </c>
      <c r="C672" s="3191" t="s">
        <v>5169</v>
      </c>
      <c r="D672" s="3192" t="s">
        <v>5747</v>
      </c>
      <c r="E672" s="3191" t="s">
        <v>4584</v>
      </c>
      <c r="F672" s="3193" t="s">
        <v>5171</v>
      </c>
      <c r="G672" s="3197">
        <v>2118</v>
      </c>
      <c r="H672" s="3191" t="s">
        <v>4686</v>
      </c>
      <c r="I672" s="3191" t="s">
        <v>5852</v>
      </c>
      <c r="J672" s="3194">
        <v>35.17</v>
      </c>
      <c r="K672" s="3194">
        <v>11.88</v>
      </c>
      <c r="L672" s="3196"/>
    </row>
    <row r="673" spans="1:12">
      <c r="A673" s="3190">
        <v>672</v>
      </c>
      <c r="B673" s="3191" t="s">
        <v>5749</v>
      </c>
      <c r="C673" s="3191" t="s">
        <v>4007</v>
      </c>
      <c r="D673" s="3192" t="s">
        <v>5747</v>
      </c>
      <c r="E673" s="3191" t="s">
        <v>5750</v>
      </c>
      <c r="F673" s="3193" t="s">
        <v>4009</v>
      </c>
      <c r="G673" s="3197">
        <v>2119</v>
      </c>
      <c r="H673" s="3191" t="s">
        <v>5853</v>
      </c>
      <c r="I673" s="3191" t="s">
        <v>4687</v>
      </c>
      <c r="J673" s="3194">
        <v>35.17</v>
      </c>
      <c r="K673" s="3194">
        <v>11.88</v>
      </c>
      <c r="L673" s="3196"/>
    </row>
    <row r="674" spans="1:12">
      <c r="A674" s="3190">
        <v>673</v>
      </c>
      <c r="B674" s="3191" t="s">
        <v>4583</v>
      </c>
      <c r="C674" s="3191" t="s">
        <v>5169</v>
      </c>
      <c r="D674" s="3192" t="s">
        <v>5747</v>
      </c>
      <c r="E674" s="3191" t="s">
        <v>4584</v>
      </c>
      <c r="F674" s="3193" t="s">
        <v>5171</v>
      </c>
      <c r="G674" s="3197">
        <v>2120</v>
      </c>
      <c r="H674" s="3191" t="s">
        <v>4688</v>
      </c>
      <c r="I674" s="3191" t="s">
        <v>5854</v>
      </c>
      <c r="J674" s="3194">
        <v>37.340000000000003</v>
      </c>
      <c r="K674" s="3194">
        <v>12.61</v>
      </c>
      <c r="L674" s="3196"/>
    </row>
    <row r="675" spans="1:12">
      <c r="A675" s="3190">
        <v>674</v>
      </c>
      <c r="B675" s="3191" t="s">
        <v>5749</v>
      </c>
      <c r="C675" s="3191" t="s">
        <v>4007</v>
      </c>
      <c r="D675" s="3192" t="s">
        <v>5747</v>
      </c>
      <c r="E675" s="3191" t="s">
        <v>5750</v>
      </c>
      <c r="F675" s="3193" t="s">
        <v>4009</v>
      </c>
      <c r="G675" s="3197">
        <v>2121</v>
      </c>
      <c r="H675" s="3191" t="s">
        <v>5855</v>
      </c>
      <c r="I675" s="3191" t="s">
        <v>4689</v>
      </c>
      <c r="J675" s="3194">
        <v>37.340000000000003</v>
      </c>
      <c r="K675" s="3194">
        <v>12.61</v>
      </c>
      <c r="L675" s="3196"/>
    </row>
    <row r="676" spans="1:12">
      <c r="A676" s="3190">
        <v>675</v>
      </c>
      <c r="B676" s="3191" t="s">
        <v>4583</v>
      </c>
      <c r="C676" s="3191" t="s">
        <v>5169</v>
      </c>
      <c r="D676" s="3192" t="s">
        <v>5747</v>
      </c>
      <c r="E676" s="3191" t="s">
        <v>4584</v>
      </c>
      <c r="F676" s="3193" t="s">
        <v>5171</v>
      </c>
      <c r="G676" s="3197">
        <v>2122</v>
      </c>
      <c r="H676" s="3191" t="s">
        <v>4690</v>
      </c>
      <c r="I676" s="3191" t="s">
        <v>5856</v>
      </c>
      <c r="J676" s="3194">
        <v>37.340000000000003</v>
      </c>
      <c r="K676" s="3194">
        <v>12.61</v>
      </c>
      <c r="L676" s="3196"/>
    </row>
    <row r="677" spans="1:12">
      <c r="A677" s="3190">
        <v>676</v>
      </c>
      <c r="B677" s="3191" t="s">
        <v>5749</v>
      </c>
      <c r="C677" s="3191" t="s">
        <v>4007</v>
      </c>
      <c r="D677" s="3192" t="s">
        <v>5747</v>
      </c>
      <c r="E677" s="3191" t="s">
        <v>5750</v>
      </c>
      <c r="F677" s="3193" t="s">
        <v>4009</v>
      </c>
      <c r="G677" s="3197">
        <v>2125</v>
      </c>
      <c r="H677" s="3191" t="s">
        <v>5857</v>
      </c>
      <c r="I677" s="3191" t="s">
        <v>4691</v>
      </c>
      <c r="J677" s="3194">
        <v>37.340000000000003</v>
      </c>
      <c r="K677" s="3194">
        <v>12.61</v>
      </c>
      <c r="L677" s="3196"/>
    </row>
    <row r="678" spans="1:12">
      <c r="A678" s="3190">
        <v>677</v>
      </c>
      <c r="B678" s="3191" t="s">
        <v>4583</v>
      </c>
      <c r="C678" s="3191" t="s">
        <v>5169</v>
      </c>
      <c r="D678" s="3192" t="s">
        <v>5747</v>
      </c>
      <c r="E678" s="3191" t="s">
        <v>4584</v>
      </c>
      <c r="F678" s="3193" t="s">
        <v>5171</v>
      </c>
      <c r="G678" s="3197">
        <v>2126</v>
      </c>
      <c r="H678" s="3191" t="s">
        <v>4692</v>
      </c>
      <c r="I678" s="3191" t="s">
        <v>5858</v>
      </c>
      <c r="J678" s="3194">
        <v>37.340000000000003</v>
      </c>
      <c r="K678" s="3194">
        <v>12.61</v>
      </c>
      <c r="L678" s="3196"/>
    </row>
    <row r="679" spans="1:12">
      <c r="A679" s="3190">
        <v>678</v>
      </c>
      <c r="B679" s="3191" t="s">
        <v>5749</v>
      </c>
      <c r="C679" s="3191" t="s">
        <v>4007</v>
      </c>
      <c r="D679" s="3192" t="s">
        <v>5747</v>
      </c>
      <c r="E679" s="3191" t="s">
        <v>5750</v>
      </c>
      <c r="F679" s="3193" t="s">
        <v>4009</v>
      </c>
      <c r="G679" s="3197">
        <v>2127</v>
      </c>
      <c r="H679" s="3191" t="s">
        <v>5859</v>
      </c>
      <c r="I679" s="3198" t="s">
        <v>4693</v>
      </c>
      <c r="J679" s="3194">
        <v>34.46</v>
      </c>
      <c r="K679" s="3194">
        <v>11.64</v>
      </c>
      <c r="L679" s="3196"/>
    </row>
    <row r="680" spans="1:12">
      <c r="A680" s="3190">
        <v>679</v>
      </c>
      <c r="B680" s="3191" t="s">
        <v>4583</v>
      </c>
      <c r="C680" s="3191" t="s">
        <v>5169</v>
      </c>
      <c r="D680" s="3192" t="s">
        <v>5747</v>
      </c>
      <c r="E680" s="3191" t="s">
        <v>4584</v>
      </c>
      <c r="F680" s="3193" t="s">
        <v>5171</v>
      </c>
      <c r="G680" s="3197">
        <v>2128</v>
      </c>
      <c r="H680" s="3191" t="s">
        <v>4694</v>
      </c>
      <c r="I680" s="3191" t="s">
        <v>5860</v>
      </c>
      <c r="J680" s="3194">
        <v>34.46</v>
      </c>
      <c r="K680" s="3194">
        <v>11.64</v>
      </c>
      <c r="L680" s="3196"/>
    </row>
    <row r="681" spans="1:12">
      <c r="A681" s="3190">
        <v>680</v>
      </c>
      <c r="B681" s="3191" t="s">
        <v>5749</v>
      </c>
      <c r="C681" s="3191" t="s">
        <v>4007</v>
      </c>
      <c r="D681" s="3192" t="s">
        <v>5747</v>
      </c>
      <c r="E681" s="3191" t="s">
        <v>5750</v>
      </c>
      <c r="F681" s="3193" t="s">
        <v>4009</v>
      </c>
      <c r="G681" s="3197">
        <v>2131</v>
      </c>
      <c r="H681" s="3191" t="s">
        <v>5861</v>
      </c>
      <c r="I681" s="3191" t="s">
        <v>4695</v>
      </c>
      <c r="J681" s="3194">
        <v>35.909999999999997</v>
      </c>
      <c r="K681" s="3194">
        <v>12.13</v>
      </c>
      <c r="L681" s="3196"/>
    </row>
    <row r="682" spans="1:12">
      <c r="A682" s="3190">
        <v>681</v>
      </c>
      <c r="B682" s="3191" t="s">
        <v>4583</v>
      </c>
      <c r="C682" s="3191" t="s">
        <v>5169</v>
      </c>
      <c r="D682" s="3192" t="s">
        <v>5747</v>
      </c>
      <c r="E682" s="3191" t="s">
        <v>4584</v>
      </c>
      <c r="F682" s="3193" t="s">
        <v>5171</v>
      </c>
      <c r="G682" s="3197">
        <v>2132</v>
      </c>
      <c r="H682" s="3191" t="s">
        <v>4696</v>
      </c>
      <c r="I682" s="3191" t="s">
        <v>5862</v>
      </c>
      <c r="J682" s="3194">
        <v>35.909999999999997</v>
      </c>
      <c r="K682" s="3194">
        <v>12.13</v>
      </c>
      <c r="L682" s="3196"/>
    </row>
    <row r="683" spans="1:12">
      <c r="A683" s="3190">
        <v>682</v>
      </c>
      <c r="B683" s="3191" t="s">
        <v>5749</v>
      </c>
      <c r="C683" s="3191" t="s">
        <v>4007</v>
      </c>
      <c r="D683" s="3192" t="s">
        <v>5747</v>
      </c>
      <c r="E683" s="3191" t="s">
        <v>5750</v>
      </c>
      <c r="F683" s="3193" t="s">
        <v>4009</v>
      </c>
      <c r="G683" s="3197">
        <v>2133</v>
      </c>
      <c r="H683" s="3191" t="s">
        <v>5863</v>
      </c>
      <c r="I683" s="3191" t="s">
        <v>4697</v>
      </c>
      <c r="J683" s="3194">
        <v>35.909999999999997</v>
      </c>
      <c r="K683" s="3194">
        <v>12.13</v>
      </c>
      <c r="L683" s="3196"/>
    </row>
    <row r="684" spans="1:12">
      <c r="A684" s="3190">
        <v>683</v>
      </c>
      <c r="B684" s="3191" t="s">
        <v>4583</v>
      </c>
      <c r="C684" s="3191" t="s">
        <v>5169</v>
      </c>
      <c r="D684" s="3192" t="s">
        <v>5747</v>
      </c>
      <c r="E684" s="3191" t="s">
        <v>4584</v>
      </c>
      <c r="F684" s="3193" t="s">
        <v>5171</v>
      </c>
      <c r="G684" s="3197">
        <v>2134</v>
      </c>
      <c r="H684" s="3191" t="s">
        <v>4698</v>
      </c>
      <c r="I684" s="3191" t="s">
        <v>5864</v>
      </c>
      <c r="J684" s="3194">
        <v>35.909999999999997</v>
      </c>
      <c r="K684" s="3194">
        <v>12.13</v>
      </c>
      <c r="L684" s="3196"/>
    </row>
    <row r="685" spans="1:12">
      <c r="A685" s="3190">
        <v>684</v>
      </c>
      <c r="B685" s="3191" t="s">
        <v>5749</v>
      </c>
      <c r="C685" s="3191" t="s">
        <v>4007</v>
      </c>
      <c r="D685" s="3192" t="s">
        <v>5747</v>
      </c>
      <c r="E685" s="3191" t="s">
        <v>5750</v>
      </c>
      <c r="F685" s="3193" t="s">
        <v>4009</v>
      </c>
      <c r="G685" s="3197">
        <v>2136</v>
      </c>
      <c r="H685" s="3191" t="s">
        <v>5865</v>
      </c>
      <c r="I685" s="3191" t="s">
        <v>4699</v>
      </c>
      <c r="J685" s="3194">
        <v>35.909999999999997</v>
      </c>
      <c r="K685" s="3194">
        <v>12.13</v>
      </c>
      <c r="L685" s="3196"/>
    </row>
    <row r="686" spans="1:12">
      <c r="A686" s="3190">
        <v>685</v>
      </c>
      <c r="B686" s="3191" t="s">
        <v>4583</v>
      </c>
      <c r="C686" s="3191" t="s">
        <v>5169</v>
      </c>
      <c r="D686" s="3192" t="s">
        <v>5747</v>
      </c>
      <c r="E686" s="3191" t="s">
        <v>4584</v>
      </c>
      <c r="F686" s="3193" t="s">
        <v>5171</v>
      </c>
      <c r="G686" s="3197">
        <v>2137</v>
      </c>
      <c r="H686" s="3191" t="s">
        <v>4700</v>
      </c>
      <c r="I686" s="3191" t="s">
        <v>5866</v>
      </c>
      <c r="J686" s="3194">
        <v>35.909999999999997</v>
      </c>
      <c r="K686" s="3194">
        <v>12.13</v>
      </c>
      <c r="L686" s="3196"/>
    </row>
    <row r="687" spans="1:12">
      <c r="A687" s="3190">
        <v>686</v>
      </c>
      <c r="B687" s="3191" t="s">
        <v>5749</v>
      </c>
      <c r="C687" s="3191" t="s">
        <v>4007</v>
      </c>
      <c r="D687" s="3192" t="s">
        <v>5747</v>
      </c>
      <c r="E687" s="3191" t="s">
        <v>5750</v>
      </c>
      <c r="F687" s="3193" t="s">
        <v>4009</v>
      </c>
      <c r="G687" s="3197">
        <v>2138</v>
      </c>
      <c r="H687" s="3191" t="s">
        <v>5867</v>
      </c>
      <c r="I687" s="3191" t="s">
        <v>4701</v>
      </c>
      <c r="J687" s="3194">
        <v>33.04</v>
      </c>
      <c r="K687" s="3194">
        <v>11.16</v>
      </c>
      <c r="L687" s="3196"/>
    </row>
    <row r="688" spans="1:12">
      <c r="A688" s="3190">
        <v>687</v>
      </c>
      <c r="B688" s="3191" t="s">
        <v>4583</v>
      </c>
      <c r="C688" s="3191" t="s">
        <v>5169</v>
      </c>
      <c r="D688" s="3192" t="s">
        <v>5747</v>
      </c>
      <c r="E688" s="3191" t="s">
        <v>4584</v>
      </c>
      <c r="F688" s="3207" t="s">
        <v>5756</v>
      </c>
      <c r="G688" s="3197">
        <v>2139</v>
      </c>
      <c r="H688" s="3191" t="s">
        <v>4702</v>
      </c>
      <c r="I688" s="3191" t="s">
        <v>5868</v>
      </c>
      <c r="J688" s="3194">
        <v>33.04</v>
      </c>
      <c r="K688" s="3194">
        <v>11.16</v>
      </c>
      <c r="L688" s="3196"/>
    </row>
    <row r="689" spans="1:12">
      <c r="A689" s="3190">
        <v>688</v>
      </c>
      <c r="B689" s="3191" t="s">
        <v>5749</v>
      </c>
      <c r="C689" s="3191" t="s">
        <v>4007</v>
      </c>
      <c r="D689" s="3192" t="s">
        <v>5747</v>
      </c>
      <c r="E689" s="3191" t="s">
        <v>5750</v>
      </c>
      <c r="F689" s="3193" t="s">
        <v>4009</v>
      </c>
      <c r="G689" s="3197">
        <v>2140</v>
      </c>
      <c r="H689" s="3191" t="s">
        <v>5869</v>
      </c>
      <c r="I689" s="3191" t="s">
        <v>4703</v>
      </c>
      <c r="J689" s="3194">
        <v>33.04</v>
      </c>
      <c r="K689" s="3194">
        <v>11.16</v>
      </c>
      <c r="L689" s="3196"/>
    </row>
    <row r="690" spans="1:12">
      <c r="A690" s="3190">
        <v>689</v>
      </c>
      <c r="B690" s="3191" t="s">
        <v>4583</v>
      </c>
      <c r="C690" s="3191" t="s">
        <v>5169</v>
      </c>
      <c r="D690" s="3192" t="s">
        <v>5747</v>
      </c>
      <c r="E690" s="3191" t="s">
        <v>4584</v>
      </c>
      <c r="F690" s="3193" t="s">
        <v>5171</v>
      </c>
      <c r="G690" s="3197">
        <v>2141</v>
      </c>
      <c r="H690" s="3191" t="s">
        <v>4704</v>
      </c>
      <c r="I690" s="3191" t="s">
        <v>5870</v>
      </c>
      <c r="J690" s="3194">
        <v>33.04</v>
      </c>
      <c r="K690" s="3194">
        <v>11.16</v>
      </c>
      <c r="L690" s="3196"/>
    </row>
    <row r="691" spans="1:12">
      <c r="A691" s="3190">
        <v>690</v>
      </c>
      <c r="B691" s="3191" t="s">
        <v>5749</v>
      </c>
      <c r="C691" s="3191" t="s">
        <v>4007</v>
      </c>
      <c r="D691" s="3192" t="s">
        <v>5747</v>
      </c>
      <c r="E691" s="3191" t="s">
        <v>5750</v>
      </c>
      <c r="F691" s="3193" t="s">
        <v>4009</v>
      </c>
      <c r="G691" s="3197">
        <v>2142</v>
      </c>
      <c r="H691" s="3191" t="s">
        <v>5871</v>
      </c>
      <c r="I691" s="3191" t="s">
        <v>4705</v>
      </c>
      <c r="J691" s="3194">
        <v>33.04</v>
      </c>
      <c r="K691" s="3194">
        <v>11.16</v>
      </c>
      <c r="L691" s="3196"/>
    </row>
    <row r="692" spans="1:12">
      <c r="A692" s="3190">
        <v>691</v>
      </c>
      <c r="B692" s="3191" t="s">
        <v>4583</v>
      </c>
      <c r="C692" s="3191" t="s">
        <v>5169</v>
      </c>
      <c r="D692" s="3192" t="s">
        <v>5747</v>
      </c>
      <c r="E692" s="3191" t="s">
        <v>4584</v>
      </c>
      <c r="F692" s="3193" t="s">
        <v>5171</v>
      </c>
      <c r="G692" s="3197">
        <v>2143</v>
      </c>
      <c r="H692" s="3191" t="s">
        <v>4706</v>
      </c>
      <c r="I692" s="3191" t="s">
        <v>5872</v>
      </c>
      <c r="J692" s="3194">
        <v>33.75</v>
      </c>
      <c r="K692" s="3203">
        <v>11.4</v>
      </c>
      <c r="L692" s="3196"/>
    </row>
    <row r="693" spans="1:12">
      <c r="A693" s="3190">
        <v>692</v>
      </c>
      <c r="B693" s="3191" t="s">
        <v>5749</v>
      </c>
      <c r="C693" s="3191" t="s">
        <v>4007</v>
      </c>
      <c r="D693" s="3192" t="s">
        <v>5747</v>
      </c>
      <c r="E693" s="3191" t="s">
        <v>5750</v>
      </c>
      <c r="F693" s="3193" t="s">
        <v>4009</v>
      </c>
      <c r="G693" s="3197">
        <v>2144</v>
      </c>
      <c r="H693" s="3191" t="s">
        <v>5873</v>
      </c>
      <c r="I693" s="3191" t="s">
        <v>4707</v>
      </c>
      <c r="J693" s="3194">
        <v>33.75</v>
      </c>
      <c r="K693" s="3203">
        <v>11.4</v>
      </c>
      <c r="L693" s="3196"/>
    </row>
    <row r="694" spans="1:12">
      <c r="A694" s="3190">
        <v>693</v>
      </c>
      <c r="B694" s="3191" t="s">
        <v>4583</v>
      </c>
      <c r="C694" s="3191" t="s">
        <v>5169</v>
      </c>
      <c r="D694" s="3192" t="s">
        <v>5747</v>
      </c>
      <c r="E694" s="3191" t="s">
        <v>4584</v>
      </c>
      <c r="F694" s="3193" t="s">
        <v>5171</v>
      </c>
      <c r="G694" s="3197">
        <v>2145</v>
      </c>
      <c r="H694" s="3191" t="s">
        <v>4708</v>
      </c>
      <c r="I694" s="3191" t="s">
        <v>5874</v>
      </c>
      <c r="J694" s="3194">
        <v>34.46</v>
      </c>
      <c r="K694" s="3194">
        <v>11.64</v>
      </c>
      <c r="L694" s="3196"/>
    </row>
    <row r="695" spans="1:12">
      <c r="A695" s="3190">
        <v>694</v>
      </c>
      <c r="B695" s="3191" t="s">
        <v>5749</v>
      </c>
      <c r="C695" s="3191" t="s">
        <v>4007</v>
      </c>
      <c r="D695" s="3192" t="s">
        <v>5747</v>
      </c>
      <c r="E695" s="3191" t="s">
        <v>5750</v>
      </c>
      <c r="F695" s="3193" t="s">
        <v>4009</v>
      </c>
      <c r="G695" s="3197">
        <v>2146</v>
      </c>
      <c r="H695" s="3191" t="s">
        <v>5875</v>
      </c>
      <c r="I695" s="3191" t="s">
        <v>4709</v>
      </c>
      <c r="J695" s="3194">
        <v>34.46</v>
      </c>
      <c r="K695" s="3194">
        <v>11.64</v>
      </c>
      <c r="L695" s="3196"/>
    </row>
    <row r="696" spans="1:12">
      <c r="A696" s="3190">
        <v>695</v>
      </c>
      <c r="B696" s="3191" t="s">
        <v>4583</v>
      </c>
      <c r="C696" s="3191" t="s">
        <v>5169</v>
      </c>
      <c r="D696" s="3192" t="s">
        <v>5747</v>
      </c>
      <c r="E696" s="3191" t="s">
        <v>4584</v>
      </c>
      <c r="F696" s="3193" t="s">
        <v>5171</v>
      </c>
      <c r="G696" s="3197">
        <v>2147</v>
      </c>
      <c r="H696" s="3191" t="s">
        <v>4710</v>
      </c>
      <c r="I696" s="3191" t="s">
        <v>5876</v>
      </c>
      <c r="J696" s="3194">
        <v>34.46</v>
      </c>
      <c r="K696" s="3194">
        <v>11.64</v>
      </c>
      <c r="L696" s="3196"/>
    </row>
    <row r="697" spans="1:12">
      <c r="A697" s="3190">
        <v>696</v>
      </c>
      <c r="B697" s="3191" t="s">
        <v>5749</v>
      </c>
      <c r="C697" s="3191" t="s">
        <v>4007</v>
      </c>
      <c r="D697" s="3192" t="s">
        <v>5747</v>
      </c>
      <c r="E697" s="3191" t="s">
        <v>5750</v>
      </c>
      <c r="F697" s="3193" t="s">
        <v>4009</v>
      </c>
      <c r="G697" s="3197">
        <v>2148</v>
      </c>
      <c r="H697" s="3191" t="s">
        <v>5877</v>
      </c>
      <c r="I697" s="3191" t="s">
        <v>4711</v>
      </c>
      <c r="J697" s="3194">
        <v>34.46</v>
      </c>
      <c r="K697" s="3194">
        <v>11.64</v>
      </c>
      <c r="L697" s="3196"/>
    </row>
    <row r="698" spans="1:12">
      <c r="A698" s="3190">
        <v>697</v>
      </c>
      <c r="B698" s="3191" t="s">
        <v>4583</v>
      </c>
      <c r="C698" s="3191" t="s">
        <v>5169</v>
      </c>
      <c r="D698" s="3192" t="s">
        <v>5747</v>
      </c>
      <c r="E698" s="3191" t="s">
        <v>4584</v>
      </c>
      <c r="F698" s="3193" t="s">
        <v>5171</v>
      </c>
      <c r="G698" s="3197">
        <v>2149</v>
      </c>
      <c r="H698" s="3191" t="s">
        <v>4712</v>
      </c>
      <c r="I698" s="3191" t="s">
        <v>5878</v>
      </c>
      <c r="J698" s="3194">
        <v>34.46</v>
      </c>
      <c r="K698" s="3194">
        <v>11.64</v>
      </c>
      <c r="L698" s="3196"/>
    </row>
    <row r="699" spans="1:12">
      <c r="A699" s="3190">
        <v>698</v>
      </c>
      <c r="B699" s="3191" t="s">
        <v>5749</v>
      </c>
      <c r="C699" s="3191" t="s">
        <v>4007</v>
      </c>
      <c r="D699" s="3192" t="s">
        <v>5747</v>
      </c>
      <c r="E699" s="3191" t="s">
        <v>5750</v>
      </c>
      <c r="F699" s="3193" t="s">
        <v>4009</v>
      </c>
      <c r="G699" s="3197">
        <v>2150</v>
      </c>
      <c r="H699" s="3191" t="s">
        <v>5879</v>
      </c>
      <c r="I699" s="3191" t="s">
        <v>4713</v>
      </c>
      <c r="J699" s="3194">
        <v>34.46</v>
      </c>
      <c r="K699" s="3194">
        <v>11.64</v>
      </c>
      <c r="L699" s="3196"/>
    </row>
    <row r="700" spans="1:12">
      <c r="A700" s="3190">
        <v>699</v>
      </c>
      <c r="B700" s="3191" t="s">
        <v>4583</v>
      </c>
      <c r="C700" s="3191" t="s">
        <v>5169</v>
      </c>
      <c r="D700" s="3192" t="s">
        <v>5747</v>
      </c>
      <c r="E700" s="3191" t="s">
        <v>4584</v>
      </c>
      <c r="F700" s="3193" t="s">
        <v>5171</v>
      </c>
      <c r="G700" s="3197">
        <v>2152</v>
      </c>
      <c r="H700" s="3191" t="s">
        <v>4714</v>
      </c>
      <c r="I700" s="3191" t="s">
        <v>5880</v>
      </c>
      <c r="J700" s="3194">
        <v>34.46</v>
      </c>
      <c r="K700" s="3194">
        <v>11.64</v>
      </c>
      <c r="L700" s="3196"/>
    </row>
    <row r="701" spans="1:12">
      <c r="A701" s="3190">
        <v>700</v>
      </c>
      <c r="B701" s="3191" t="s">
        <v>5749</v>
      </c>
      <c r="C701" s="3191" t="s">
        <v>4007</v>
      </c>
      <c r="D701" s="3192" t="s">
        <v>5747</v>
      </c>
      <c r="E701" s="3191" t="s">
        <v>5750</v>
      </c>
      <c r="F701" s="3193" t="s">
        <v>4009</v>
      </c>
      <c r="G701" s="3197">
        <v>2153</v>
      </c>
      <c r="H701" s="3191" t="s">
        <v>5881</v>
      </c>
      <c r="I701" s="3191" t="s">
        <v>4715</v>
      </c>
      <c r="J701" s="3194">
        <v>34.46</v>
      </c>
      <c r="K701" s="3194">
        <v>11.64</v>
      </c>
      <c r="L701" s="3196"/>
    </row>
    <row r="702" spans="1:12">
      <c r="A702" s="3190">
        <v>701</v>
      </c>
      <c r="B702" s="3191" t="s">
        <v>4583</v>
      </c>
      <c r="C702" s="3191" t="s">
        <v>5169</v>
      </c>
      <c r="D702" s="3192" t="s">
        <v>5747</v>
      </c>
      <c r="E702" s="3191" t="s">
        <v>4584</v>
      </c>
      <c r="F702" s="3193" t="s">
        <v>5171</v>
      </c>
      <c r="G702" s="3197">
        <v>2154</v>
      </c>
      <c r="H702" s="3191" t="s">
        <v>4716</v>
      </c>
      <c r="I702" s="3191" t="s">
        <v>5882</v>
      </c>
      <c r="J702" s="3194">
        <v>34.46</v>
      </c>
      <c r="K702" s="3194">
        <v>11.64</v>
      </c>
      <c r="L702" s="3196"/>
    </row>
    <row r="703" spans="1:12">
      <c r="A703" s="3190">
        <v>702</v>
      </c>
      <c r="B703" s="3191" t="s">
        <v>5749</v>
      </c>
      <c r="C703" s="3191" t="s">
        <v>4007</v>
      </c>
      <c r="D703" s="3192" t="s">
        <v>5747</v>
      </c>
      <c r="E703" s="3191" t="s">
        <v>5750</v>
      </c>
      <c r="F703" s="3193" t="s">
        <v>4009</v>
      </c>
      <c r="G703" s="3197">
        <v>2155</v>
      </c>
      <c r="H703" s="3191" t="s">
        <v>5883</v>
      </c>
      <c r="I703" s="3191" t="s">
        <v>4717</v>
      </c>
      <c r="J703" s="3194">
        <v>34.46</v>
      </c>
      <c r="K703" s="3194">
        <v>11.64</v>
      </c>
      <c r="L703" s="3196"/>
    </row>
    <row r="704" spans="1:12">
      <c r="A704" s="3190">
        <v>703</v>
      </c>
      <c r="B704" s="3191" t="s">
        <v>4583</v>
      </c>
      <c r="C704" s="3191" t="s">
        <v>5169</v>
      </c>
      <c r="D704" s="3192" t="s">
        <v>5747</v>
      </c>
      <c r="E704" s="3191" t="s">
        <v>4584</v>
      </c>
      <c r="F704" s="3193" t="s">
        <v>5171</v>
      </c>
      <c r="G704" s="3197">
        <v>2156</v>
      </c>
      <c r="H704" s="3191" t="s">
        <v>4718</v>
      </c>
      <c r="I704" s="3191" t="s">
        <v>5884</v>
      </c>
      <c r="J704" s="3194">
        <v>33.04</v>
      </c>
      <c r="K704" s="3194">
        <v>11.16</v>
      </c>
      <c r="L704" s="3196"/>
    </row>
    <row r="705" spans="1:12">
      <c r="A705" s="3190">
        <v>704</v>
      </c>
      <c r="B705" s="3191" t="s">
        <v>5749</v>
      </c>
      <c r="C705" s="3191" t="s">
        <v>4007</v>
      </c>
      <c r="D705" s="3192" t="s">
        <v>5747</v>
      </c>
      <c r="E705" s="3191" t="s">
        <v>5750</v>
      </c>
      <c r="F705" s="3193" t="s">
        <v>4009</v>
      </c>
      <c r="G705" s="3197">
        <v>2157</v>
      </c>
      <c r="H705" s="3191" t="s">
        <v>5885</v>
      </c>
      <c r="I705" s="3191" t="s">
        <v>4719</v>
      </c>
      <c r="J705" s="3194">
        <v>33.04</v>
      </c>
      <c r="K705" s="3194">
        <v>11.16</v>
      </c>
      <c r="L705" s="3196"/>
    </row>
    <row r="706" spans="1:12">
      <c r="A706" s="3190">
        <v>705</v>
      </c>
      <c r="B706" s="3191" t="s">
        <v>4583</v>
      </c>
      <c r="C706" s="3191" t="s">
        <v>5169</v>
      </c>
      <c r="D706" s="3192" t="s">
        <v>5747</v>
      </c>
      <c r="E706" s="3191" t="s">
        <v>4584</v>
      </c>
      <c r="F706" s="3193" t="s">
        <v>5171</v>
      </c>
      <c r="G706" s="3197">
        <v>2159</v>
      </c>
      <c r="H706" s="3191" t="s">
        <v>4720</v>
      </c>
      <c r="I706" s="3191" t="s">
        <v>5886</v>
      </c>
      <c r="J706" s="3194">
        <v>33.04</v>
      </c>
      <c r="K706" s="3194">
        <v>11.16</v>
      </c>
      <c r="L706" s="3196"/>
    </row>
    <row r="707" spans="1:12">
      <c r="A707" s="3190">
        <v>706</v>
      </c>
      <c r="B707" s="3191" t="s">
        <v>5749</v>
      </c>
      <c r="C707" s="3191" t="s">
        <v>4007</v>
      </c>
      <c r="D707" s="3192" t="s">
        <v>5747</v>
      </c>
      <c r="E707" s="3191" t="s">
        <v>5750</v>
      </c>
      <c r="F707" s="3193" t="s">
        <v>4009</v>
      </c>
      <c r="G707" s="3197">
        <v>2160</v>
      </c>
      <c r="H707" s="3191" t="s">
        <v>5887</v>
      </c>
      <c r="I707" s="3191" t="s">
        <v>4721</v>
      </c>
      <c r="J707" s="3194">
        <v>33.04</v>
      </c>
      <c r="K707" s="3194">
        <v>11.16</v>
      </c>
      <c r="L707" s="3196"/>
    </row>
    <row r="708" spans="1:12">
      <c r="A708" s="3190">
        <v>707</v>
      </c>
      <c r="B708" s="3191" t="s">
        <v>4583</v>
      </c>
      <c r="C708" s="3191" t="s">
        <v>5169</v>
      </c>
      <c r="D708" s="3192" t="s">
        <v>5747</v>
      </c>
      <c r="E708" s="3191" t="s">
        <v>4584</v>
      </c>
      <c r="F708" s="3193" t="s">
        <v>5171</v>
      </c>
      <c r="G708" s="3197">
        <v>2161</v>
      </c>
      <c r="H708" s="3191" t="s">
        <v>4722</v>
      </c>
      <c r="I708" s="3191" t="s">
        <v>5888</v>
      </c>
      <c r="J708" s="3194">
        <v>33.04</v>
      </c>
      <c r="K708" s="3194">
        <v>11.16</v>
      </c>
      <c r="L708" s="3196"/>
    </row>
    <row r="709" spans="1:12">
      <c r="A709" s="3190">
        <v>708</v>
      </c>
      <c r="B709" s="3191" t="s">
        <v>5749</v>
      </c>
      <c r="C709" s="3191" t="s">
        <v>4007</v>
      </c>
      <c r="D709" s="3192" t="s">
        <v>5747</v>
      </c>
      <c r="E709" s="3191" t="s">
        <v>5750</v>
      </c>
      <c r="F709" s="3193" t="s">
        <v>4009</v>
      </c>
      <c r="G709" s="3197">
        <v>2162</v>
      </c>
      <c r="H709" s="3191" t="s">
        <v>5889</v>
      </c>
      <c r="I709" s="3191" t="s">
        <v>4723</v>
      </c>
      <c r="J709" s="3194">
        <v>33.04</v>
      </c>
      <c r="K709" s="3194">
        <v>11.16</v>
      </c>
      <c r="L709" s="3196"/>
    </row>
    <row r="710" spans="1:12">
      <c r="A710" s="3190">
        <v>709</v>
      </c>
      <c r="B710" s="3191" t="s">
        <v>4583</v>
      </c>
      <c r="C710" s="3191" t="s">
        <v>5169</v>
      </c>
      <c r="D710" s="3192" t="s">
        <v>5747</v>
      </c>
      <c r="E710" s="3191" t="s">
        <v>4584</v>
      </c>
      <c r="F710" s="3193" t="s">
        <v>5171</v>
      </c>
      <c r="G710" s="3197">
        <v>2163</v>
      </c>
      <c r="H710" s="3191" t="s">
        <v>4724</v>
      </c>
      <c r="I710" s="3191" t="s">
        <v>5890</v>
      </c>
      <c r="J710" s="3194">
        <v>33.04</v>
      </c>
      <c r="K710" s="3194">
        <v>11.16</v>
      </c>
      <c r="L710" s="3196"/>
    </row>
    <row r="711" spans="1:12">
      <c r="A711" s="3190">
        <v>710</v>
      </c>
      <c r="B711" s="3191" t="s">
        <v>5749</v>
      </c>
      <c r="C711" s="3191" t="s">
        <v>4007</v>
      </c>
      <c r="D711" s="3192" t="s">
        <v>5747</v>
      </c>
      <c r="E711" s="3191" t="s">
        <v>5750</v>
      </c>
      <c r="F711" s="3193" t="s">
        <v>4009</v>
      </c>
      <c r="G711" s="3197">
        <v>2164</v>
      </c>
      <c r="H711" s="3191" t="s">
        <v>5891</v>
      </c>
      <c r="I711" s="3191" t="s">
        <v>4725</v>
      </c>
      <c r="J711" s="3194">
        <v>33.04</v>
      </c>
      <c r="K711" s="3194">
        <v>11.16</v>
      </c>
      <c r="L711" s="3196"/>
    </row>
    <row r="712" spans="1:12">
      <c r="A712" s="3190">
        <v>711</v>
      </c>
      <c r="B712" s="3191" t="s">
        <v>4583</v>
      </c>
      <c r="C712" s="3191" t="s">
        <v>5169</v>
      </c>
      <c r="D712" s="3192" t="s">
        <v>5747</v>
      </c>
      <c r="E712" s="3191" t="s">
        <v>4584</v>
      </c>
      <c r="F712" s="3193" t="s">
        <v>5171</v>
      </c>
      <c r="G712" s="3197">
        <v>2165</v>
      </c>
      <c r="H712" s="3191" t="s">
        <v>4726</v>
      </c>
      <c r="I712" s="3191" t="s">
        <v>5892</v>
      </c>
      <c r="J712" s="3194">
        <v>33.04</v>
      </c>
      <c r="K712" s="3194">
        <v>11.16</v>
      </c>
      <c r="L712" s="3196"/>
    </row>
    <row r="713" spans="1:12">
      <c r="A713" s="3190">
        <v>712</v>
      </c>
      <c r="B713" s="3191" t="s">
        <v>5749</v>
      </c>
      <c r="C713" s="3191" t="s">
        <v>4007</v>
      </c>
      <c r="D713" s="3192" t="s">
        <v>5747</v>
      </c>
      <c r="E713" s="3191" t="s">
        <v>5750</v>
      </c>
      <c r="F713" s="3193" t="s">
        <v>4009</v>
      </c>
      <c r="G713" s="3197">
        <v>2166</v>
      </c>
      <c r="H713" s="3191" t="s">
        <v>5893</v>
      </c>
      <c r="I713" s="3191" t="s">
        <v>4727</v>
      </c>
      <c r="J713" s="3194">
        <v>33.04</v>
      </c>
      <c r="K713" s="3194">
        <v>11.16</v>
      </c>
      <c r="L713" s="3196"/>
    </row>
    <row r="714" spans="1:12">
      <c r="A714" s="3190">
        <v>713</v>
      </c>
      <c r="B714" s="3191" t="s">
        <v>4583</v>
      </c>
      <c r="C714" s="3191" t="s">
        <v>5169</v>
      </c>
      <c r="D714" s="3192" t="s">
        <v>5747</v>
      </c>
      <c r="E714" s="3191" t="s">
        <v>4584</v>
      </c>
      <c r="F714" s="3193" t="s">
        <v>5171</v>
      </c>
      <c r="G714" s="3197">
        <v>2167</v>
      </c>
      <c r="H714" s="3191" t="s">
        <v>4728</v>
      </c>
      <c r="I714" s="3191" t="s">
        <v>5894</v>
      </c>
      <c r="J714" s="3194">
        <v>33.04</v>
      </c>
      <c r="K714" s="3194">
        <v>11.16</v>
      </c>
      <c r="L714" s="3196"/>
    </row>
    <row r="715" spans="1:12">
      <c r="A715" s="3190">
        <v>714</v>
      </c>
      <c r="B715" s="3191" t="s">
        <v>5749</v>
      </c>
      <c r="C715" s="3191" t="s">
        <v>4007</v>
      </c>
      <c r="D715" s="3192" t="s">
        <v>5747</v>
      </c>
      <c r="E715" s="3191" t="s">
        <v>5750</v>
      </c>
      <c r="F715" s="3193" t="s">
        <v>4009</v>
      </c>
      <c r="G715" s="3197">
        <v>2168</v>
      </c>
      <c r="H715" s="3191" t="s">
        <v>5895</v>
      </c>
      <c r="I715" s="3191" t="s">
        <v>4729</v>
      </c>
      <c r="J715" s="3194">
        <v>33.04</v>
      </c>
      <c r="K715" s="3194">
        <v>11.16</v>
      </c>
      <c r="L715" s="3196"/>
    </row>
    <row r="716" spans="1:12">
      <c r="A716" s="3190">
        <v>715</v>
      </c>
      <c r="B716" s="3191" t="s">
        <v>4583</v>
      </c>
      <c r="C716" s="3191" t="s">
        <v>5169</v>
      </c>
      <c r="D716" s="3192" t="s">
        <v>5747</v>
      </c>
      <c r="E716" s="3191" t="s">
        <v>4584</v>
      </c>
      <c r="F716" s="3193" t="s">
        <v>5171</v>
      </c>
      <c r="G716" s="3197">
        <v>2169</v>
      </c>
      <c r="H716" s="3191" t="s">
        <v>4730</v>
      </c>
      <c r="I716" s="3191" t="s">
        <v>5896</v>
      </c>
      <c r="J716" s="3194">
        <v>35.909999999999997</v>
      </c>
      <c r="K716" s="3194">
        <v>12.13</v>
      </c>
      <c r="L716" s="3196"/>
    </row>
    <row r="717" spans="1:12">
      <c r="A717" s="3190">
        <v>716</v>
      </c>
      <c r="B717" s="3191" t="s">
        <v>5749</v>
      </c>
      <c r="C717" s="3191" t="s">
        <v>4007</v>
      </c>
      <c r="D717" s="3192" t="s">
        <v>5747</v>
      </c>
      <c r="E717" s="3191" t="s">
        <v>5750</v>
      </c>
      <c r="F717" s="3193" t="s">
        <v>4009</v>
      </c>
      <c r="G717" s="3197">
        <v>2170</v>
      </c>
      <c r="H717" s="3191" t="s">
        <v>5897</v>
      </c>
      <c r="I717" s="3191" t="s">
        <v>4731</v>
      </c>
      <c r="J717" s="3194">
        <v>35.909999999999997</v>
      </c>
      <c r="K717" s="3194">
        <v>12.13</v>
      </c>
      <c r="L717" s="3196"/>
    </row>
    <row r="718" spans="1:12">
      <c r="A718" s="3190">
        <v>717</v>
      </c>
      <c r="B718" s="3191" t="s">
        <v>4583</v>
      </c>
      <c r="C718" s="3191" t="s">
        <v>5169</v>
      </c>
      <c r="D718" s="3192" t="s">
        <v>5747</v>
      </c>
      <c r="E718" s="3191" t="s">
        <v>4584</v>
      </c>
      <c r="F718" s="3193" t="s">
        <v>5171</v>
      </c>
      <c r="G718" s="3197">
        <v>2171</v>
      </c>
      <c r="H718" s="3191" t="s">
        <v>4732</v>
      </c>
      <c r="I718" s="3191" t="s">
        <v>5898</v>
      </c>
      <c r="J718" s="3194">
        <v>34.46</v>
      </c>
      <c r="K718" s="3194">
        <v>11.64</v>
      </c>
      <c r="L718" s="3196"/>
    </row>
    <row r="719" spans="1:12">
      <c r="A719" s="3190">
        <v>718</v>
      </c>
      <c r="B719" s="3191" t="s">
        <v>5749</v>
      </c>
      <c r="C719" s="3191" t="s">
        <v>4007</v>
      </c>
      <c r="D719" s="3192" t="s">
        <v>5747</v>
      </c>
      <c r="E719" s="3191" t="s">
        <v>5750</v>
      </c>
      <c r="F719" s="3193" t="s">
        <v>4009</v>
      </c>
      <c r="G719" s="3197">
        <v>2172</v>
      </c>
      <c r="H719" s="3191" t="s">
        <v>5899</v>
      </c>
      <c r="I719" s="3191" t="s">
        <v>4733</v>
      </c>
      <c r="J719" s="3194">
        <v>34.46</v>
      </c>
      <c r="K719" s="3194">
        <v>11.64</v>
      </c>
      <c r="L719" s="3196"/>
    </row>
    <row r="720" spans="1:12">
      <c r="A720" s="3190">
        <v>719</v>
      </c>
      <c r="B720" s="3191" t="s">
        <v>4583</v>
      </c>
      <c r="C720" s="3191" t="s">
        <v>5169</v>
      </c>
      <c r="D720" s="3192" t="s">
        <v>5747</v>
      </c>
      <c r="E720" s="3191" t="s">
        <v>4584</v>
      </c>
      <c r="F720" s="3193" t="s">
        <v>5171</v>
      </c>
      <c r="G720" s="3197">
        <v>2173</v>
      </c>
      <c r="H720" s="3191" t="s">
        <v>4734</v>
      </c>
      <c r="I720" s="3191" t="s">
        <v>5900</v>
      </c>
      <c r="J720" s="3194">
        <v>34.46</v>
      </c>
      <c r="K720" s="3194">
        <v>11.64</v>
      </c>
      <c r="L720" s="3196"/>
    </row>
    <row r="721" spans="1:12">
      <c r="A721" s="3190">
        <v>720</v>
      </c>
      <c r="B721" s="3191" t="s">
        <v>5749</v>
      </c>
      <c r="C721" s="3191" t="s">
        <v>4007</v>
      </c>
      <c r="D721" s="3192" t="s">
        <v>5747</v>
      </c>
      <c r="E721" s="3191" t="s">
        <v>5750</v>
      </c>
      <c r="F721" s="3193" t="s">
        <v>4009</v>
      </c>
      <c r="G721" s="3197">
        <v>2174</v>
      </c>
      <c r="H721" s="3191" t="s">
        <v>5901</v>
      </c>
      <c r="I721" s="3191" t="s">
        <v>4735</v>
      </c>
      <c r="J721" s="3194">
        <v>34.46</v>
      </c>
      <c r="K721" s="3194">
        <v>11.64</v>
      </c>
      <c r="L721" s="3196"/>
    </row>
    <row r="722" spans="1:12">
      <c r="A722" s="3190">
        <v>721</v>
      </c>
      <c r="B722" s="3191" t="s">
        <v>4583</v>
      </c>
      <c r="C722" s="3191" t="s">
        <v>5169</v>
      </c>
      <c r="D722" s="3192" t="s">
        <v>5747</v>
      </c>
      <c r="E722" s="3191" t="s">
        <v>4584</v>
      </c>
      <c r="F722" s="3193" t="s">
        <v>5171</v>
      </c>
      <c r="G722" s="3197">
        <v>2175</v>
      </c>
      <c r="H722" s="3191" t="s">
        <v>4736</v>
      </c>
      <c r="I722" s="3191" t="s">
        <v>5902</v>
      </c>
      <c r="J722" s="3194">
        <v>35.909999999999997</v>
      </c>
      <c r="K722" s="3194">
        <v>12.13</v>
      </c>
      <c r="L722" s="3196"/>
    </row>
    <row r="723" spans="1:12">
      <c r="A723" s="3190">
        <v>722</v>
      </c>
      <c r="B723" s="3191" t="s">
        <v>5749</v>
      </c>
      <c r="C723" s="3191" t="s">
        <v>4007</v>
      </c>
      <c r="D723" s="3192" t="s">
        <v>5747</v>
      </c>
      <c r="E723" s="3191" t="s">
        <v>5750</v>
      </c>
      <c r="F723" s="3193" t="s">
        <v>4009</v>
      </c>
      <c r="G723" s="3197">
        <v>2176</v>
      </c>
      <c r="H723" s="3191" t="s">
        <v>5903</v>
      </c>
      <c r="I723" s="3191" t="s">
        <v>4737</v>
      </c>
      <c r="J723" s="3194">
        <v>35.909999999999997</v>
      </c>
      <c r="K723" s="3194">
        <v>12.13</v>
      </c>
      <c r="L723" s="3196"/>
    </row>
    <row r="724" spans="1:12">
      <c r="A724" s="3190">
        <v>723</v>
      </c>
      <c r="B724" s="3191" t="s">
        <v>4583</v>
      </c>
      <c r="C724" s="3191" t="s">
        <v>5169</v>
      </c>
      <c r="D724" s="3192" t="s">
        <v>5747</v>
      </c>
      <c r="E724" s="3191" t="s">
        <v>4584</v>
      </c>
      <c r="F724" s="3193" t="s">
        <v>5171</v>
      </c>
      <c r="G724" s="3197">
        <v>2177</v>
      </c>
      <c r="H724" s="3191" t="s">
        <v>4738</v>
      </c>
      <c r="I724" s="3191" t="s">
        <v>5904</v>
      </c>
      <c r="J724" s="3194">
        <v>33.04</v>
      </c>
      <c r="K724" s="3194">
        <v>11.16</v>
      </c>
      <c r="L724" s="3196"/>
    </row>
    <row r="725" spans="1:12">
      <c r="A725" s="3190">
        <v>724</v>
      </c>
      <c r="B725" s="3191" t="s">
        <v>5749</v>
      </c>
      <c r="C725" s="3191" t="s">
        <v>4007</v>
      </c>
      <c r="D725" s="3192" t="s">
        <v>5747</v>
      </c>
      <c r="E725" s="3191" t="s">
        <v>5750</v>
      </c>
      <c r="F725" s="3193" t="s">
        <v>4009</v>
      </c>
      <c r="G725" s="3197">
        <v>2178</v>
      </c>
      <c r="H725" s="3191" t="s">
        <v>5905</v>
      </c>
      <c r="I725" s="3191" t="s">
        <v>4739</v>
      </c>
      <c r="J725" s="3194">
        <v>33.04</v>
      </c>
      <c r="K725" s="3194">
        <v>11.16</v>
      </c>
      <c r="L725" s="3196"/>
    </row>
    <row r="726" spans="1:12">
      <c r="A726" s="3190">
        <v>725</v>
      </c>
      <c r="B726" s="3191" t="s">
        <v>4583</v>
      </c>
      <c r="C726" s="3191" t="s">
        <v>5169</v>
      </c>
      <c r="D726" s="3192" t="s">
        <v>5747</v>
      </c>
      <c r="E726" s="3191" t="s">
        <v>4584</v>
      </c>
      <c r="F726" s="3193" t="s">
        <v>5171</v>
      </c>
      <c r="G726" s="3197">
        <v>2179</v>
      </c>
      <c r="H726" s="3191" t="s">
        <v>4740</v>
      </c>
      <c r="I726" s="3191" t="s">
        <v>5906</v>
      </c>
      <c r="J726" s="3194">
        <v>33.04</v>
      </c>
      <c r="K726" s="3194">
        <v>11.16</v>
      </c>
      <c r="L726" s="3196"/>
    </row>
    <row r="727" spans="1:12">
      <c r="A727" s="3190">
        <v>726</v>
      </c>
      <c r="B727" s="3191" t="s">
        <v>5749</v>
      </c>
      <c r="C727" s="3191" t="s">
        <v>4007</v>
      </c>
      <c r="D727" s="3192" t="s">
        <v>5747</v>
      </c>
      <c r="E727" s="3191" t="s">
        <v>5750</v>
      </c>
      <c r="F727" s="3193" t="s">
        <v>4009</v>
      </c>
      <c r="G727" s="3197">
        <v>2180</v>
      </c>
      <c r="H727" s="3191" t="s">
        <v>5907</v>
      </c>
      <c r="I727" s="3191" t="s">
        <v>4741</v>
      </c>
      <c r="J727" s="3194">
        <v>33.04</v>
      </c>
      <c r="K727" s="3194">
        <v>11.16</v>
      </c>
      <c r="L727" s="3196"/>
    </row>
    <row r="728" spans="1:12">
      <c r="A728" s="3190">
        <v>727</v>
      </c>
      <c r="B728" s="3191" t="s">
        <v>4583</v>
      </c>
      <c r="C728" s="3191" t="s">
        <v>5169</v>
      </c>
      <c r="D728" s="3192" t="s">
        <v>5747</v>
      </c>
      <c r="E728" s="3191" t="s">
        <v>4584</v>
      </c>
      <c r="F728" s="3193" t="s">
        <v>5171</v>
      </c>
      <c r="G728" s="3197">
        <v>2181</v>
      </c>
      <c r="H728" s="3191" t="s">
        <v>4742</v>
      </c>
      <c r="I728" s="3191" t="s">
        <v>5908</v>
      </c>
      <c r="J728" s="3194">
        <v>33.04</v>
      </c>
      <c r="K728" s="3194">
        <v>11.16</v>
      </c>
      <c r="L728" s="3196"/>
    </row>
    <row r="729" spans="1:12">
      <c r="A729" s="3190">
        <v>728</v>
      </c>
      <c r="B729" s="3191" t="s">
        <v>5749</v>
      </c>
      <c r="C729" s="3191" t="s">
        <v>4007</v>
      </c>
      <c r="D729" s="3192" t="s">
        <v>5747</v>
      </c>
      <c r="E729" s="3191" t="s">
        <v>5750</v>
      </c>
      <c r="F729" s="3193" t="s">
        <v>4009</v>
      </c>
      <c r="G729" s="3197">
        <v>2183</v>
      </c>
      <c r="H729" s="3191" t="s">
        <v>5909</v>
      </c>
      <c r="I729" s="3191" t="s">
        <v>4743</v>
      </c>
      <c r="J729" s="3194">
        <v>38.049999999999997</v>
      </c>
      <c r="K729" s="3194">
        <v>12.85</v>
      </c>
      <c r="L729" s="3196"/>
    </row>
    <row r="730" spans="1:12">
      <c r="A730" s="3190">
        <v>729</v>
      </c>
      <c r="B730" s="3191" t="s">
        <v>4583</v>
      </c>
      <c r="C730" s="3191" t="s">
        <v>5169</v>
      </c>
      <c r="D730" s="3192" t="s">
        <v>5747</v>
      </c>
      <c r="E730" s="3191" t="s">
        <v>4584</v>
      </c>
      <c r="F730" s="3193" t="s">
        <v>5171</v>
      </c>
      <c r="G730" s="3197">
        <v>2184</v>
      </c>
      <c r="H730" s="3191" t="s">
        <v>4744</v>
      </c>
      <c r="I730" s="3191" t="s">
        <v>5910</v>
      </c>
      <c r="J730" s="3194">
        <v>34.46</v>
      </c>
      <c r="K730" s="3194">
        <v>11.64</v>
      </c>
      <c r="L730" s="3196"/>
    </row>
    <row r="731" spans="1:12">
      <c r="A731" s="3190">
        <v>730</v>
      </c>
      <c r="B731" s="3191" t="s">
        <v>5749</v>
      </c>
      <c r="C731" s="3191" t="s">
        <v>4007</v>
      </c>
      <c r="D731" s="3192" t="s">
        <v>5747</v>
      </c>
      <c r="E731" s="3191" t="s">
        <v>5750</v>
      </c>
      <c r="F731" s="3193" t="s">
        <v>4009</v>
      </c>
      <c r="G731" s="3197">
        <v>2185</v>
      </c>
      <c r="H731" s="3191" t="s">
        <v>5911</v>
      </c>
      <c r="I731" s="3191" t="s">
        <v>4745</v>
      </c>
      <c r="J731" s="3194">
        <v>34.46</v>
      </c>
      <c r="K731" s="3194">
        <v>11.64</v>
      </c>
      <c r="L731" s="3196"/>
    </row>
    <row r="732" spans="1:12">
      <c r="A732" s="3190">
        <v>731</v>
      </c>
      <c r="B732" s="3191" t="s">
        <v>4583</v>
      </c>
      <c r="C732" s="3191" t="s">
        <v>5169</v>
      </c>
      <c r="D732" s="3192" t="s">
        <v>5747</v>
      </c>
      <c r="E732" s="3191" t="s">
        <v>4584</v>
      </c>
      <c r="F732" s="3193" t="s">
        <v>5171</v>
      </c>
      <c r="G732" s="3197">
        <v>2186</v>
      </c>
      <c r="H732" s="3191" t="s">
        <v>4746</v>
      </c>
      <c r="I732" s="3191" t="s">
        <v>5912</v>
      </c>
      <c r="J732" s="3194">
        <v>34.46</v>
      </c>
      <c r="K732" s="3194">
        <v>11.64</v>
      </c>
      <c r="L732" s="3196"/>
    </row>
    <row r="733" spans="1:12">
      <c r="A733" s="3190">
        <v>732</v>
      </c>
      <c r="B733" s="3191" t="s">
        <v>5749</v>
      </c>
      <c r="C733" s="3191" t="s">
        <v>4007</v>
      </c>
      <c r="D733" s="3192" t="s">
        <v>5747</v>
      </c>
      <c r="E733" s="3198" t="s">
        <v>5913</v>
      </c>
      <c r="F733" s="3193" t="s">
        <v>4009</v>
      </c>
      <c r="G733" s="3197">
        <v>2187</v>
      </c>
      <c r="H733" s="3191" t="s">
        <v>5914</v>
      </c>
      <c r="I733" s="3191" t="s">
        <v>4747</v>
      </c>
      <c r="J733" s="3194">
        <v>34.46</v>
      </c>
      <c r="K733" s="3194">
        <v>11.64</v>
      </c>
      <c r="L733" s="3196"/>
    </row>
    <row r="734" spans="1:12">
      <c r="A734" s="3190">
        <v>733</v>
      </c>
      <c r="B734" s="3191" t="s">
        <v>4583</v>
      </c>
      <c r="C734" s="3191" t="s">
        <v>5169</v>
      </c>
      <c r="D734" s="3192" t="s">
        <v>5747</v>
      </c>
      <c r="E734" s="3191" t="s">
        <v>4584</v>
      </c>
      <c r="F734" s="3193" t="s">
        <v>5171</v>
      </c>
      <c r="G734" s="3197">
        <v>2188</v>
      </c>
      <c r="H734" s="3191" t="s">
        <v>4748</v>
      </c>
      <c r="I734" s="3191" t="s">
        <v>5915</v>
      </c>
      <c r="J734" s="3194">
        <v>34.46</v>
      </c>
      <c r="K734" s="3194">
        <v>11.64</v>
      </c>
      <c r="L734" s="3196"/>
    </row>
    <row r="735" spans="1:12">
      <c r="A735" s="3190">
        <v>734</v>
      </c>
      <c r="B735" s="3191" t="s">
        <v>5749</v>
      </c>
      <c r="C735" s="3191" t="s">
        <v>4007</v>
      </c>
      <c r="D735" s="3192" t="s">
        <v>5747</v>
      </c>
      <c r="E735" s="3191" t="s">
        <v>5750</v>
      </c>
      <c r="F735" s="3193" t="s">
        <v>4009</v>
      </c>
      <c r="G735" s="3197">
        <v>2189</v>
      </c>
      <c r="H735" s="3191" t="s">
        <v>5916</v>
      </c>
      <c r="I735" s="3191" t="s">
        <v>4749</v>
      </c>
      <c r="J735" s="3194">
        <v>34.46</v>
      </c>
      <c r="K735" s="3194">
        <v>11.64</v>
      </c>
      <c r="L735" s="3196"/>
    </row>
    <row r="736" spans="1:12">
      <c r="A736" s="3190">
        <v>735</v>
      </c>
      <c r="B736" s="3191" t="s">
        <v>4583</v>
      </c>
      <c r="C736" s="3191" t="s">
        <v>5169</v>
      </c>
      <c r="D736" s="3192" t="s">
        <v>5747</v>
      </c>
      <c r="E736" s="3191" t="s">
        <v>4584</v>
      </c>
      <c r="F736" s="3193" t="s">
        <v>5171</v>
      </c>
      <c r="G736" s="3197">
        <v>2190</v>
      </c>
      <c r="H736" s="3191" t="s">
        <v>4750</v>
      </c>
      <c r="I736" s="3191" t="s">
        <v>5917</v>
      </c>
      <c r="J736" s="3194">
        <v>34.46</v>
      </c>
      <c r="K736" s="3194">
        <v>11.64</v>
      </c>
      <c r="L736" s="3196"/>
    </row>
    <row r="737" spans="1:12">
      <c r="A737" s="3190">
        <v>736</v>
      </c>
      <c r="B737" s="3191" t="s">
        <v>5749</v>
      </c>
      <c r="C737" s="3191" t="s">
        <v>4007</v>
      </c>
      <c r="D737" s="3192" t="s">
        <v>5747</v>
      </c>
      <c r="E737" s="3191" t="s">
        <v>5750</v>
      </c>
      <c r="F737" s="3193" t="s">
        <v>4009</v>
      </c>
      <c r="G737" s="3197">
        <v>2191</v>
      </c>
      <c r="H737" s="3191" t="s">
        <v>5918</v>
      </c>
      <c r="I737" s="3191" t="s">
        <v>4751</v>
      </c>
      <c r="J737" s="3194">
        <v>34.46</v>
      </c>
      <c r="K737" s="3194">
        <v>11.64</v>
      </c>
      <c r="L737" s="3196"/>
    </row>
    <row r="738" spans="1:12">
      <c r="A738" s="3190">
        <v>737</v>
      </c>
      <c r="B738" s="3191" t="s">
        <v>4583</v>
      </c>
      <c r="C738" s="3191" t="s">
        <v>5169</v>
      </c>
      <c r="D738" s="3192" t="s">
        <v>5747</v>
      </c>
      <c r="E738" s="3191" t="s">
        <v>4584</v>
      </c>
      <c r="F738" s="3193" t="s">
        <v>5171</v>
      </c>
      <c r="G738" s="3197">
        <v>2192</v>
      </c>
      <c r="H738" s="3191" t="s">
        <v>4752</v>
      </c>
      <c r="I738" s="3191" t="s">
        <v>5919</v>
      </c>
      <c r="J738" s="3194">
        <v>34.46</v>
      </c>
      <c r="K738" s="3194">
        <v>11.64</v>
      </c>
      <c r="L738" s="3196"/>
    </row>
    <row r="739" spans="1:12">
      <c r="A739" s="3190">
        <v>738</v>
      </c>
      <c r="B739" s="3191" t="s">
        <v>5749</v>
      </c>
      <c r="C739" s="3191" t="s">
        <v>4007</v>
      </c>
      <c r="D739" s="3192" t="s">
        <v>5747</v>
      </c>
      <c r="E739" s="3191" t="s">
        <v>5750</v>
      </c>
      <c r="F739" s="3193" t="s">
        <v>4009</v>
      </c>
      <c r="G739" s="3197">
        <v>2193</v>
      </c>
      <c r="H739" s="3191" t="s">
        <v>5920</v>
      </c>
      <c r="I739" s="3191" t="s">
        <v>4753</v>
      </c>
      <c r="J739" s="3194">
        <v>34.46</v>
      </c>
      <c r="K739" s="3194">
        <v>11.64</v>
      </c>
      <c r="L739" s="3196"/>
    </row>
    <row r="740" spans="1:12">
      <c r="A740" s="3190">
        <v>739</v>
      </c>
      <c r="B740" s="3191" t="s">
        <v>4583</v>
      </c>
      <c r="C740" s="3191" t="s">
        <v>5169</v>
      </c>
      <c r="D740" s="3192" t="s">
        <v>5747</v>
      </c>
      <c r="E740" s="3191" t="s">
        <v>4584</v>
      </c>
      <c r="F740" s="3193" t="s">
        <v>5171</v>
      </c>
      <c r="G740" s="3197">
        <v>2194</v>
      </c>
      <c r="H740" s="3191" t="s">
        <v>4754</v>
      </c>
      <c r="I740" s="3191" t="s">
        <v>5921</v>
      </c>
      <c r="J740" s="3194">
        <v>34.46</v>
      </c>
      <c r="K740" s="3194">
        <v>11.64</v>
      </c>
      <c r="L740" s="3196"/>
    </row>
    <row r="741" spans="1:12">
      <c r="A741" s="3190">
        <v>740</v>
      </c>
      <c r="B741" s="3191" t="s">
        <v>5749</v>
      </c>
      <c r="C741" s="3191" t="s">
        <v>4007</v>
      </c>
      <c r="D741" s="3192" t="s">
        <v>5747</v>
      </c>
      <c r="E741" s="3191" t="s">
        <v>5750</v>
      </c>
      <c r="F741" s="3193" t="s">
        <v>4009</v>
      </c>
      <c r="G741" s="3197">
        <v>2195</v>
      </c>
      <c r="H741" s="3191" t="s">
        <v>5922</v>
      </c>
      <c r="I741" s="3191" t="s">
        <v>4755</v>
      </c>
      <c r="J741" s="3194">
        <v>34.46</v>
      </c>
      <c r="K741" s="3194">
        <v>11.64</v>
      </c>
      <c r="L741" s="3196"/>
    </row>
    <row r="742" spans="1:12">
      <c r="A742" s="3190">
        <v>741</v>
      </c>
      <c r="B742" s="3191" t="s">
        <v>4583</v>
      </c>
      <c r="C742" s="3191" t="s">
        <v>5169</v>
      </c>
      <c r="D742" s="3192" t="s">
        <v>5747</v>
      </c>
      <c r="E742" s="3191" t="s">
        <v>4584</v>
      </c>
      <c r="F742" s="3193" t="s">
        <v>5171</v>
      </c>
      <c r="G742" s="3197">
        <v>2196</v>
      </c>
      <c r="H742" s="3191" t="s">
        <v>4756</v>
      </c>
      <c r="I742" s="3191" t="s">
        <v>5923</v>
      </c>
      <c r="J742" s="3194">
        <v>33.75</v>
      </c>
      <c r="K742" s="3203">
        <v>11.4</v>
      </c>
      <c r="L742" s="3196"/>
    </row>
    <row r="743" spans="1:12">
      <c r="A743" s="3190">
        <v>742</v>
      </c>
      <c r="B743" s="3191" t="s">
        <v>5749</v>
      </c>
      <c r="C743" s="3191" t="s">
        <v>4007</v>
      </c>
      <c r="D743" s="3192" t="s">
        <v>5747</v>
      </c>
      <c r="E743" s="3191" t="s">
        <v>5750</v>
      </c>
      <c r="F743" s="3193" t="s">
        <v>4322</v>
      </c>
      <c r="G743" s="3197">
        <v>1001</v>
      </c>
      <c r="H743" s="3191" t="s">
        <v>5924</v>
      </c>
      <c r="I743" s="3191" t="s">
        <v>4757</v>
      </c>
      <c r="J743" s="3194">
        <v>34.46</v>
      </c>
      <c r="K743" s="3194">
        <v>11.64</v>
      </c>
      <c r="L743" s="3196"/>
    </row>
    <row r="744" spans="1:12">
      <c r="A744" s="3190">
        <v>743</v>
      </c>
      <c r="B744" s="3191" t="s">
        <v>4583</v>
      </c>
      <c r="C744" s="3191" t="s">
        <v>5169</v>
      </c>
      <c r="D744" s="3192" t="s">
        <v>5747</v>
      </c>
      <c r="E744" s="3191" t="s">
        <v>4584</v>
      </c>
      <c r="F744" s="3193" t="s">
        <v>5487</v>
      </c>
      <c r="G744" s="3197">
        <v>1003</v>
      </c>
      <c r="H744" s="3191" t="s">
        <v>4758</v>
      </c>
      <c r="I744" s="3191" t="s">
        <v>5925</v>
      </c>
      <c r="J744" s="3194">
        <v>34.46</v>
      </c>
      <c r="K744" s="3194">
        <v>11.64</v>
      </c>
      <c r="L744" s="3196"/>
    </row>
    <row r="745" spans="1:12">
      <c r="A745" s="3190">
        <v>744</v>
      </c>
      <c r="B745" s="3191" t="s">
        <v>5749</v>
      </c>
      <c r="C745" s="3191" t="s">
        <v>4007</v>
      </c>
      <c r="D745" s="3192" t="s">
        <v>5747</v>
      </c>
      <c r="E745" s="3191" t="s">
        <v>5750</v>
      </c>
      <c r="F745" s="3193" t="s">
        <v>4322</v>
      </c>
      <c r="G745" s="3197">
        <v>1011</v>
      </c>
      <c r="H745" s="3191" t="s">
        <v>5926</v>
      </c>
      <c r="I745" s="3191" t="s">
        <v>4759</v>
      </c>
      <c r="J745" s="3194">
        <v>34.46</v>
      </c>
      <c r="K745" s="3194">
        <v>11.64</v>
      </c>
      <c r="L745" s="3196"/>
    </row>
    <row r="746" spans="1:12">
      <c r="A746" s="3190">
        <v>745</v>
      </c>
      <c r="B746" s="3191" t="s">
        <v>4583</v>
      </c>
      <c r="C746" s="3191" t="s">
        <v>5169</v>
      </c>
      <c r="D746" s="3192" t="s">
        <v>5747</v>
      </c>
      <c r="E746" s="3191" t="s">
        <v>4584</v>
      </c>
      <c r="F746" s="3193" t="s">
        <v>5487</v>
      </c>
      <c r="G746" s="3197">
        <v>1018</v>
      </c>
      <c r="H746" s="3191" t="s">
        <v>4760</v>
      </c>
      <c r="I746" s="3191" t="s">
        <v>5927</v>
      </c>
      <c r="J746" s="3194">
        <v>33.75</v>
      </c>
      <c r="K746" s="3203">
        <v>11.4</v>
      </c>
      <c r="L746" s="3196"/>
    </row>
    <row r="747" spans="1:12">
      <c r="A747" s="3190">
        <v>746</v>
      </c>
      <c r="B747" s="3191" t="s">
        <v>5749</v>
      </c>
      <c r="C747" s="3191" t="s">
        <v>4007</v>
      </c>
      <c r="D747" s="3192" t="s">
        <v>5747</v>
      </c>
      <c r="E747" s="3191" t="s">
        <v>5750</v>
      </c>
      <c r="F747" s="3207" t="s">
        <v>4330</v>
      </c>
      <c r="G747" s="3197">
        <v>1019</v>
      </c>
      <c r="H747" s="3191" t="s">
        <v>5928</v>
      </c>
      <c r="I747" s="3191" t="s">
        <v>4761</v>
      </c>
      <c r="J747" s="3194">
        <v>34.46</v>
      </c>
      <c r="K747" s="3194">
        <v>11.64</v>
      </c>
      <c r="L747" s="3196"/>
    </row>
    <row r="748" spans="1:12">
      <c r="A748" s="3190">
        <v>747</v>
      </c>
      <c r="B748" s="3191" t="s">
        <v>4583</v>
      </c>
      <c r="C748" s="3191" t="s">
        <v>5169</v>
      </c>
      <c r="D748" s="3192" t="s">
        <v>5747</v>
      </c>
      <c r="E748" s="3191" t="s">
        <v>4584</v>
      </c>
      <c r="F748" s="3207" t="s">
        <v>5494</v>
      </c>
      <c r="G748" s="3197">
        <v>1020</v>
      </c>
      <c r="H748" s="3191" t="s">
        <v>4762</v>
      </c>
      <c r="I748" s="3191" t="s">
        <v>5929</v>
      </c>
      <c r="J748" s="3194">
        <v>34.46</v>
      </c>
      <c r="K748" s="3194">
        <v>11.64</v>
      </c>
      <c r="L748" s="3196"/>
    </row>
    <row r="749" spans="1:12">
      <c r="A749" s="3190">
        <v>748</v>
      </c>
      <c r="B749" s="3191" t="s">
        <v>5749</v>
      </c>
      <c r="C749" s="3191" t="s">
        <v>4007</v>
      </c>
      <c r="D749" s="3192" t="s">
        <v>5747</v>
      </c>
      <c r="E749" s="3191" t="s">
        <v>5750</v>
      </c>
      <c r="F749" s="3193" t="s">
        <v>4322</v>
      </c>
      <c r="G749" s="3197">
        <v>1021</v>
      </c>
      <c r="H749" s="3191" t="s">
        <v>5930</v>
      </c>
      <c r="I749" s="3191" t="s">
        <v>4763</v>
      </c>
      <c r="J749" s="3194">
        <v>34.46</v>
      </c>
      <c r="K749" s="3194">
        <v>11.64</v>
      </c>
      <c r="L749" s="3196"/>
    </row>
    <row r="750" spans="1:12">
      <c r="A750" s="3190">
        <v>749</v>
      </c>
      <c r="B750" s="3191" t="s">
        <v>4583</v>
      </c>
      <c r="C750" s="3191" t="s">
        <v>5169</v>
      </c>
      <c r="D750" s="3192" t="s">
        <v>5747</v>
      </c>
      <c r="E750" s="3191" t="s">
        <v>4584</v>
      </c>
      <c r="F750" s="3193" t="s">
        <v>5487</v>
      </c>
      <c r="G750" s="3197">
        <v>1025</v>
      </c>
      <c r="H750" s="3191" t="s">
        <v>4764</v>
      </c>
      <c r="I750" s="3191" t="s">
        <v>5931</v>
      </c>
      <c r="J750" s="3194">
        <v>34.46</v>
      </c>
      <c r="K750" s="3194">
        <v>11.64</v>
      </c>
      <c r="L750" s="3196"/>
    </row>
    <row r="751" spans="1:12">
      <c r="A751" s="3190">
        <v>750</v>
      </c>
      <c r="B751" s="3191" t="s">
        <v>5749</v>
      </c>
      <c r="C751" s="3191" t="s">
        <v>4007</v>
      </c>
      <c r="D751" s="3192" t="s">
        <v>5747</v>
      </c>
      <c r="E751" s="3191" t="s">
        <v>5750</v>
      </c>
      <c r="F751" s="3193" t="s">
        <v>4322</v>
      </c>
      <c r="G751" s="3197">
        <v>1029</v>
      </c>
      <c r="H751" s="3191" t="s">
        <v>5932</v>
      </c>
      <c r="I751" s="3191" t="s">
        <v>4765</v>
      </c>
      <c r="J751" s="3194">
        <v>33.04</v>
      </c>
      <c r="K751" s="3194">
        <v>11.16</v>
      </c>
      <c r="L751" s="3196"/>
    </row>
    <row r="752" spans="1:12">
      <c r="A752" s="3190">
        <v>751</v>
      </c>
      <c r="B752" s="3191" t="s">
        <v>4583</v>
      </c>
      <c r="C752" s="3191" t="s">
        <v>5169</v>
      </c>
      <c r="D752" s="3192" t="s">
        <v>5747</v>
      </c>
      <c r="E752" s="3191" t="s">
        <v>4584</v>
      </c>
      <c r="F752" s="3193" t="s">
        <v>5487</v>
      </c>
      <c r="G752" s="3197">
        <v>1032</v>
      </c>
      <c r="H752" s="3191" t="s">
        <v>4766</v>
      </c>
      <c r="I752" s="3191" t="s">
        <v>5933</v>
      </c>
      <c r="J752" s="3194">
        <v>34.46</v>
      </c>
      <c r="K752" s="3194">
        <v>11.64</v>
      </c>
      <c r="L752" s="3196"/>
    </row>
    <row r="753" spans="1:12">
      <c r="A753" s="3190">
        <v>752</v>
      </c>
      <c r="B753" s="3191" t="s">
        <v>5749</v>
      </c>
      <c r="C753" s="3191" t="s">
        <v>4007</v>
      </c>
      <c r="D753" s="3192" t="s">
        <v>5747</v>
      </c>
      <c r="E753" s="3191" t="s">
        <v>5750</v>
      </c>
      <c r="F753" s="3207" t="s">
        <v>4330</v>
      </c>
      <c r="G753" s="3197">
        <v>1033</v>
      </c>
      <c r="H753" s="3191" t="s">
        <v>5934</v>
      </c>
      <c r="I753" s="3191" t="s">
        <v>4767</v>
      </c>
      <c r="J753" s="3194">
        <v>34.46</v>
      </c>
      <c r="K753" s="3194">
        <v>11.64</v>
      </c>
      <c r="L753" s="3196"/>
    </row>
    <row r="754" spans="1:12">
      <c r="A754" s="3190">
        <v>753</v>
      </c>
      <c r="B754" s="3191" t="s">
        <v>4583</v>
      </c>
      <c r="C754" s="3191" t="s">
        <v>5169</v>
      </c>
      <c r="D754" s="3192" t="s">
        <v>5747</v>
      </c>
      <c r="E754" s="3191" t="s">
        <v>4584</v>
      </c>
      <c r="F754" s="3193" t="s">
        <v>5487</v>
      </c>
      <c r="G754" s="3197">
        <v>1036</v>
      </c>
      <c r="H754" s="3191" t="s">
        <v>4768</v>
      </c>
      <c r="I754" s="3191" t="s">
        <v>5935</v>
      </c>
      <c r="J754" s="3194">
        <v>36.630000000000003</v>
      </c>
      <c r="K754" s="3194">
        <v>12.37</v>
      </c>
      <c r="L754" s="3196"/>
    </row>
    <row r="755" spans="1:12">
      <c r="A755" s="3190">
        <v>754</v>
      </c>
      <c r="B755" s="3191" t="s">
        <v>5749</v>
      </c>
      <c r="C755" s="3191" t="s">
        <v>4007</v>
      </c>
      <c r="D755" s="3192" t="s">
        <v>5747</v>
      </c>
      <c r="E755" s="3191" t="s">
        <v>5750</v>
      </c>
      <c r="F755" s="3193" t="s">
        <v>4322</v>
      </c>
      <c r="G755" s="3197">
        <v>1038</v>
      </c>
      <c r="H755" s="3191" t="s">
        <v>5936</v>
      </c>
      <c r="I755" s="3191" t="s">
        <v>4769</v>
      </c>
      <c r="J755" s="3194">
        <v>34.46</v>
      </c>
      <c r="K755" s="3194">
        <v>11.64</v>
      </c>
      <c r="L755" s="3196"/>
    </row>
    <row r="756" spans="1:12">
      <c r="A756" s="3190">
        <v>755</v>
      </c>
      <c r="B756" s="3191" t="s">
        <v>4583</v>
      </c>
      <c r="C756" s="3191" t="s">
        <v>5169</v>
      </c>
      <c r="D756" s="3192" t="s">
        <v>5747</v>
      </c>
      <c r="E756" s="3191" t="s">
        <v>4584</v>
      </c>
      <c r="F756" s="3193" t="s">
        <v>5487</v>
      </c>
      <c r="G756" s="3197">
        <v>1039</v>
      </c>
      <c r="H756" s="3191" t="s">
        <v>4770</v>
      </c>
      <c r="I756" s="3191" t="s">
        <v>5937</v>
      </c>
      <c r="J756" s="3194">
        <v>34.46</v>
      </c>
      <c r="K756" s="3194">
        <v>11.64</v>
      </c>
      <c r="L756" s="3196"/>
    </row>
    <row r="757" spans="1:12">
      <c r="A757" s="3190">
        <v>756</v>
      </c>
      <c r="B757" s="3191" t="s">
        <v>5749</v>
      </c>
      <c r="C757" s="3191" t="s">
        <v>4007</v>
      </c>
      <c r="D757" s="3192" t="s">
        <v>5786</v>
      </c>
      <c r="E757" s="3191" t="s">
        <v>5750</v>
      </c>
      <c r="F757" s="3193" t="s">
        <v>4322</v>
      </c>
      <c r="G757" s="3197">
        <v>1040</v>
      </c>
      <c r="H757" s="3191" t="s">
        <v>5938</v>
      </c>
      <c r="I757" s="3191" t="s">
        <v>4771</v>
      </c>
      <c r="J757" s="3194">
        <v>36.630000000000003</v>
      </c>
      <c r="K757" s="3194">
        <v>12.37</v>
      </c>
      <c r="L757" s="3196"/>
    </row>
    <row r="758" spans="1:12">
      <c r="A758" s="3190">
        <v>757</v>
      </c>
      <c r="B758" s="3191" t="s">
        <v>4583</v>
      </c>
      <c r="C758" s="3191" t="s">
        <v>5169</v>
      </c>
      <c r="D758" s="3192" t="s">
        <v>5786</v>
      </c>
      <c r="E758" s="3191" t="s">
        <v>4584</v>
      </c>
      <c r="F758" s="3193" t="s">
        <v>5487</v>
      </c>
      <c r="G758" s="3197">
        <v>1041</v>
      </c>
      <c r="H758" s="3191" t="s">
        <v>4772</v>
      </c>
      <c r="I758" s="3191" t="s">
        <v>5939</v>
      </c>
      <c r="J758" s="3194">
        <v>36.630000000000003</v>
      </c>
      <c r="K758" s="3194">
        <v>12.37</v>
      </c>
      <c r="L758" s="3196"/>
    </row>
    <row r="759" spans="1:12">
      <c r="A759" s="3190">
        <v>758</v>
      </c>
      <c r="B759" s="3191" t="s">
        <v>5749</v>
      </c>
      <c r="C759" s="3191" t="s">
        <v>4007</v>
      </c>
      <c r="D759" s="3192" t="s">
        <v>5786</v>
      </c>
      <c r="E759" s="3191" t="s">
        <v>5750</v>
      </c>
      <c r="F759" s="3193" t="s">
        <v>4322</v>
      </c>
      <c r="G759" s="3197">
        <v>1042</v>
      </c>
      <c r="H759" s="3191" t="s">
        <v>5940</v>
      </c>
      <c r="I759" s="3191" t="s">
        <v>4773</v>
      </c>
      <c r="J759" s="3194">
        <v>36.630000000000003</v>
      </c>
      <c r="K759" s="3194">
        <v>12.37</v>
      </c>
      <c r="L759" s="3196"/>
    </row>
    <row r="760" spans="1:12">
      <c r="A760" s="3190">
        <v>759</v>
      </c>
      <c r="B760" s="3191" t="s">
        <v>4583</v>
      </c>
      <c r="C760" s="3191" t="s">
        <v>5169</v>
      </c>
      <c r="D760" s="3192" t="s">
        <v>5786</v>
      </c>
      <c r="E760" s="3191" t="s">
        <v>4584</v>
      </c>
      <c r="F760" s="3193" t="s">
        <v>5487</v>
      </c>
      <c r="G760" s="3197">
        <v>1043</v>
      </c>
      <c r="H760" s="3191" t="s">
        <v>4774</v>
      </c>
      <c r="I760" s="3191" t="s">
        <v>5941</v>
      </c>
      <c r="J760" s="3194">
        <v>36.630000000000003</v>
      </c>
      <c r="K760" s="3194">
        <v>12.37</v>
      </c>
      <c r="L760" s="3196"/>
    </row>
    <row r="761" spans="1:12">
      <c r="A761" s="3190">
        <v>760</v>
      </c>
      <c r="B761" s="3191" t="s">
        <v>5749</v>
      </c>
      <c r="C761" s="3191" t="s">
        <v>4007</v>
      </c>
      <c r="D761" s="3192" t="s">
        <v>5786</v>
      </c>
      <c r="E761" s="3191" t="s">
        <v>5750</v>
      </c>
      <c r="F761" s="3193" t="s">
        <v>4322</v>
      </c>
      <c r="G761" s="3197">
        <v>1044</v>
      </c>
      <c r="H761" s="3191" t="s">
        <v>5942</v>
      </c>
      <c r="I761" s="3191" t="s">
        <v>4775</v>
      </c>
      <c r="J761" s="3194">
        <v>36.630000000000003</v>
      </c>
      <c r="K761" s="3194">
        <v>12.37</v>
      </c>
      <c r="L761" s="3196"/>
    </row>
    <row r="762" spans="1:12">
      <c r="A762" s="3190">
        <v>761</v>
      </c>
      <c r="B762" s="3191" t="s">
        <v>4583</v>
      </c>
      <c r="C762" s="3191" t="s">
        <v>5169</v>
      </c>
      <c r="D762" s="3192" t="s">
        <v>5786</v>
      </c>
      <c r="E762" s="3191" t="s">
        <v>4584</v>
      </c>
      <c r="F762" s="3193" t="s">
        <v>5487</v>
      </c>
      <c r="G762" s="3197">
        <v>1045</v>
      </c>
      <c r="H762" s="3191" t="s">
        <v>4776</v>
      </c>
      <c r="I762" s="3191" t="s">
        <v>5943</v>
      </c>
      <c r="J762" s="3194">
        <v>36.630000000000003</v>
      </c>
      <c r="K762" s="3194">
        <v>12.37</v>
      </c>
      <c r="L762" s="3196"/>
    </row>
    <row r="763" spans="1:12">
      <c r="A763" s="3190">
        <v>762</v>
      </c>
      <c r="B763" s="3191" t="s">
        <v>5749</v>
      </c>
      <c r="C763" s="3191" t="s">
        <v>4007</v>
      </c>
      <c r="D763" s="3192" t="s">
        <v>5786</v>
      </c>
      <c r="E763" s="3191" t="s">
        <v>5750</v>
      </c>
      <c r="F763" s="3193" t="s">
        <v>4322</v>
      </c>
      <c r="G763" s="3197">
        <v>1046</v>
      </c>
      <c r="H763" s="3191" t="s">
        <v>5944</v>
      </c>
      <c r="I763" s="3191" t="s">
        <v>4777</v>
      </c>
      <c r="J763" s="3194">
        <v>36.630000000000003</v>
      </c>
      <c r="K763" s="3194">
        <v>12.37</v>
      </c>
      <c r="L763" s="3196"/>
    </row>
    <row r="764" spans="1:12">
      <c r="A764" s="3190">
        <v>763</v>
      </c>
      <c r="B764" s="3191" t="s">
        <v>4583</v>
      </c>
      <c r="C764" s="3191" t="s">
        <v>5169</v>
      </c>
      <c r="D764" s="3192" t="s">
        <v>5786</v>
      </c>
      <c r="E764" s="3191" t="s">
        <v>4584</v>
      </c>
      <c r="F764" s="3193" t="s">
        <v>5487</v>
      </c>
      <c r="G764" s="3197">
        <v>1047</v>
      </c>
      <c r="H764" s="3191" t="s">
        <v>4778</v>
      </c>
      <c r="I764" s="3191" t="s">
        <v>5945</v>
      </c>
      <c r="J764" s="3194">
        <v>36.630000000000003</v>
      </c>
      <c r="K764" s="3194">
        <v>12.37</v>
      </c>
      <c r="L764" s="3196"/>
    </row>
    <row r="765" spans="1:12">
      <c r="A765" s="3190">
        <v>764</v>
      </c>
      <c r="B765" s="3191" t="s">
        <v>5749</v>
      </c>
      <c r="C765" s="3191" t="s">
        <v>4007</v>
      </c>
      <c r="D765" s="3192" t="s">
        <v>5786</v>
      </c>
      <c r="E765" s="3191" t="s">
        <v>5750</v>
      </c>
      <c r="F765" s="3207" t="s">
        <v>4330</v>
      </c>
      <c r="G765" s="3197">
        <v>1048</v>
      </c>
      <c r="H765" s="3191" t="s">
        <v>5946</v>
      </c>
      <c r="I765" s="3191" t="s">
        <v>4779</v>
      </c>
      <c r="J765" s="3194">
        <v>36.630000000000003</v>
      </c>
      <c r="K765" s="3194">
        <v>12.37</v>
      </c>
      <c r="L765" s="3196"/>
    </row>
    <row r="766" spans="1:12">
      <c r="A766" s="3190">
        <v>765</v>
      </c>
      <c r="B766" s="3191" t="s">
        <v>4583</v>
      </c>
      <c r="C766" s="3191" t="s">
        <v>5169</v>
      </c>
      <c r="D766" s="3192" t="s">
        <v>5786</v>
      </c>
      <c r="E766" s="3191" t="s">
        <v>4584</v>
      </c>
      <c r="F766" s="3193" t="s">
        <v>5487</v>
      </c>
      <c r="G766" s="3197">
        <v>1049</v>
      </c>
      <c r="H766" s="3191" t="s">
        <v>4780</v>
      </c>
      <c r="I766" s="3191" t="s">
        <v>5947</v>
      </c>
      <c r="J766" s="3194">
        <v>36.630000000000003</v>
      </c>
      <c r="K766" s="3194">
        <v>12.37</v>
      </c>
      <c r="L766" s="3196"/>
    </row>
    <row r="767" spans="1:12">
      <c r="A767" s="3190">
        <v>766</v>
      </c>
      <c r="B767" s="3191" t="s">
        <v>5749</v>
      </c>
      <c r="C767" s="3191" t="s">
        <v>4007</v>
      </c>
      <c r="D767" s="3192" t="s">
        <v>5786</v>
      </c>
      <c r="E767" s="3191" t="s">
        <v>5750</v>
      </c>
      <c r="F767" s="3193" t="s">
        <v>4322</v>
      </c>
      <c r="G767" s="3197">
        <v>1050</v>
      </c>
      <c r="H767" s="3191" t="s">
        <v>5948</v>
      </c>
      <c r="I767" s="3191" t="s">
        <v>4781</v>
      </c>
      <c r="J767" s="3194">
        <v>36.630000000000003</v>
      </c>
      <c r="K767" s="3194">
        <v>12.37</v>
      </c>
      <c r="L767" s="3196"/>
    </row>
    <row r="768" spans="1:12">
      <c r="A768" s="3190">
        <v>767</v>
      </c>
      <c r="B768" s="3191" t="s">
        <v>4583</v>
      </c>
      <c r="C768" s="3191" t="s">
        <v>5169</v>
      </c>
      <c r="D768" s="3192" t="s">
        <v>5786</v>
      </c>
      <c r="E768" s="3191" t="s">
        <v>4584</v>
      </c>
      <c r="F768" s="3193" t="s">
        <v>5487</v>
      </c>
      <c r="G768" s="3197">
        <v>1051</v>
      </c>
      <c r="H768" s="3191" t="s">
        <v>4782</v>
      </c>
      <c r="I768" s="3191" t="s">
        <v>5949</v>
      </c>
      <c r="J768" s="3194">
        <v>36.630000000000003</v>
      </c>
      <c r="K768" s="3194">
        <v>12.37</v>
      </c>
      <c r="L768" s="3196"/>
    </row>
    <row r="769" spans="1:12">
      <c r="A769" s="3190">
        <v>768</v>
      </c>
      <c r="B769" s="3191" t="s">
        <v>5749</v>
      </c>
      <c r="C769" s="3191" t="s">
        <v>4007</v>
      </c>
      <c r="D769" s="3192" t="s">
        <v>5786</v>
      </c>
      <c r="E769" s="3191" t="s">
        <v>5750</v>
      </c>
      <c r="F769" s="3193" t="s">
        <v>4322</v>
      </c>
      <c r="G769" s="3197">
        <v>1056</v>
      </c>
      <c r="H769" s="3191" t="s">
        <v>5950</v>
      </c>
      <c r="I769" s="3191" t="s">
        <v>4783</v>
      </c>
      <c r="J769" s="3194">
        <v>36.630000000000003</v>
      </c>
      <c r="K769" s="3194">
        <v>12.37</v>
      </c>
      <c r="L769" s="3196"/>
    </row>
    <row r="770" spans="1:12">
      <c r="A770" s="3190">
        <v>769</v>
      </c>
      <c r="B770" s="3191" t="s">
        <v>4583</v>
      </c>
      <c r="C770" s="3191" t="s">
        <v>5169</v>
      </c>
      <c r="D770" s="3192" t="s">
        <v>5786</v>
      </c>
      <c r="E770" s="3191" t="s">
        <v>4584</v>
      </c>
      <c r="F770" s="3193" t="s">
        <v>5487</v>
      </c>
      <c r="G770" s="3197">
        <v>1057</v>
      </c>
      <c r="H770" s="3191" t="s">
        <v>4784</v>
      </c>
      <c r="I770" s="3191" t="s">
        <v>5951</v>
      </c>
      <c r="J770" s="3194">
        <v>36.630000000000003</v>
      </c>
      <c r="K770" s="3194">
        <v>12.37</v>
      </c>
      <c r="L770" s="3196"/>
    </row>
    <row r="771" spans="1:12">
      <c r="A771" s="3190">
        <v>770</v>
      </c>
      <c r="B771" s="3191" t="s">
        <v>5749</v>
      </c>
      <c r="C771" s="3191" t="s">
        <v>4007</v>
      </c>
      <c r="D771" s="3192" t="s">
        <v>5786</v>
      </c>
      <c r="E771" s="3191" t="s">
        <v>5750</v>
      </c>
      <c r="F771" s="3193" t="s">
        <v>4322</v>
      </c>
      <c r="G771" s="3197">
        <v>1058</v>
      </c>
      <c r="H771" s="3191" t="s">
        <v>5952</v>
      </c>
      <c r="I771" s="3191" t="s">
        <v>4785</v>
      </c>
      <c r="J771" s="3194">
        <v>36.630000000000003</v>
      </c>
      <c r="K771" s="3194">
        <v>12.37</v>
      </c>
      <c r="L771" s="3196"/>
    </row>
    <row r="772" spans="1:12">
      <c r="A772" s="3190">
        <v>771</v>
      </c>
      <c r="B772" s="3191" t="s">
        <v>4583</v>
      </c>
      <c r="C772" s="3191" t="s">
        <v>5169</v>
      </c>
      <c r="D772" s="3192" t="s">
        <v>5786</v>
      </c>
      <c r="E772" s="3191" t="s">
        <v>4584</v>
      </c>
      <c r="F772" s="3193" t="s">
        <v>5487</v>
      </c>
      <c r="G772" s="3197">
        <v>1059</v>
      </c>
      <c r="H772" s="3191" t="s">
        <v>4786</v>
      </c>
      <c r="I772" s="3191" t="s">
        <v>5953</v>
      </c>
      <c r="J772" s="3194">
        <v>36.630000000000003</v>
      </c>
      <c r="K772" s="3194">
        <v>12.37</v>
      </c>
      <c r="L772" s="3196"/>
    </row>
    <row r="773" spans="1:12">
      <c r="A773" s="3190">
        <v>772</v>
      </c>
      <c r="B773" s="3191" t="s">
        <v>5749</v>
      </c>
      <c r="C773" s="3191" t="s">
        <v>4007</v>
      </c>
      <c r="D773" s="3192" t="s">
        <v>5786</v>
      </c>
      <c r="E773" s="3191" t="s">
        <v>5750</v>
      </c>
      <c r="F773" s="3193" t="s">
        <v>4322</v>
      </c>
      <c r="G773" s="3197">
        <v>1060</v>
      </c>
      <c r="H773" s="3191" t="s">
        <v>5954</v>
      </c>
      <c r="I773" s="3191" t="s">
        <v>4787</v>
      </c>
      <c r="J773" s="3194">
        <v>36.630000000000003</v>
      </c>
      <c r="K773" s="3194">
        <v>12.37</v>
      </c>
      <c r="L773" s="3196"/>
    </row>
    <row r="774" spans="1:12">
      <c r="A774" s="3190">
        <v>773</v>
      </c>
      <c r="B774" s="3191" t="s">
        <v>4583</v>
      </c>
      <c r="C774" s="3191" t="s">
        <v>5169</v>
      </c>
      <c r="D774" s="3192" t="s">
        <v>5786</v>
      </c>
      <c r="E774" s="3191" t="s">
        <v>4584</v>
      </c>
      <c r="F774" s="3193" t="s">
        <v>5487</v>
      </c>
      <c r="G774" s="3197">
        <v>1061</v>
      </c>
      <c r="H774" s="3191" t="s">
        <v>4788</v>
      </c>
      <c r="I774" s="3191" t="s">
        <v>5955</v>
      </c>
      <c r="J774" s="3194">
        <v>36.630000000000003</v>
      </c>
      <c r="K774" s="3194">
        <v>12.37</v>
      </c>
      <c r="L774" s="3196"/>
    </row>
    <row r="775" spans="1:12">
      <c r="A775" s="3190">
        <v>774</v>
      </c>
      <c r="B775" s="3191" t="s">
        <v>5749</v>
      </c>
      <c r="C775" s="3191" t="s">
        <v>4007</v>
      </c>
      <c r="D775" s="3192" t="s">
        <v>5786</v>
      </c>
      <c r="E775" s="3191" t="s">
        <v>5750</v>
      </c>
      <c r="F775" s="3193" t="s">
        <v>4322</v>
      </c>
      <c r="G775" s="3197">
        <v>1062</v>
      </c>
      <c r="H775" s="3191" t="s">
        <v>5956</v>
      </c>
      <c r="I775" s="3191" t="s">
        <v>4789</v>
      </c>
      <c r="J775" s="3194">
        <v>36.630000000000003</v>
      </c>
      <c r="K775" s="3194">
        <v>12.37</v>
      </c>
      <c r="L775" s="3196"/>
    </row>
    <row r="776" spans="1:12">
      <c r="A776" s="3190">
        <v>775</v>
      </c>
      <c r="B776" s="3191" t="s">
        <v>4583</v>
      </c>
      <c r="C776" s="3191" t="s">
        <v>5169</v>
      </c>
      <c r="D776" s="3192" t="s">
        <v>5786</v>
      </c>
      <c r="E776" s="3191" t="s">
        <v>4584</v>
      </c>
      <c r="F776" s="3193" t="s">
        <v>5487</v>
      </c>
      <c r="G776" s="3197">
        <v>1063</v>
      </c>
      <c r="H776" s="3191" t="s">
        <v>4790</v>
      </c>
      <c r="I776" s="3191" t="s">
        <v>5957</v>
      </c>
      <c r="J776" s="3194">
        <v>36.630000000000003</v>
      </c>
      <c r="K776" s="3194">
        <v>12.37</v>
      </c>
      <c r="L776" s="3196"/>
    </row>
    <row r="777" spans="1:12">
      <c r="A777" s="3190">
        <v>776</v>
      </c>
      <c r="B777" s="3191" t="s">
        <v>5749</v>
      </c>
      <c r="C777" s="3191" t="s">
        <v>4007</v>
      </c>
      <c r="D777" s="3192" t="s">
        <v>5786</v>
      </c>
      <c r="E777" s="3191" t="s">
        <v>5750</v>
      </c>
      <c r="F777" s="3193" t="s">
        <v>4322</v>
      </c>
      <c r="G777" s="3197">
        <v>1064</v>
      </c>
      <c r="H777" s="3191" t="s">
        <v>5958</v>
      </c>
      <c r="I777" s="3191" t="s">
        <v>4791</v>
      </c>
      <c r="J777" s="3194">
        <v>36.630000000000003</v>
      </c>
      <c r="K777" s="3194">
        <v>12.37</v>
      </c>
      <c r="L777" s="3196"/>
    </row>
    <row r="778" spans="1:12">
      <c r="A778" s="3190">
        <v>777</v>
      </c>
      <c r="B778" s="3191" t="s">
        <v>4583</v>
      </c>
      <c r="C778" s="3191" t="s">
        <v>5169</v>
      </c>
      <c r="D778" s="3192" t="s">
        <v>5786</v>
      </c>
      <c r="E778" s="3191" t="s">
        <v>4584</v>
      </c>
      <c r="F778" s="3207" t="s">
        <v>5494</v>
      </c>
      <c r="G778" s="3197">
        <v>1065</v>
      </c>
      <c r="H778" s="3191" t="s">
        <v>4792</v>
      </c>
      <c r="I778" s="3191" t="s">
        <v>5959</v>
      </c>
      <c r="J778" s="3194">
        <v>36.630000000000003</v>
      </c>
      <c r="K778" s="3194">
        <v>12.37</v>
      </c>
      <c r="L778" s="3196"/>
    </row>
    <row r="779" spans="1:12">
      <c r="A779" s="3190">
        <v>778</v>
      </c>
      <c r="B779" s="3191" t="s">
        <v>5749</v>
      </c>
      <c r="C779" s="3191" t="s">
        <v>4007</v>
      </c>
      <c r="D779" s="3192" t="s">
        <v>5786</v>
      </c>
      <c r="E779" s="3191" t="s">
        <v>5750</v>
      </c>
      <c r="F779" s="3207" t="s">
        <v>4330</v>
      </c>
      <c r="G779" s="3197">
        <v>1068</v>
      </c>
      <c r="H779" s="3191" t="s">
        <v>5960</v>
      </c>
      <c r="I779" s="3191" t="s">
        <v>4793</v>
      </c>
      <c r="J779" s="3194">
        <v>34.46</v>
      </c>
      <c r="K779" s="3194">
        <v>11.64</v>
      </c>
      <c r="L779" s="3196"/>
    </row>
    <row r="780" spans="1:12">
      <c r="A780" s="3190">
        <v>779</v>
      </c>
      <c r="B780" s="3191" t="s">
        <v>4583</v>
      </c>
      <c r="C780" s="3191" t="s">
        <v>5169</v>
      </c>
      <c r="D780" s="3192" t="s">
        <v>5786</v>
      </c>
      <c r="E780" s="3191" t="s">
        <v>4584</v>
      </c>
      <c r="F780" s="3193" t="s">
        <v>5487</v>
      </c>
      <c r="G780" s="3197">
        <v>1069</v>
      </c>
      <c r="H780" s="3191" t="s">
        <v>4794</v>
      </c>
      <c r="I780" s="3191" t="s">
        <v>5961</v>
      </c>
      <c r="J780" s="3194">
        <v>34.46</v>
      </c>
      <c r="K780" s="3194">
        <v>11.64</v>
      </c>
      <c r="L780" s="3196"/>
    </row>
    <row r="781" spans="1:12">
      <c r="A781" s="3190">
        <v>780</v>
      </c>
      <c r="B781" s="3191" t="s">
        <v>5749</v>
      </c>
      <c r="C781" s="3191" t="s">
        <v>4007</v>
      </c>
      <c r="D781" s="3192" t="s">
        <v>5786</v>
      </c>
      <c r="E781" s="3191" t="s">
        <v>5750</v>
      </c>
      <c r="F781" s="3193" t="s">
        <v>4322</v>
      </c>
      <c r="G781" s="3197">
        <v>1070</v>
      </c>
      <c r="H781" s="3191" t="s">
        <v>5962</v>
      </c>
      <c r="I781" s="3191" t="s">
        <v>4795</v>
      </c>
      <c r="J781" s="3194">
        <v>34.46</v>
      </c>
      <c r="K781" s="3194">
        <v>11.64</v>
      </c>
      <c r="L781" s="3196"/>
    </row>
    <row r="782" spans="1:12">
      <c r="A782" s="3190">
        <v>781</v>
      </c>
      <c r="B782" s="3191" t="s">
        <v>4583</v>
      </c>
      <c r="C782" s="3191" t="s">
        <v>5169</v>
      </c>
      <c r="D782" s="3192" t="s">
        <v>5786</v>
      </c>
      <c r="E782" s="3191" t="s">
        <v>4584</v>
      </c>
      <c r="F782" s="3193" t="s">
        <v>5487</v>
      </c>
      <c r="G782" s="3197">
        <v>1071</v>
      </c>
      <c r="H782" s="3191" t="s">
        <v>4796</v>
      </c>
      <c r="I782" s="3191" t="s">
        <v>5963</v>
      </c>
      <c r="J782" s="3194">
        <v>34.46</v>
      </c>
      <c r="K782" s="3194">
        <v>11.64</v>
      </c>
      <c r="L782" s="3196"/>
    </row>
    <row r="783" spans="1:12">
      <c r="A783" s="3190">
        <v>782</v>
      </c>
      <c r="B783" s="3191" t="s">
        <v>5749</v>
      </c>
      <c r="C783" s="3191" t="s">
        <v>4007</v>
      </c>
      <c r="D783" s="3218" t="s">
        <v>5786</v>
      </c>
      <c r="E783" s="3191" t="s">
        <v>5750</v>
      </c>
      <c r="F783" s="3193" t="s">
        <v>4322</v>
      </c>
      <c r="G783" s="3197">
        <v>1072</v>
      </c>
      <c r="H783" s="3191" t="s">
        <v>5964</v>
      </c>
      <c r="I783" s="3191" t="s">
        <v>4797</v>
      </c>
      <c r="J783" s="3194">
        <v>34.46</v>
      </c>
      <c r="K783" s="3194">
        <v>11.64</v>
      </c>
      <c r="L783" s="3196"/>
    </row>
    <row r="784" spans="1:12">
      <c r="A784" s="3190">
        <v>783</v>
      </c>
      <c r="B784" s="3191" t="s">
        <v>4583</v>
      </c>
      <c r="C784" s="3191" t="s">
        <v>5169</v>
      </c>
      <c r="D784" s="3192" t="s">
        <v>5786</v>
      </c>
      <c r="E784" s="3191" t="s">
        <v>4584</v>
      </c>
      <c r="F784" s="3193" t="s">
        <v>5487</v>
      </c>
      <c r="G784" s="3197">
        <v>1073</v>
      </c>
      <c r="H784" s="3191" t="s">
        <v>4798</v>
      </c>
      <c r="I784" s="3191" t="s">
        <v>5965</v>
      </c>
      <c r="J784" s="3194">
        <v>34.46</v>
      </c>
      <c r="K784" s="3194">
        <v>11.64</v>
      </c>
      <c r="L784" s="3196"/>
    </row>
    <row r="785" spans="1:12">
      <c r="A785" s="3190">
        <v>784</v>
      </c>
      <c r="B785" s="3191" t="s">
        <v>5749</v>
      </c>
      <c r="C785" s="3191" t="s">
        <v>4007</v>
      </c>
      <c r="D785" s="3192" t="s">
        <v>5786</v>
      </c>
      <c r="E785" s="3191" t="s">
        <v>5750</v>
      </c>
      <c r="F785" s="3193" t="s">
        <v>4322</v>
      </c>
      <c r="G785" s="3197">
        <v>1078</v>
      </c>
      <c r="H785" s="3191" t="s">
        <v>5966</v>
      </c>
      <c r="I785" s="3191" t="s">
        <v>4799</v>
      </c>
      <c r="J785" s="3194">
        <v>34.46</v>
      </c>
      <c r="K785" s="3194">
        <v>11.64</v>
      </c>
      <c r="L785" s="3196"/>
    </row>
    <row r="786" spans="1:12">
      <c r="A786" s="3190">
        <v>785</v>
      </c>
      <c r="B786" s="3191" t="s">
        <v>4583</v>
      </c>
      <c r="C786" s="3191" t="s">
        <v>5169</v>
      </c>
      <c r="D786" s="3192" t="s">
        <v>5786</v>
      </c>
      <c r="E786" s="3191" t="s">
        <v>4584</v>
      </c>
      <c r="F786" s="3193" t="s">
        <v>5487</v>
      </c>
      <c r="G786" s="3197">
        <v>1079</v>
      </c>
      <c r="H786" s="3191" t="s">
        <v>4800</v>
      </c>
      <c r="I786" s="3191" t="s">
        <v>5967</v>
      </c>
      <c r="J786" s="3194">
        <v>34.46</v>
      </c>
      <c r="K786" s="3194">
        <v>11.64</v>
      </c>
      <c r="L786" s="3196"/>
    </row>
    <row r="787" spans="1:12">
      <c r="A787" s="3190">
        <v>786</v>
      </c>
      <c r="B787" s="3191" t="s">
        <v>5749</v>
      </c>
      <c r="C787" s="3191" t="s">
        <v>4007</v>
      </c>
      <c r="D787" s="3192" t="s">
        <v>5786</v>
      </c>
      <c r="E787" s="3191" t="s">
        <v>5750</v>
      </c>
      <c r="F787" s="3193" t="s">
        <v>4322</v>
      </c>
      <c r="G787" s="3197">
        <v>1080</v>
      </c>
      <c r="H787" s="3191" t="s">
        <v>5968</v>
      </c>
      <c r="I787" s="3191" t="s">
        <v>4801</v>
      </c>
      <c r="J787" s="3194">
        <v>34.46</v>
      </c>
      <c r="K787" s="3194">
        <v>11.64</v>
      </c>
      <c r="L787" s="3196"/>
    </row>
    <row r="788" spans="1:12">
      <c r="A788" s="3190">
        <v>787</v>
      </c>
      <c r="B788" s="3191" t="s">
        <v>4583</v>
      </c>
      <c r="C788" s="3191" t="s">
        <v>5169</v>
      </c>
      <c r="D788" s="3192" t="s">
        <v>5786</v>
      </c>
      <c r="E788" s="3191" t="s">
        <v>4584</v>
      </c>
      <c r="F788" s="3193" t="s">
        <v>5487</v>
      </c>
      <c r="G788" s="3197">
        <v>1081</v>
      </c>
      <c r="H788" s="3191" t="s">
        <v>4802</v>
      </c>
      <c r="I788" s="3191" t="s">
        <v>5969</v>
      </c>
      <c r="J788" s="3194">
        <v>34.46</v>
      </c>
      <c r="K788" s="3194">
        <v>11.64</v>
      </c>
      <c r="L788" s="3196"/>
    </row>
    <row r="789" spans="1:12">
      <c r="A789" s="3190">
        <v>788</v>
      </c>
      <c r="B789" s="3191" t="s">
        <v>5749</v>
      </c>
      <c r="C789" s="3191" t="s">
        <v>4007</v>
      </c>
      <c r="D789" s="3192" t="s">
        <v>5786</v>
      </c>
      <c r="E789" s="3191" t="s">
        <v>5750</v>
      </c>
      <c r="F789" s="3193" t="s">
        <v>4322</v>
      </c>
      <c r="G789" s="3197">
        <v>1082</v>
      </c>
      <c r="H789" s="3191" t="s">
        <v>5970</v>
      </c>
      <c r="I789" s="3191" t="s">
        <v>4803</v>
      </c>
      <c r="J789" s="3194">
        <v>34.46</v>
      </c>
      <c r="K789" s="3194">
        <v>11.64</v>
      </c>
      <c r="L789" s="3196"/>
    </row>
    <row r="790" spans="1:12">
      <c r="A790" s="3190">
        <v>789</v>
      </c>
      <c r="B790" s="3191" t="s">
        <v>4583</v>
      </c>
      <c r="C790" s="3191" t="s">
        <v>5169</v>
      </c>
      <c r="D790" s="3192" t="s">
        <v>5786</v>
      </c>
      <c r="E790" s="3191" t="s">
        <v>4584</v>
      </c>
      <c r="F790" s="3193" t="s">
        <v>5487</v>
      </c>
      <c r="G790" s="3197">
        <v>1083</v>
      </c>
      <c r="H790" s="3191" t="s">
        <v>4804</v>
      </c>
      <c r="I790" s="3191" t="s">
        <v>5971</v>
      </c>
      <c r="J790" s="3194">
        <v>34.46</v>
      </c>
      <c r="K790" s="3194">
        <v>11.64</v>
      </c>
      <c r="L790" s="3196"/>
    </row>
    <row r="791" spans="1:12">
      <c r="A791" s="3190">
        <v>790</v>
      </c>
      <c r="B791" s="3191" t="s">
        <v>5749</v>
      </c>
      <c r="C791" s="3191" t="s">
        <v>4007</v>
      </c>
      <c r="D791" s="3192" t="s">
        <v>5786</v>
      </c>
      <c r="E791" s="3191" t="s">
        <v>5750</v>
      </c>
      <c r="F791" s="3193" t="s">
        <v>4322</v>
      </c>
      <c r="G791" s="3197">
        <v>1084</v>
      </c>
      <c r="H791" s="3191" t="s">
        <v>5972</v>
      </c>
      <c r="I791" s="3191" t="s">
        <v>4805</v>
      </c>
      <c r="J791" s="3194">
        <v>34.46</v>
      </c>
      <c r="K791" s="3194">
        <v>11.64</v>
      </c>
      <c r="L791" s="3196"/>
    </row>
    <row r="792" spans="1:12">
      <c r="A792" s="3190">
        <v>791</v>
      </c>
      <c r="B792" s="3191" t="s">
        <v>4583</v>
      </c>
      <c r="C792" s="3191" t="s">
        <v>5169</v>
      </c>
      <c r="D792" s="3192" t="s">
        <v>5786</v>
      </c>
      <c r="E792" s="3191" t="s">
        <v>4584</v>
      </c>
      <c r="F792" s="3193" t="s">
        <v>5487</v>
      </c>
      <c r="G792" s="3197">
        <v>1085</v>
      </c>
      <c r="H792" s="3191" t="s">
        <v>4806</v>
      </c>
      <c r="I792" s="3191" t="s">
        <v>5973</v>
      </c>
      <c r="J792" s="3194">
        <v>34.46</v>
      </c>
      <c r="K792" s="3232">
        <v>11.64</v>
      </c>
      <c r="L792" s="3196"/>
    </row>
    <row r="793" spans="1:12">
      <c r="A793" s="3190">
        <v>792</v>
      </c>
      <c r="B793" s="3191" t="s">
        <v>5749</v>
      </c>
      <c r="C793" s="3191" t="s">
        <v>4007</v>
      </c>
      <c r="D793" s="3192" t="s">
        <v>5786</v>
      </c>
      <c r="E793" s="3191" t="s">
        <v>5750</v>
      </c>
      <c r="F793" s="3193" t="s">
        <v>4322</v>
      </c>
      <c r="G793" s="3197">
        <v>1086</v>
      </c>
      <c r="H793" s="3191" t="s">
        <v>5974</v>
      </c>
      <c r="I793" s="3191" t="s">
        <v>4807</v>
      </c>
      <c r="J793" s="3194">
        <v>34.46</v>
      </c>
      <c r="K793" s="3194">
        <v>11.64</v>
      </c>
      <c r="L793" s="3196"/>
    </row>
    <row r="794" spans="1:12">
      <c r="A794" s="3190">
        <v>793</v>
      </c>
      <c r="B794" s="3191" t="s">
        <v>4583</v>
      </c>
      <c r="C794" s="3191" t="s">
        <v>5169</v>
      </c>
      <c r="D794" s="3192" t="s">
        <v>5786</v>
      </c>
      <c r="E794" s="3191" t="s">
        <v>4584</v>
      </c>
      <c r="F794" s="3193" t="s">
        <v>5487</v>
      </c>
      <c r="G794" s="3197">
        <v>1087</v>
      </c>
      <c r="H794" s="3191" t="s">
        <v>4808</v>
      </c>
      <c r="I794" s="3191" t="s">
        <v>5975</v>
      </c>
      <c r="J794" s="3194">
        <v>34.46</v>
      </c>
      <c r="K794" s="3194">
        <v>11.64</v>
      </c>
      <c r="L794" s="3196"/>
    </row>
    <row r="795" spans="1:12">
      <c r="A795" s="3190">
        <v>794</v>
      </c>
      <c r="B795" s="3191" t="s">
        <v>5749</v>
      </c>
      <c r="C795" s="3191" t="s">
        <v>4007</v>
      </c>
      <c r="D795" s="3192" t="s">
        <v>5747</v>
      </c>
      <c r="E795" s="3191" t="s">
        <v>5750</v>
      </c>
      <c r="F795" s="3193" t="s">
        <v>4322</v>
      </c>
      <c r="G795" s="3197">
        <v>1090</v>
      </c>
      <c r="H795" s="3191" t="s">
        <v>5976</v>
      </c>
      <c r="I795" s="3191" t="s">
        <v>4809</v>
      </c>
      <c r="J795" s="3194">
        <v>33.04</v>
      </c>
      <c r="K795" s="3194">
        <v>11.16</v>
      </c>
      <c r="L795" s="3196"/>
    </row>
    <row r="796" spans="1:12">
      <c r="A796" s="3190">
        <v>795</v>
      </c>
      <c r="B796" s="3191" t="s">
        <v>4583</v>
      </c>
      <c r="C796" s="3191" t="s">
        <v>5169</v>
      </c>
      <c r="D796" s="3192" t="s">
        <v>5747</v>
      </c>
      <c r="E796" s="3191" t="s">
        <v>4584</v>
      </c>
      <c r="F796" s="3193" t="s">
        <v>5487</v>
      </c>
      <c r="G796" s="3197">
        <v>1098</v>
      </c>
      <c r="H796" s="3191" t="s">
        <v>4810</v>
      </c>
      <c r="I796" s="3191" t="s">
        <v>5977</v>
      </c>
      <c r="J796" s="3194">
        <v>35.17</v>
      </c>
      <c r="K796" s="3194">
        <v>11.88</v>
      </c>
      <c r="L796" s="3196"/>
    </row>
    <row r="797" spans="1:12">
      <c r="A797" s="3190">
        <v>796</v>
      </c>
      <c r="B797" s="3191" t="s">
        <v>5749</v>
      </c>
      <c r="C797" s="3191" t="s">
        <v>4007</v>
      </c>
      <c r="D797" s="3192" t="s">
        <v>5747</v>
      </c>
      <c r="E797" s="3191" t="s">
        <v>5750</v>
      </c>
      <c r="F797" s="3193" t="s">
        <v>4322</v>
      </c>
      <c r="G797" s="3197">
        <v>1101</v>
      </c>
      <c r="H797" s="3191" t="s">
        <v>5978</v>
      </c>
      <c r="I797" s="3191" t="s">
        <v>4811</v>
      </c>
      <c r="J797" s="3194">
        <v>33.04</v>
      </c>
      <c r="K797" s="3194">
        <v>11.16</v>
      </c>
      <c r="L797" s="3196"/>
    </row>
    <row r="798" spans="1:12">
      <c r="A798" s="3190">
        <v>797</v>
      </c>
      <c r="B798" s="3191" t="s">
        <v>4583</v>
      </c>
      <c r="C798" s="3191" t="s">
        <v>5169</v>
      </c>
      <c r="D798" s="3192" t="s">
        <v>5747</v>
      </c>
      <c r="E798" s="3191" t="s">
        <v>4584</v>
      </c>
      <c r="F798" s="3207" t="s">
        <v>5494</v>
      </c>
      <c r="G798" s="3197">
        <v>1102</v>
      </c>
      <c r="H798" s="3191" t="s">
        <v>4812</v>
      </c>
      <c r="I798" s="3191" t="s">
        <v>5979</v>
      </c>
      <c r="J798" s="3194">
        <v>33.04</v>
      </c>
      <c r="K798" s="3194">
        <v>11.16</v>
      </c>
      <c r="L798" s="3196"/>
    </row>
    <row r="799" spans="1:12">
      <c r="A799" s="3190">
        <v>798</v>
      </c>
      <c r="B799" s="3191" t="s">
        <v>5749</v>
      </c>
      <c r="C799" s="3191" t="s">
        <v>4007</v>
      </c>
      <c r="D799" s="3192" t="s">
        <v>5747</v>
      </c>
      <c r="E799" s="3191" t="s">
        <v>5750</v>
      </c>
      <c r="F799" s="3193" t="s">
        <v>4322</v>
      </c>
      <c r="G799" s="3197">
        <v>1105</v>
      </c>
      <c r="H799" s="3191" t="s">
        <v>5980</v>
      </c>
      <c r="I799" s="3191" t="s">
        <v>4813</v>
      </c>
      <c r="J799" s="3194">
        <v>33.04</v>
      </c>
      <c r="K799" s="3194">
        <v>11.16</v>
      </c>
      <c r="L799" s="3196"/>
    </row>
    <row r="800" spans="1:12">
      <c r="A800" s="3190">
        <v>799</v>
      </c>
      <c r="B800" s="3191" t="s">
        <v>4583</v>
      </c>
      <c r="C800" s="3191" t="s">
        <v>5169</v>
      </c>
      <c r="D800" s="3192" t="s">
        <v>5747</v>
      </c>
      <c r="E800" s="3191" t="s">
        <v>4584</v>
      </c>
      <c r="F800" s="3193" t="s">
        <v>5487</v>
      </c>
      <c r="G800" s="3197">
        <v>1107</v>
      </c>
      <c r="H800" s="3191" t="s">
        <v>4814</v>
      </c>
      <c r="I800" s="3191" t="s">
        <v>5981</v>
      </c>
      <c r="J800" s="3194">
        <v>34.46</v>
      </c>
      <c r="K800" s="3194">
        <v>11.64</v>
      </c>
      <c r="L800" s="3196"/>
    </row>
    <row r="801" spans="1:12">
      <c r="A801" s="3190">
        <v>800</v>
      </c>
      <c r="B801" s="3191" t="s">
        <v>5749</v>
      </c>
      <c r="C801" s="3191" t="s">
        <v>4007</v>
      </c>
      <c r="D801" s="3192" t="s">
        <v>5747</v>
      </c>
      <c r="E801" s="3191" t="s">
        <v>5750</v>
      </c>
      <c r="F801" s="3193" t="s">
        <v>4322</v>
      </c>
      <c r="G801" s="3197">
        <v>1109</v>
      </c>
      <c r="H801" s="3191" t="s">
        <v>5982</v>
      </c>
      <c r="I801" s="3191" t="s">
        <v>4815</v>
      </c>
      <c r="J801" s="3194">
        <v>33.75</v>
      </c>
      <c r="K801" s="3203">
        <v>11.4</v>
      </c>
      <c r="L801" s="3196"/>
    </row>
    <row r="802" spans="1:12">
      <c r="A802" s="3190">
        <v>801</v>
      </c>
      <c r="B802" s="3191" t="s">
        <v>4583</v>
      </c>
      <c r="C802" s="3191" t="s">
        <v>5169</v>
      </c>
      <c r="D802" s="3192" t="s">
        <v>5747</v>
      </c>
      <c r="E802" s="3191" t="s">
        <v>4584</v>
      </c>
      <c r="F802" s="3193" t="s">
        <v>5487</v>
      </c>
      <c r="G802" s="3197">
        <v>1110</v>
      </c>
      <c r="H802" s="3191" t="s">
        <v>4816</v>
      </c>
      <c r="I802" s="3191" t="s">
        <v>5983</v>
      </c>
      <c r="J802" s="3194">
        <v>33.75</v>
      </c>
      <c r="K802" s="3203">
        <v>11.4</v>
      </c>
      <c r="L802" s="3196"/>
    </row>
    <row r="803" spans="1:12">
      <c r="A803" s="3190">
        <v>802</v>
      </c>
      <c r="B803" s="3191" t="s">
        <v>5749</v>
      </c>
      <c r="C803" s="3191" t="s">
        <v>4007</v>
      </c>
      <c r="D803" s="3192" t="s">
        <v>5747</v>
      </c>
      <c r="E803" s="3191" t="s">
        <v>5750</v>
      </c>
      <c r="F803" s="3193" t="s">
        <v>4322</v>
      </c>
      <c r="G803" s="3197">
        <v>1113</v>
      </c>
      <c r="H803" s="3191" t="s">
        <v>5984</v>
      </c>
      <c r="I803" s="3191" t="s">
        <v>4817</v>
      </c>
      <c r="J803" s="3194">
        <v>34.46</v>
      </c>
      <c r="K803" s="3194">
        <v>11.64</v>
      </c>
      <c r="L803" s="3196"/>
    </row>
    <row r="804" spans="1:12">
      <c r="A804" s="3190">
        <v>803</v>
      </c>
      <c r="B804" s="3191" t="s">
        <v>4583</v>
      </c>
      <c r="C804" s="3191" t="s">
        <v>5169</v>
      </c>
      <c r="D804" s="3192" t="s">
        <v>5747</v>
      </c>
      <c r="E804" s="3191" t="s">
        <v>4584</v>
      </c>
      <c r="F804" s="3193" t="s">
        <v>5487</v>
      </c>
      <c r="G804" s="3197">
        <v>1117</v>
      </c>
      <c r="H804" s="3191" t="s">
        <v>4818</v>
      </c>
      <c r="I804" s="3191" t="s">
        <v>5985</v>
      </c>
      <c r="J804" s="3194">
        <v>34.46</v>
      </c>
      <c r="K804" s="3194">
        <v>11.64</v>
      </c>
      <c r="L804" s="3196"/>
    </row>
    <row r="805" spans="1:12">
      <c r="A805" s="3190">
        <v>804</v>
      </c>
      <c r="B805" s="3191" t="s">
        <v>5749</v>
      </c>
      <c r="C805" s="3191" t="s">
        <v>4007</v>
      </c>
      <c r="D805" s="3192" t="s">
        <v>5747</v>
      </c>
      <c r="E805" s="3191" t="s">
        <v>5750</v>
      </c>
      <c r="F805" s="3193" t="s">
        <v>4322</v>
      </c>
      <c r="G805" s="3197">
        <v>1118</v>
      </c>
      <c r="H805" s="3191" t="s">
        <v>5986</v>
      </c>
      <c r="I805" s="3191" t="s">
        <v>4819</v>
      </c>
      <c r="J805" s="3194">
        <v>34.46</v>
      </c>
      <c r="K805" s="3194">
        <v>11.64</v>
      </c>
      <c r="L805" s="3196"/>
    </row>
    <row r="806" spans="1:12">
      <c r="A806" s="3190">
        <v>805</v>
      </c>
      <c r="B806" s="3191" t="s">
        <v>4583</v>
      </c>
      <c r="C806" s="3191" t="s">
        <v>5169</v>
      </c>
      <c r="D806" s="3192" t="s">
        <v>5747</v>
      </c>
      <c r="E806" s="3191" t="s">
        <v>4584</v>
      </c>
      <c r="F806" s="3207" t="s">
        <v>5494</v>
      </c>
      <c r="G806" s="3197">
        <v>1120</v>
      </c>
      <c r="H806" s="3191" t="s">
        <v>4820</v>
      </c>
      <c r="I806" s="3191" t="s">
        <v>5987</v>
      </c>
      <c r="J806" s="3194">
        <v>33.04</v>
      </c>
      <c r="K806" s="3194">
        <v>11.16</v>
      </c>
      <c r="L806" s="3196"/>
    </row>
    <row r="807" spans="1:12">
      <c r="A807" s="3190">
        <v>806</v>
      </c>
      <c r="B807" s="3191" t="s">
        <v>5749</v>
      </c>
      <c r="C807" s="3191" t="s">
        <v>4007</v>
      </c>
      <c r="D807" s="3192" t="s">
        <v>5747</v>
      </c>
      <c r="E807" s="3191" t="s">
        <v>5750</v>
      </c>
      <c r="F807" s="3193" t="s">
        <v>4322</v>
      </c>
      <c r="G807" s="3197">
        <v>1121</v>
      </c>
      <c r="H807" s="3191" t="s">
        <v>5988</v>
      </c>
      <c r="I807" s="3191" t="s">
        <v>4821</v>
      </c>
      <c r="J807" s="3194">
        <v>33.04</v>
      </c>
      <c r="K807" s="3194">
        <v>11.16</v>
      </c>
      <c r="L807" s="3196"/>
    </row>
    <row r="808" spans="1:12">
      <c r="A808" s="3190">
        <v>807</v>
      </c>
      <c r="B808" s="3191" t="s">
        <v>4583</v>
      </c>
      <c r="C808" s="3191" t="s">
        <v>5169</v>
      </c>
      <c r="D808" s="3192" t="s">
        <v>5747</v>
      </c>
      <c r="E808" s="3191" t="s">
        <v>4584</v>
      </c>
      <c r="F808" s="3193" t="s">
        <v>5487</v>
      </c>
      <c r="G808" s="3197">
        <v>1124</v>
      </c>
      <c r="H808" s="3191" t="s">
        <v>4822</v>
      </c>
      <c r="I808" s="3191" t="s">
        <v>5989</v>
      </c>
      <c r="J808" s="3194">
        <v>33.04</v>
      </c>
      <c r="K808" s="3194">
        <v>11.16</v>
      </c>
      <c r="L808" s="3196"/>
    </row>
    <row r="809" spans="1:12">
      <c r="A809" s="3190">
        <v>808</v>
      </c>
      <c r="B809" s="3191" t="s">
        <v>5749</v>
      </c>
      <c r="C809" s="3191" t="s">
        <v>4007</v>
      </c>
      <c r="D809" s="3192" t="s">
        <v>5747</v>
      </c>
      <c r="E809" s="3191" t="s">
        <v>5750</v>
      </c>
      <c r="F809" s="3193" t="s">
        <v>4322</v>
      </c>
      <c r="G809" s="3197">
        <v>1126</v>
      </c>
      <c r="H809" s="3191" t="s">
        <v>5990</v>
      </c>
      <c r="I809" s="3191" t="s">
        <v>4823</v>
      </c>
      <c r="J809" s="3194">
        <v>33.04</v>
      </c>
      <c r="K809" s="3194">
        <v>11.16</v>
      </c>
      <c r="L809" s="3196"/>
    </row>
    <row r="810" spans="1:12">
      <c r="A810" s="3190">
        <v>809</v>
      </c>
      <c r="B810" s="3191" t="s">
        <v>4583</v>
      </c>
      <c r="C810" s="3191" t="s">
        <v>5169</v>
      </c>
      <c r="D810" s="3192" t="s">
        <v>5747</v>
      </c>
      <c r="E810" s="3191" t="s">
        <v>4584</v>
      </c>
      <c r="F810" s="3193" t="s">
        <v>5487</v>
      </c>
      <c r="G810" s="3197">
        <v>1129</v>
      </c>
      <c r="H810" s="3191" t="s">
        <v>4824</v>
      </c>
      <c r="I810" s="3191" t="s">
        <v>5991</v>
      </c>
      <c r="J810" s="3194">
        <v>33.04</v>
      </c>
      <c r="K810" s="3194">
        <v>11.16</v>
      </c>
      <c r="L810" s="3196"/>
    </row>
    <row r="811" spans="1:12">
      <c r="A811" s="3190">
        <v>810</v>
      </c>
      <c r="B811" s="3191" t="s">
        <v>5749</v>
      </c>
      <c r="C811" s="3191" t="s">
        <v>4007</v>
      </c>
      <c r="D811" s="3192" t="s">
        <v>5747</v>
      </c>
      <c r="E811" s="3191" t="s">
        <v>5750</v>
      </c>
      <c r="F811" s="3193" t="s">
        <v>4322</v>
      </c>
      <c r="G811" s="3197">
        <v>1131</v>
      </c>
      <c r="H811" s="3191" t="s">
        <v>5992</v>
      </c>
      <c r="I811" s="3191" t="s">
        <v>4825</v>
      </c>
      <c r="J811" s="3194">
        <v>33.04</v>
      </c>
      <c r="K811" s="3194">
        <v>11.16</v>
      </c>
      <c r="L811" s="3196"/>
    </row>
    <row r="812" spans="1:12">
      <c r="A812" s="3190">
        <v>811</v>
      </c>
      <c r="B812" s="3191" t="s">
        <v>4583</v>
      </c>
      <c r="C812" s="3191" t="s">
        <v>5169</v>
      </c>
      <c r="D812" s="3192" t="s">
        <v>5747</v>
      </c>
      <c r="E812" s="3191" t="s">
        <v>4584</v>
      </c>
      <c r="F812" s="3193" t="s">
        <v>5487</v>
      </c>
      <c r="G812" s="3197">
        <v>1132</v>
      </c>
      <c r="H812" s="3191" t="s">
        <v>4826</v>
      </c>
      <c r="I812" s="3191" t="s">
        <v>5993</v>
      </c>
      <c r="J812" s="3194">
        <v>33.04</v>
      </c>
      <c r="K812" s="3194">
        <v>11.16</v>
      </c>
      <c r="L812" s="3196"/>
    </row>
    <row r="813" spans="1:12">
      <c r="A813" s="3190">
        <v>812</v>
      </c>
      <c r="B813" s="3191" t="s">
        <v>5749</v>
      </c>
      <c r="C813" s="3191" t="s">
        <v>4007</v>
      </c>
      <c r="D813" s="3192" t="s">
        <v>5747</v>
      </c>
      <c r="E813" s="3191" t="s">
        <v>5750</v>
      </c>
      <c r="F813" s="3193" t="s">
        <v>4322</v>
      </c>
      <c r="G813" s="3197">
        <v>1133</v>
      </c>
      <c r="H813" s="3191" t="s">
        <v>5994</v>
      </c>
      <c r="I813" s="3191" t="s">
        <v>4827</v>
      </c>
      <c r="J813" s="3194">
        <v>35.17</v>
      </c>
      <c r="K813" s="3194">
        <v>11.88</v>
      </c>
      <c r="L813" s="3196"/>
    </row>
    <row r="814" spans="1:12">
      <c r="A814" s="3190">
        <v>813</v>
      </c>
      <c r="B814" s="3191" t="s">
        <v>4583</v>
      </c>
      <c r="C814" s="3191" t="s">
        <v>5169</v>
      </c>
      <c r="D814" s="3192" t="s">
        <v>5747</v>
      </c>
      <c r="E814" s="3191" t="s">
        <v>4584</v>
      </c>
      <c r="F814" s="3193" t="s">
        <v>5487</v>
      </c>
      <c r="G814" s="3197">
        <v>1134</v>
      </c>
      <c r="H814" s="3191" t="s">
        <v>4828</v>
      </c>
      <c r="I814" s="3191" t="s">
        <v>5995</v>
      </c>
      <c r="J814" s="3194">
        <v>35.17</v>
      </c>
      <c r="K814" s="3194">
        <v>11.88</v>
      </c>
      <c r="L814" s="3196"/>
    </row>
    <row r="815" spans="1:12">
      <c r="A815" s="3190">
        <v>814</v>
      </c>
      <c r="B815" s="3191" t="s">
        <v>5749</v>
      </c>
      <c r="C815" s="3191" t="s">
        <v>4007</v>
      </c>
      <c r="D815" s="3192" t="s">
        <v>5747</v>
      </c>
      <c r="E815" s="3191" t="s">
        <v>5750</v>
      </c>
      <c r="F815" s="3193" t="s">
        <v>4322</v>
      </c>
      <c r="G815" s="3197">
        <v>1136</v>
      </c>
      <c r="H815" s="3191" t="s">
        <v>5996</v>
      </c>
      <c r="I815" s="3191" t="s">
        <v>4829</v>
      </c>
      <c r="J815" s="3194">
        <v>35.17</v>
      </c>
      <c r="K815" s="3194">
        <v>11.88</v>
      </c>
      <c r="L815" s="3196"/>
    </row>
    <row r="816" spans="1:12">
      <c r="A816" s="3190">
        <v>815</v>
      </c>
      <c r="B816" s="3191" t="s">
        <v>4583</v>
      </c>
      <c r="C816" s="3191" t="s">
        <v>5169</v>
      </c>
      <c r="D816" s="3192" t="s">
        <v>5747</v>
      </c>
      <c r="E816" s="3191" t="s">
        <v>4584</v>
      </c>
      <c r="F816" s="3193" t="s">
        <v>5487</v>
      </c>
      <c r="G816" s="3197">
        <v>1138</v>
      </c>
      <c r="H816" s="3191" t="s">
        <v>4830</v>
      </c>
      <c r="I816" s="3191" t="s">
        <v>5997</v>
      </c>
      <c r="J816" s="3194">
        <v>35.17</v>
      </c>
      <c r="K816" s="3194">
        <v>11.88</v>
      </c>
      <c r="L816" s="3196"/>
    </row>
    <row r="817" spans="1:12">
      <c r="A817" s="3190">
        <v>816</v>
      </c>
      <c r="B817" s="3191" t="s">
        <v>5749</v>
      </c>
      <c r="C817" s="3191" t="s">
        <v>4007</v>
      </c>
      <c r="D817" s="3192" t="s">
        <v>5747</v>
      </c>
      <c r="E817" s="3191" t="s">
        <v>5750</v>
      </c>
      <c r="F817" s="3207" t="s">
        <v>4330</v>
      </c>
      <c r="G817" s="3197">
        <v>1139</v>
      </c>
      <c r="H817" s="3191" t="s">
        <v>5998</v>
      </c>
      <c r="I817" s="3191" t="s">
        <v>4831</v>
      </c>
      <c r="J817" s="3194">
        <v>33.04</v>
      </c>
      <c r="K817" s="3194">
        <v>11.16</v>
      </c>
      <c r="L817" s="3196"/>
    </row>
    <row r="818" spans="1:12">
      <c r="A818" s="3190">
        <v>817</v>
      </c>
      <c r="B818" s="3191" t="s">
        <v>4583</v>
      </c>
      <c r="C818" s="3191" t="s">
        <v>5169</v>
      </c>
      <c r="D818" s="3192" t="s">
        <v>5747</v>
      </c>
      <c r="E818" s="3191" t="s">
        <v>4584</v>
      </c>
      <c r="F818" s="3193" t="s">
        <v>5487</v>
      </c>
      <c r="G818" s="3197">
        <v>1140</v>
      </c>
      <c r="H818" s="3191" t="s">
        <v>4832</v>
      </c>
      <c r="I818" s="3191" t="s">
        <v>5999</v>
      </c>
      <c r="J818" s="3194">
        <v>33.04</v>
      </c>
      <c r="K818" s="3194">
        <v>11.16</v>
      </c>
      <c r="L818" s="3196"/>
    </row>
    <row r="819" spans="1:12">
      <c r="A819" s="3190">
        <v>818</v>
      </c>
      <c r="B819" s="3198" t="s">
        <v>5749</v>
      </c>
      <c r="C819" s="3191" t="s">
        <v>4007</v>
      </c>
      <c r="D819" s="3192" t="s">
        <v>5747</v>
      </c>
      <c r="E819" s="3191" t="s">
        <v>5750</v>
      </c>
      <c r="F819" s="3207" t="s">
        <v>4330</v>
      </c>
      <c r="G819" s="3197">
        <v>1141</v>
      </c>
      <c r="H819" s="3191" t="s">
        <v>6000</v>
      </c>
      <c r="I819" s="3191" t="s">
        <v>4834</v>
      </c>
      <c r="J819" s="3194">
        <v>33.04</v>
      </c>
      <c r="K819" s="3194">
        <v>11.16</v>
      </c>
      <c r="L819" s="3196"/>
    </row>
    <row r="820" spans="1:12">
      <c r="A820" s="3190">
        <v>819</v>
      </c>
      <c r="B820" s="3191" t="s">
        <v>4583</v>
      </c>
      <c r="C820" s="3191" t="s">
        <v>5169</v>
      </c>
      <c r="D820" s="3192" t="s">
        <v>5747</v>
      </c>
      <c r="E820" s="3191" t="s">
        <v>4584</v>
      </c>
      <c r="F820" s="3193" t="s">
        <v>5487</v>
      </c>
      <c r="G820" s="3197">
        <v>1145</v>
      </c>
      <c r="H820" s="3191" t="s">
        <v>4835</v>
      </c>
      <c r="I820" s="3191" t="s">
        <v>6001</v>
      </c>
      <c r="J820" s="3194">
        <v>34.46</v>
      </c>
      <c r="K820" s="3194">
        <v>11.64</v>
      </c>
      <c r="L820" s="3196"/>
    </row>
    <row r="821" spans="1:12">
      <c r="A821" s="3190">
        <v>820</v>
      </c>
      <c r="B821" s="3191" t="s">
        <v>5749</v>
      </c>
      <c r="C821" s="3191" t="s">
        <v>4007</v>
      </c>
      <c r="D821" s="3192" t="s">
        <v>5747</v>
      </c>
      <c r="E821" s="3191" t="s">
        <v>5750</v>
      </c>
      <c r="F821" s="3207" t="s">
        <v>4330</v>
      </c>
      <c r="G821" s="3197">
        <v>1146</v>
      </c>
      <c r="H821" s="3191" t="s">
        <v>6002</v>
      </c>
      <c r="I821" s="3191" t="s">
        <v>4836</v>
      </c>
      <c r="J821" s="3194">
        <v>34.46</v>
      </c>
      <c r="K821" s="3194">
        <v>11.64</v>
      </c>
      <c r="L821" s="3196"/>
    </row>
    <row r="822" spans="1:12">
      <c r="A822" s="3190">
        <v>821</v>
      </c>
      <c r="B822" s="3191" t="s">
        <v>4583</v>
      </c>
      <c r="C822" s="3191" t="s">
        <v>5169</v>
      </c>
      <c r="D822" s="3192" t="s">
        <v>5747</v>
      </c>
      <c r="E822" s="3191" t="s">
        <v>4584</v>
      </c>
      <c r="F822" s="3193" t="s">
        <v>5487</v>
      </c>
      <c r="G822" s="3197">
        <v>1147</v>
      </c>
      <c r="H822" s="3191" t="s">
        <v>4837</v>
      </c>
      <c r="I822" s="3191" t="s">
        <v>6003</v>
      </c>
      <c r="J822" s="3194">
        <v>34.46</v>
      </c>
      <c r="K822" s="3194">
        <v>11.64</v>
      </c>
      <c r="L822" s="3196"/>
    </row>
    <row r="823" spans="1:12">
      <c r="A823" s="3190">
        <v>822</v>
      </c>
      <c r="B823" s="3191" t="s">
        <v>5749</v>
      </c>
      <c r="C823" s="3191" t="s">
        <v>4007</v>
      </c>
      <c r="D823" s="3192" t="s">
        <v>5747</v>
      </c>
      <c r="E823" s="3191" t="s">
        <v>5750</v>
      </c>
      <c r="F823" s="3207" t="s">
        <v>4330</v>
      </c>
      <c r="G823" s="3197">
        <v>1149</v>
      </c>
      <c r="H823" s="3191" t="s">
        <v>6004</v>
      </c>
      <c r="I823" s="3191" t="s">
        <v>4838</v>
      </c>
      <c r="J823" s="3194">
        <v>34.46</v>
      </c>
      <c r="K823" s="3194">
        <v>11.64</v>
      </c>
      <c r="L823" s="3196"/>
    </row>
    <row r="824" spans="1:12">
      <c r="A824" s="3190">
        <v>823</v>
      </c>
      <c r="B824" s="3191" t="s">
        <v>4583</v>
      </c>
      <c r="C824" s="3191" t="s">
        <v>5169</v>
      </c>
      <c r="D824" s="3192" t="s">
        <v>5747</v>
      </c>
      <c r="E824" s="3191" t="s">
        <v>4584</v>
      </c>
      <c r="F824" s="3193" t="s">
        <v>5487</v>
      </c>
      <c r="G824" s="3197">
        <v>1152</v>
      </c>
      <c r="H824" s="3191" t="s">
        <v>4839</v>
      </c>
      <c r="I824" s="3191" t="s">
        <v>6005</v>
      </c>
      <c r="J824" s="3194">
        <v>34.46</v>
      </c>
      <c r="K824" s="3194">
        <v>11.64</v>
      </c>
      <c r="L824" s="3196"/>
    </row>
    <row r="825" spans="1:12">
      <c r="A825" s="3190">
        <v>824</v>
      </c>
      <c r="B825" s="3191" t="s">
        <v>5749</v>
      </c>
      <c r="C825" s="3191" t="s">
        <v>4007</v>
      </c>
      <c r="D825" s="3192" t="s">
        <v>5747</v>
      </c>
      <c r="E825" s="3191" t="s">
        <v>5750</v>
      </c>
      <c r="F825" s="3193" t="s">
        <v>4322</v>
      </c>
      <c r="G825" s="3197">
        <v>1153</v>
      </c>
      <c r="H825" s="3191" t="s">
        <v>6006</v>
      </c>
      <c r="I825" s="3191" t="s">
        <v>4840</v>
      </c>
      <c r="J825" s="3194">
        <v>34.46</v>
      </c>
      <c r="K825" s="3194">
        <v>11.64</v>
      </c>
      <c r="L825" s="3196"/>
    </row>
    <row r="826" spans="1:12">
      <c r="A826" s="3190">
        <v>825</v>
      </c>
      <c r="B826" s="3191" t="s">
        <v>4583</v>
      </c>
      <c r="C826" s="3191" t="s">
        <v>5169</v>
      </c>
      <c r="D826" s="3192" t="s">
        <v>5747</v>
      </c>
      <c r="E826" s="3191" t="s">
        <v>4584</v>
      </c>
      <c r="F826" s="3193" t="s">
        <v>5487</v>
      </c>
      <c r="G826" s="3197">
        <v>1154</v>
      </c>
      <c r="H826" s="3191" t="s">
        <v>4841</v>
      </c>
      <c r="I826" s="3191" t="s">
        <v>6007</v>
      </c>
      <c r="J826" s="3194">
        <v>33.75</v>
      </c>
      <c r="K826" s="3203">
        <v>11.4</v>
      </c>
      <c r="L826" s="3196"/>
    </row>
    <row r="827" spans="1:12">
      <c r="A827" s="3190">
        <v>826</v>
      </c>
      <c r="B827" s="3191" t="s">
        <v>5749</v>
      </c>
      <c r="C827" s="3191" t="s">
        <v>4007</v>
      </c>
      <c r="D827" s="3192" t="s">
        <v>5747</v>
      </c>
      <c r="E827" s="3191" t="s">
        <v>5750</v>
      </c>
      <c r="F827" s="3193" t="s">
        <v>4322</v>
      </c>
      <c r="G827" s="3197">
        <v>1155</v>
      </c>
      <c r="H827" s="3191" t="s">
        <v>6008</v>
      </c>
      <c r="I827" s="3191" t="s">
        <v>4842</v>
      </c>
      <c r="J827" s="3194">
        <v>33.75</v>
      </c>
      <c r="K827" s="3203">
        <v>11.4</v>
      </c>
      <c r="L827" s="3196"/>
    </row>
    <row r="828" spans="1:12">
      <c r="A828" s="3190">
        <v>827</v>
      </c>
      <c r="B828" s="3191" t="s">
        <v>4583</v>
      </c>
      <c r="C828" s="3191" t="s">
        <v>5169</v>
      </c>
      <c r="D828" s="3192" t="s">
        <v>5747</v>
      </c>
      <c r="E828" s="3191" t="s">
        <v>4584</v>
      </c>
      <c r="F828" s="3193" t="s">
        <v>5487</v>
      </c>
      <c r="G828" s="3197">
        <v>1156</v>
      </c>
      <c r="H828" s="3191" t="s">
        <v>4843</v>
      </c>
      <c r="I828" s="3191" t="s">
        <v>6009</v>
      </c>
      <c r="J828" s="3194">
        <v>33.75</v>
      </c>
      <c r="K828" s="3203">
        <v>11.4</v>
      </c>
      <c r="L828" s="3196"/>
    </row>
    <row r="829" spans="1:12">
      <c r="A829" s="3190">
        <v>828</v>
      </c>
      <c r="B829" s="3191" t="s">
        <v>5749</v>
      </c>
      <c r="C829" s="3191" t="s">
        <v>4007</v>
      </c>
      <c r="D829" s="3192" t="s">
        <v>5747</v>
      </c>
      <c r="E829" s="3191" t="s">
        <v>6010</v>
      </c>
      <c r="F829" s="3193" t="s">
        <v>4009</v>
      </c>
      <c r="G829" s="3197">
        <v>2002</v>
      </c>
      <c r="H829" s="3191" t="s">
        <v>6011</v>
      </c>
      <c r="I829" s="3191" t="s">
        <v>4845</v>
      </c>
      <c r="J829" s="3194">
        <v>35.07</v>
      </c>
      <c r="K829" s="3194">
        <v>11.64</v>
      </c>
      <c r="L829" s="3196"/>
    </row>
    <row r="830" spans="1:12">
      <c r="A830" s="3190">
        <v>829</v>
      </c>
      <c r="B830" s="3191" t="s">
        <v>4583</v>
      </c>
      <c r="C830" s="3191" t="s">
        <v>5169</v>
      </c>
      <c r="D830" s="3192" t="s">
        <v>5747</v>
      </c>
      <c r="E830" s="3191" t="s">
        <v>4844</v>
      </c>
      <c r="F830" s="3193" t="s">
        <v>5171</v>
      </c>
      <c r="G830" s="3197">
        <v>2003</v>
      </c>
      <c r="H830" s="3191" t="s">
        <v>4846</v>
      </c>
      <c r="I830" s="3191" t="s">
        <v>6012</v>
      </c>
      <c r="J830" s="3194">
        <v>35.07</v>
      </c>
      <c r="K830" s="3194">
        <v>11.64</v>
      </c>
      <c r="L830" s="3196"/>
    </row>
    <row r="831" spans="1:12">
      <c r="A831" s="3190">
        <v>830</v>
      </c>
      <c r="B831" s="3191" t="s">
        <v>5749</v>
      </c>
      <c r="C831" s="3191" t="s">
        <v>4007</v>
      </c>
      <c r="D831" s="3192" t="s">
        <v>5747</v>
      </c>
      <c r="E831" s="3191" t="s">
        <v>6010</v>
      </c>
      <c r="F831" s="3193" t="s">
        <v>4009</v>
      </c>
      <c r="G831" s="3197">
        <v>2004</v>
      </c>
      <c r="H831" s="3191" t="s">
        <v>6013</v>
      </c>
      <c r="I831" s="3191" t="s">
        <v>4847</v>
      </c>
      <c r="J831" s="3194">
        <v>35.07</v>
      </c>
      <c r="K831" s="3194">
        <v>11.64</v>
      </c>
      <c r="L831" s="3196"/>
    </row>
    <row r="832" spans="1:12">
      <c r="A832" s="3190">
        <v>831</v>
      </c>
      <c r="B832" s="3191" t="s">
        <v>4583</v>
      </c>
      <c r="C832" s="3191" t="s">
        <v>5169</v>
      </c>
      <c r="D832" s="3192" t="s">
        <v>5747</v>
      </c>
      <c r="E832" s="3191" t="s">
        <v>4844</v>
      </c>
      <c r="F832" s="3193" t="s">
        <v>5171</v>
      </c>
      <c r="G832" s="3197">
        <v>2005</v>
      </c>
      <c r="H832" s="3191" t="s">
        <v>4848</v>
      </c>
      <c r="I832" s="3191" t="s">
        <v>6014</v>
      </c>
      <c r="J832" s="3194">
        <v>35.07</v>
      </c>
      <c r="K832" s="3194">
        <v>11.64</v>
      </c>
      <c r="L832" s="3196"/>
    </row>
    <row r="833" spans="1:12">
      <c r="A833" s="3190">
        <v>832</v>
      </c>
      <c r="B833" s="3191" t="s">
        <v>5749</v>
      </c>
      <c r="C833" s="3191" t="s">
        <v>4007</v>
      </c>
      <c r="D833" s="3192" t="s">
        <v>5747</v>
      </c>
      <c r="E833" s="3191" t="s">
        <v>6010</v>
      </c>
      <c r="F833" s="3193" t="s">
        <v>4009</v>
      </c>
      <c r="G833" s="3197">
        <v>2006</v>
      </c>
      <c r="H833" s="3191" t="s">
        <v>6015</v>
      </c>
      <c r="I833" s="3191" t="s">
        <v>4849</v>
      </c>
      <c r="J833" s="3194">
        <v>35.07</v>
      </c>
      <c r="K833" s="3194">
        <v>11.64</v>
      </c>
      <c r="L833" s="3196"/>
    </row>
    <row r="834" spans="1:12">
      <c r="A834" s="3190">
        <v>833</v>
      </c>
      <c r="B834" s="3191" t="s">
        <v>4583</v>
      </c>
      <c r="C834" s="3191" t="s">
        <v>5169</v>
      </c>
      <c r="D834" s="3192" t="s">
        <v>5747</v>
      </c>
      <c r="E834" s="3191" t="s">
        <v>4844</v>
      </c>
      <c r="F834" s="3193" t="s">
        <v>5171</v>
      </c>
      <c r="G834" s="3197">
        <v>2007</v>
      </c>
      <c r="H834" s="3191" t="s">
        <v>4850</v>
      </c>
      <c r="I834" s="3191" t="s">
        <v>6016</v>
      </c>
      <c r="J834" s="3194">
        <v>35.07</v>
      </c>
      <c r="K834" s="3194">
        <v>11.64</v>
      </c>
      <c r="L834" s="3196"/>
    </row>
    <row r="835" spans="1:12">
      <c r="A835" s="3190">
        <v>834</v>
      </c>
      <c r="B835" s="3191" t="s">
        <v>5749</v>
      </c>
      <c r="C835" s="3191" t="s">
        <v>4007</v>
      </c>
      <c r="D835" s="3192" t="s">
        <v>5747</v>
      </c>
      <c r="E835" s="3191" t="s">
        <v>6010</v>
      </c>
      <c r="F835" s="3193" t="s">
        <v>4009</v>
      </c>
      <c r="G835" s="3197">
        <v>2008</v>
      </c>
      <c r="H835" s="3191" t="s">
        <v>6017</v>
      </c>
      <c r="I835" s="3191" t="s">
        <v>4851</v>
      </c>
      <c r="J835" s="3194">
        <v>35.07</v>
      </c>
      <c r="K835" s="3194">
        <v>11.64</v>
      </c>
      <c r="L835" s="3196"/>
    </row>
    <row r="836" spans="1:12">
      <c r="A836" s="3190">
        <v>835</v>
      </c>
      <c r="B836" s="3191" t="s">
        <v>4583</v>
      </c>
      <c r="C836" s="3191" t="s">
        <v>5169</v>
      </c>
      <c r="D836" s="3192" t="s">
        <v>5747</v>
      </c>
      <c r="E836" s="3191" t="s">
        <v>4844</v>
      </c>
      <c r="F836" s="3193" t="s">
        <v>5171</v>
      </c>
      <c r="G836" s="3197">
        <v>2009</v>
      </c>
      <c r="H836" s="3191" t="s">
        <v>4852</v>
      </c>
      <c r="I836" s="3191" t="s">
        <v>6018</v>
      </c>
      <c r="J836" s="3194">
        <v>35.07</v>
      </c>
      <c r="K836" s="3194">
        <v>11.64</v>
      </c>
      <c r="L836" s="3196"/>
    </row>
    <row r="837" spans="1:12">
      <c r="A837" s="3190">
        <v>836</v>
      </c>
      <c r="B837" s="3191" t="s">
        <v>5749</v>
      </c>
      <c r="C837" s="3191" t="s">
        <v>4007</v>
      </c>
      <c r="D837" s="3192" t="s">
        <v>5747</v>
      </c>
      <c r="E837" s="3191" t="s">
        <v>6010</v>
      </c>
      <c r="F837" s="3193" t="s">
        <v>4009</v>
      </c>
      <c r="G837" s="3197">
        <v>2010</v>
      </c>
      <c r="H837" s="3191" t="s">
        <v>6019</v>
      </c>
      <c r="I837" s="3191" t="s">
        <v>4853</v>
      </c>
      <c r="J837" s="3194">
        <v>35.07</v>
      </c>
      <c r="K837" s="3194">
        <v>11.64</v>
      </c>
      <c r="L837" s="3196"/>
    </row>
    <row r="838" spans="1:12">
      <c r="A838" s="3190">
        <v>837</v>
      </c>
      <c r="B838" s="3191" t="s">
        <v>4583</v>
      </c>
      <c r="C838" s="3191" t="s">
        <v>5169</v>
      </c>
      <c r="D838" s="3192" t="s">
        <v>5747</v>
      </c>
      <c r="E838" s="3191" t="s">
        <v>4844</v>
      </c>
      <c r="F838" s="3193" t="s">
        <v>5171</v>
      </c>
      <c r="G838" s="3197">
        <v>2011</v>
      </c>
      <c r="H838" s="3191" t="s">
        <v>4854</v>
      </c>
      <c r="I838" s="3191" t="s">
        <v>6020</v>
      </c>
      <c r="J838" s="3203">
        <v>35.799999999999997</v>
      </c>
      <c r="K838" s="3194">
        <v>11.88</v>
      </c>
      <c r="L838" s="3196"/>
    </row>
    <row r="839" spans="1:12">
      <c r="A839" s="3190">
        <v>838</v>
      </c>
      <c r="B839" s="3191" t="s">
        <v>5749</v>
      </c>
      <c r="C839" s="3191" t="s">
        <v>4007</v>
      </c>
      <c r="D839" s="3192" t="s">
        <v>5747</v>
      </c>
      <c r="E839" s="3191" t="s">
        <v>6010</v>
      </c>
      <c r="F839" s="3207" t="s">
        <v>4591</v>
      </c>
      <c r="G839" s="3197">
        <v>2012</v>
      </c>
      <c r="H839" s="3191" t="s">
        <v>6021</v>
      </c>
      <c r="I839" s="3191" t="s">
        <v>4855</v>
      </c>
      <c r="J839" s="3203">
        <v>35.799999999999997</v>
      </c>
      <c r="K839" s="3194">
        <v>11.88</v>
      </c>
      <c r="L839" s="3196"/>
    </row>
    <row r="840" spans="1:12">
      <c r="A840" s="3190">
        <v>839</v>
      </c>
      <c r="B840" s="3191" t="s">
        <v>4583</v>
      </c>
      <c r="C840" s="3191" t="s">
        <v>5169</v>
      </c>
      <c r="D840" s="3192" t="s">
        <v>5747</v>
      </c>
      <c r="E840" s="3191" t="s">
        <v>4844</v>
      </c>
      <c r="F840" s="3193" t="s">
        <v>5171</v>
      </c>
      <c r="G840" s="3197">
        <v>2013</v>
      </c>
      <c r="H840" s="3191" t="s">
        <v>4856</v>
      </c>
      <c r="I840" s="3191" t="s">
        <v>6022</v>
      </c>
      <c r="J840" s="3203">
        <v>35.799999999999997</v>
      </c>
      <c r="K840" s="3194">
        <v>11.88</v>
      </c>
      <c r="L840" s="3196"/>
    </row>
    <row r="841" spans="1:12">
      <c r="A841" s="3190">
        <v>840</v>
      </c>
      <c r="B841" s="3191" t="s">
        <v>5749</v>
      </c>
      <c r="C841" s="3191" t="s">
        <v>4007</v>
      </c>
      <c r="D841" s="3192" t="s">
        <v>5747</v>
      </c>
      <c r="E841" s="3191" t="s">
        <v>6010</v>
      </c>
      <c r="F841" s="3193" t="s">
        <v>4009</v>
      </c>
      <c r="G841" s="3197">
        <v>2014</v>
      </c>
      <c r="H841" s="3191" t="s">
        <v>6023</v>
      </c>
      <c r="I841" s="3191" t="s">
        <v>4857</v>
      </c>
      <c r="J841" s="3194">
        <v>33.630000000000003</v>
      </c>
      <c r="K841" s="3194">
        <v>11.16</v>
      </c>
      <c r="L841" s="3196"/>
    </row>
    <row r="842" spans="1:12">
      <c r="A842" s="3190">
        <v>841</v>
      </c>
      <c r="B842" s="3191" t="s">
        <v>4583</v>
      </c>
      <c r="C842" s="3191" t="s">
        <v>5169</v>
      </c>
      <c r="D842" s="3192" t="s">
        <v>5747</v>
      </c>
      <c r="E842" s="3191" t="s">
        <v>4844</v>
      </c>
      <c r="F842" s="3193" t="s">
        <v>5171</v>
      </c>
      <c r="G842" s="3197">
        <v>2015</v>
      </c>
      <c r="H842" s="3191" t="s">
        <v>4858</v>
      </c>
      <c r="I842" s="3191" t="s">
        <v>6024</v>
      </c>
      <c r="J842" s="3194">
        <v>33.630000000000003</v>
      </c>
      <c r="K842" s="3194">
        <v>11.16</v>
      </c>
      <c r="L842" s="3196"/>
    </row>
    <row r="843" spans="1:12">
      <c r="A843" s="3190">
        <v>842</v>
      </c>
      <c r="B843" s="3191" t="s">
        <v>5749</v>
      </c>
      <c r="C843" s="3191" t="s">
        <v>4007</v>
      </c>
      <c r="D843" s="3192" t="s">
        <v>5747</v>
      </c>
      <c r="E843" s="3191" t="s">
        <v>6010</v>
      </c>
      <c r="F843" s="3193" t="s">
        <v>4009</v>
      </c>
      <c r="G843" s="3197">
        <v>2016</v>
      </c>
      <c r="H843" s="3191" t="s">
        <v>6025</v>
      </c>
      <c r="I843" s="3191" t="s">
        <v>4859</v>
      </c>
      <c r="J843" s="3194">
        <v>33.630000000000003</v>
      </c>
      <c r="K843" s="3194">
        <v>11.16</v>
      </c>
      <c r="L843" s="3196"/>
    </row>
    <row r="844" spans="1:12">
      <c r="A844" s="3190">
        <v>843</v>
      </c>
      <c r="B844" s="3191" t="s">
        <v>4583</v>
      </c>
      <c r="C844" s="3191" t="s">
        <v>5169</v>
      </c>
      <c r="D844" s="3192" t="s">
        <v>5747</v>
      </c>
      <c r="E844" s="3191" t="s">
        <v>4844</v>
      </c>
      <c r="F844" s="3193" t="s">
        <v>5171</v>
      </c>
      <c r="G844" s="3197">
        <v>2017</v>
      </c>
      <c r="H844" s="3191" t="s">
        <v>4860</v>
      </c>
      <c r="I844" s="3191" t="s">
        <v>6026</v>
      </c>
      <c r="J844" s="3194">
        <v>35.07</v>
      </c>
      <c r="K844" s="3194">
        <v>11.64</v>
      </c>
      <c r="L844" s="3196"/>
    </row>
    <row r="845" spans="1:12">
      <c r="A845" s="3190">
        <v>844</v>
      </c>
      <c r="B845" s="3191" t="s">
        <v>5749</v>
      </c>
      <c r="C845" s="3191" t="s">
        <v>4007</v>
      </c>
      <c r="D845" s="3192" t="s">
        <v>5747</v>
      </c>
      <c r="E845" s="3191" t="s">
        <v>6010</v>
      </c>
      <c r="F845" s="3193" t="s">
        <v>4009</v>
      </c>
      <c r="G845" s="3197">
        <v>2018</v>
      </c>
      <c r="H845" s="3191" t="s">
        <v>6027</v>
      </c>
      <c r="I845" s="3191" t="s">
        <v>4861</v>
      </c>
      <c r="J845" s="3194">
        <v>35.07</v>
      </c>
      <c r="K845" s="3194">
        <v>11.64</v>
      </c>
      <c r="L845" s="3196"/>
    </row>
    <row r="846" spans="1:12">
      <c r="A846" s="3190">
        <v>845</v>
      </c>
      <c r="B846" s="3191" t="s">
        <v>4583</v>
      </c>
      <c r="C846" s="3191" t="s">
        <v>5169</v>
      </c>
      <c r="D846" s="3192" t="s">
        <v>5747</v>
      </c>
      <c r="E846" s="3191" t="s">
        <v>4844</v>
      </c>
      <c r="F846" s="3193" t="s">
        <v>5171</v>
      </c>
      <c r="G846" s="3197">
        <v>2019</v>
      </c>
      <c r="H846" s="3191" t="s">
        <v>4862</v>
      </c>
      <c r="I846" s="3191" t="s">
        <v>6028</v>
      </c>
      <c r="J846" s="3194">
        <v>35.07</v>
      </c>
      <c r="K846" s="3194">
        <v>11.64</v>
      </c>
      <c r="L846" s="3196"/>
    </row>
    <row r="847" spans="1:12">
      <c r="A847" s="3190">
        <v>846</v>
      </c>
      <c r="B847" s="3191" t="s">
        <v>5749</v>
      </c>
      <c r="C847" s="3191" t="s">
        <v>4007</v>
      </c>
      <c r="D847" s="3192" t="s">
        <v>5786</v>
      </c>
      <c r="E847" s="3191" t="s">
        <v>6010</v>
      </c>
      <c r="F847" s="3193" t="s">
        <v>4009</v>
      </c>
      <c r="G847" s="3197">
        <v>2020</v>
      </c>
      <c r="H847" s="3191" t="s">
        <v>6029</v>
      </c>
      <c r="I847" s="3191" t="s">
        <v>4863</v>
      </c>
      <c r="J847" s="3203">
        <v>35.799999999999997</v>
      </c>
      <c r="K847" s="3194">
        <v>11.88</v>
      </c>
      <c r="L847" s="3196"/>
    </row>
    <row r="848" spans="1:12">
      <c r="A848" s="3190">
        <v>847</v>
      </c>
      <c r="B848" s="3191" t="s">
        <v>4583</v>
      </c>
      <c r="C848" s="3191" t="s">
        <v>5169</v>
      </c>
      <c r="D848" s="3192" t="s">
        <v>5786</v>
      </c>
      <c r="E848" s="3191" t="s">
        <v>4844</v>
      </c>
      <c r="F848" s="3193" t="s">
        <v>5171</v>
      </c>
      <c r="G848" s="3197">
        <v>2021</v>
      </c>
      <c r="H848" s="3191" t="s">
        <v>4864</v>
      </c>
      <c r="I848" s="3191" t="s">
        <v>6030</v>
      </c>
      <c r="J848" s="3203">
        <v>35.799999999999997</v>
      </c>
      <c r="K848" s="3194">
        <v>11.88</v>
      </c>
      <c r="L848" s="3196"/>
    </row>
    <row r="849" spans="1:12">
      <c r="A849" s="3190">
        <v>848</v>
      </c>
      <c r="B849" s="3191" t="s">
        <v>5749</v>
      </c>
      <c r="C849" s="3191" t="s">
        <v>4007</v>
      </c>
      <c r="D849" s="3192" t="s">
        <v>5786</v>
      </c>
      <c r="E849" s="3191" t="s">
        <v>6010</v>
      </c>
      <c r="F849" s="3207" t="s">
        <v>4591</v>
      </c>
      <c r="G849" s="3197">
        <v>2022</v>
      </c>
      <c r="H849" s="3191" t="s">
        <v>6031</v>
      </c>
      <c r="I849" s="3191" t="s">
        <v>4865</v>
      </c>
      <c r="J849" s="3203">
        <v>35.799999999999997</v>
      </c>
      <c r="K849" s="3194">
        <v>11.88</v>
      </c>
      <c r="L849" s="3196"/>
    </row>
    <row r="850" spans="1:12">
      <c r="A850" s="3190">
        <v>849</v>
      </c>
      <c r="B850" s="3191" t="s">
        <v>4583</v>
      </c>
      <c r="C850" s="3191" t="s">
        <v>5169</v>
      </c>
      <c r="D850" s="3192" t="s">
        <v>5786</v>
      </c>
      <c r="E850" s="3191" t="s">
        <v>4844</v>
      </c>
      <c r="F850" s="3193" t="s">
        <v>5171</v>
      </c>
      <c r="G850" s="3197">
        <v>2023</v>
      </c>
      <c r="H850" s="3191" t="s">
        <v>4866</v>
      </c>
      <c r="I850" s="3191" t="s">
        <v>6032</v>
      </c>
      <c r="J850" s="3203">
        <v>35.799999999999997</v>
      </c>
      <c r="K850" s="3194">
        <v>11.88</v>
      </c>
      <c r="L850" s="3196"/>
    </row>
    <row r="851" spans="1:12">
      <c r="A851" s="3190">
        <v>850</v>
      </c>
      <c r="B851" s="3191" t="s">
        <v>5749</v>
      </c>
      <c r="C851" s="3191" t="s">
        <v>4007</v>
      </c>
      <c r="D851" s="3218" t="s">
        <v>5786</v>
      </c>
      <c r="E851" s="3191" t="s">
        <v>6010</v>
      </c>
      <c r="F851" s="3193" t="s">
        <v>4009</v>
      </c>
      <c r="G851" s="3197">
        <v>2024</v>
      </c>
      <c r="H851" s="3191" t="s">
        <v>6033</v>
      </c>
      <c r="I851" s="3191" t="s">
        <v>4867</v>
      </c>
      <c r="J851" s="3203">
        <v>35.799999999999997</v>
      </c>
      <c r="K851" s="3194">
        <v>11.88</v>
      </c>
      <c r="L851" s="3196"/>
    </row>
    <row r="852" spans="1:12">
      <c r="A852" s="3190">
        <v>851</v>
      </c>
      <c r="B852" s="3191" t="s">
        <v>4583</v>
      </c>
      <c r="C852" s="3191" t="s">
        <v>5169</v>
      </c>
      <c r="D852" s="3192" t="s">
        <v>5786</v>
      </c>
      <c r="E852" s="3191" t="s">
        <v>4844</v>
      </c>
      <c r="F852" s="3193" t="s">
        <v>5171</v>
      </c>
      <c r="G852" s="3197">
        <v>2025</v>
      </c>
      <c r="H852" s="3191" t="s">
        <v>4868</v>
      </c>
      <c r="I852" s="3191" t="s">
        <v>6034</v>
      </c>
      <c r="J852" s="3203">
        <v>35.799999999999997</v>
      </c>
      <c r="K852" s="3194">
        <v>11.88</v>
      </c>
      <c r="L852" s="3196"/>
    </row>
    <row r="853" spans="1:12">
      <c r="A853" s="3190">
        <v>852</v>
      </c>
      <c r="B853" s="3191" t="s">
        <v>5749</v>
      </c>
      <c r="C853" s="3191" t="s">
        <v>4007</v>
      </c>
      <c r="D853" s="3192" t="s">
        <v>5786</v>
      </c>
      <c r="E853" s="3191" t="s">
        <v>6010</v>
      </c>
      <c r="F853" s="3193" t="s">
        <v>4009</v>
      </c>
      <c r="G853" s="3197">
        <v>2026</v>
      </c>
      <c r="H853" s="3191" t="s">
        <v>6035</v>
      </c>
      <c r="I853" s="3191" t="s">
        <v>4869</v>
      </c>
      <c r="J853" s="3203">
        <v>35.799999999999997</v>
      </c>
      <c r="K853" s="3194">
        <v>11.88</v>
      </c>
      <c r="L853" s="3196"/>
    </row>
    <row r="854" spans="1:12">
      <c r="A854" s="3190">
        <v>853</v>
      </c>
      <c r="B854" s="3191" t="s">
        <v>4583</v>
      </c>
      <c r="C854" s="3191" t="s">
        <v>5169</v>
      </c>
      <c r="D854" s="3192" t="s">
        <v>5786</v>
      </c>
      <c r="E854" s="3191" t="s">
        <v>4844</v>
      </c>
      <c r="F854" s="3193" t="s">
        <v>5171</v>
      </c>
      <c r="G854" s="3197">
        <v>2027</v>
      </c>
      <c r="H854" s="3191" t="s">
        <v>4870</v>
      </c>
      <c r="I854" s="3191" t="s">
        <v>6036</v>
      </c>
      <c r="J854" s="3203">
        <v>35.799999999999997</v>
      </c>
      <c r="K854" s="3194">
        <v>11.88</v>
      </c>
      <c r="L854" s="3196"/>
    </row>
    <row r="855" spans="1:12">
      <c r="A855" s="3190">
        <v>854</v>
      </c>
      <c r="B855" s="3191" t="s">
        <v>5749</v>
      </c>
      <c r="C855" s="3191" t="s">
        <v>4007</v>
      </c>
      <c r="D855" s="3192" t="s">
        <v>5786</v>
      </c>
      <c r="E855" s="3191" t="s">
        <v>6010</v>
      </c>
      <c r="F855" s="3193" t="s">
        <v>4009</v>
      </c>
      <c r="G855" s="3197">
        <v>2028</v>
      </c>
      <c r="H855" s="3191" t="s">
        <v>6037</v>
      </c>
      <c r="I855" s="3191" t="s">
        <v>4871</v>
      </c>
      <c r="J855" s="3203">
        <v>35.799999999999997</v>
      </c>
      <c r="K855" s="3194">
        <v>11.88</v>
      </c>
      <c r="L855" s="3196"/>
    </row>
    <row r="856" spans="1:12">
      <c r="A856" s="3190">
        <v>855</v>
      </c>
      <c r="B856" s="3191" t="s">
        <v>4583</v>
      </c>
      <c r="C856" s="3191" t="s">
        <v>5169</v>
      </c>
      <c r="D856" s="3192" t="s">
        <v>5786</v>
      </c>
      <c r="E856" s="3191" t="s">
        <v>4844</v>
      </c>
      <c r="F856" s="3193" t="s">
        <v>5171</v>
      </c>
      <c r="G856" s="3197">
        <v>2029</v>
      </c>
      <c r="H856" s="3191" t="s">
        <v>4872</v>
      </c>
      <c r="I856" s="3191" t="s">
        <v>6038</v>
      </c>
      <c r="J856" s="3203">
        <v>35.799999999999997</v>
      </c>
      <c r="K856" s="3194">
        <v>11.88</v>
      </c>
      <c r="L856" s="3196"/>
    </row>
    <row r="857" spans="1:12">
      <c r="A857" s="3190">
        <v>856</v>
      </c>
      <c r="B857" s="3191" t="s">
        <v>5749</v>
      </c>
      <c r="C857" s="3191" t="s">
        <v>4007</v>
      </c>
      <c r="D857" s="3192" t="s">
        <v>5786</v>
      </c>
      <c r="E857" s="3191" t="s">
        <v>6010</v>
      </c>
      <c r="F857" s="3193" t="s">
        <v>4009</v>
      </c>
      <c r="G857" s="3197">
        <v>2030</v>
      </c>
      <c r="H857" s="3191" t="s">
        <v>6039</v>
      </c>
      <c r="I857" s="3191" t="s">
        <v>4873</v>
      </c>
      <c r="J857" s="3203">
        <v>35.799999999999997</v>
      </c>
      <c r="K857" s="3194">
        <v>11.88</v>
      </c>
      <c r="L857" s="3196"/>
    </row>
    <row r="858" spans="1:12">
      <c r="A858" s="3190">
        <v>857</v>
      </c>
      <c r="B858" s="3191" t="s">
        <v>4583</v>
      </c>
      <c r="C858" s="3191" t="s">
        <v>5169</v>
      </c>
      <c r="D858" s="3192" t="s">
        <v>5786</v>
      </c>
      <c r="E858" s="3191" t="s">
        <v>4844</v>
      </c>
      <c r="F858" s="3193" t="s">
        <v>5171</v>
      </c>
      <c r="G858" s="3197">
        <v>2031</v>
      </c>
      <c r="H858" s="3191" t="s">
        <v>4874</v>
      </c>
      <c r="I858" s="3191" t="s">
        <v>6040</v>
      </c>
      <c r="J858" s="3203">
        <v>35.799999999999997</v>
      </c>
      <c r="K858" s="3194">
        <v>11.88</v>
      </c>
      <c r="L858" s="3196"/>
    </row>
    <row r="859" spans="1:12">
      <c r="A859" s="3190">
        <v>858</v>
      </c>
      <c r="B859" s="3191" t="s">
        <v>5749</v>
      </c>
      <c r="C859" s="3191" t="s">
        <v>4007</v>
      </c>
      <c r="D859" s="3192" t="s">
        <v>5747</v>
      </c>
      <c r="E859" s="3191" t="s">
        <v>6010</v>
      </c>
      <c r="F859" s="3193" t="s">
        <v>4009</v>
      </c>
      <c r="G859" s="3197">
        <v>2032</v>
      </c>
      <c r="H859" s="3191" t="s">
        <v>6041</v>
      </c>
      <c r="I859" s="3191" t="s">
        <v>4875</v>
      </c>
      <c r="J859" s="3203">
        <v>35.799999999999997</v>
      </c>
      <c r="K859" s="3194">
        <v>11.88</v>
      </c>
      <c r="L859" s="3196"/>
    </row>
    <row r="860" spans="1:12">
      <c r="A860" s="3190">
        <v>859</v>
      </c>
      <c r="B860" s="3191" t="s">
        <v>4583</v>
      </c>
      <c r="C860" s="3191" t="s">
        <v>5169</v>
      </c>
      <c r="D860" s="3192" t="s">
        <v>5747</v>
      </c>
      <c r="E860" s="3191" t="s">
        <v>4844</v>
      </c>
      <c r="F860" s="3193" t="s">
        <v>5171</v>
      </c>
      <c r="G860" s="3197">
        <v>2033</v>
      </c>
      <c r="H860" s="3191" t="s">
        <v>4876</v>
      </c>
      <c r="I860" s="3191" t="s">
        <v>6042</v>
      </c>
      <c r="J860" s="3203">
        <v>35.799999999999997</v>
      </c>
      <c r="K860" s="3194">
        <v>11.88</v>
      </c>
      <c r="L860" s="3196"/>
    </row>
    <row r="861" spans="1:12">
      <c r="A861" s="3190">
        <v>860</v>
      </c>
      <c r="B861" s="3191" t="s">
        <v>5749</v>
      </c>
      <c r="C861" s="3191" t="s">
        <v>4007</v>
      </c>
      <c r="D861" s="3192" t="s">
        <v>5747</v>
      </c>
      <c r="E861" s="3191" t="s">
        <v>6010</v>
      </c>
      <c r="F861" s="3207" t="s">
        <v>4591</v>
      </c>
      <c r="G861" s="3197">
        <v>2034</v>
      </c>
      <c r="H861" s="3191" t="s">
        <v>6043</v>
      </c>
      <c r="I861" s="3191" t="s">
        <v>4877</v>
      </c>
      <c r="J861" s="3194">
        <v>35.07</v>
      </c>
      <c r="K861" s="3194">
        <v>11.64</v>
      </c>
      <c r="L861" s="3196"/>
    </row>
    <row r="862" spans="1:12">
      <c r="A862" s="3190">
        <v>861</v>
      </c>
      <c r="B862" s="3191" t="s">
        <v>4583</v>
      </c>
      <c r="C862" s="3191" t="s">
        <v>5169</v>
      </c>
      <c r="D862" s="3192" t="s">
        <v>5747</v>
      </c>
      <c r="E862" s="3191" t="s">
        <v>4844</v>
      </c>
      <c r="F862" s="3207" t="s">
        <v>5756</v>
      </c>
      <c r="G862" s="3197">
        <v>2035</v>
      </c>
      <c r="H862" s="3191" t="s">
        <v>4878</v>
      </c>
      <c r="I862" s="3191" t="s">
        <v>6044</v>
      </c>
      <c r="J862" s="3194">
        <v>35.07</v>
      </c>
      <c r="K862" s="3194">
        <v>11.64</v>
      </c>
      <c r="L862" s="3196"/>
    </row>
    <row r="863" spans="1:12">
      <c r="A863" s="3190">
        <v>862</v>
      </c>
      <c r="B863" s="3191" t="s">
        <v>5749</v>
      </c>
      <c r="C863" s="3191" t="s">
        <v>4007</v>
      </c>
      <c r="D863" s="3192" t="s">
        <v>5747</v>
      </c>
      <c r="E863" s="3191" t="s">
        <v>6010</v>
      </c>
      <c r="F863" s="3193" t="s">
        <v>4009</v>
      </c>
      <c r="G863" s="3197">
        <v>2036</v>
      </c>
      <c r="H863" s="3191" t="s">
        <v>6045</v>
      </c>
      <c r="I863" s="3191" t="s">
        <v>4879</v>
      </c>
      <c r="J863" s="3194">
        <v>35.07</v>
      </c>
      <c r="K863" s="3194">
        <v>11.64</v>
      </c>
      <c r="L863" s="3196"/>
    </row>
    <row r="864" spans="1:12">
      <c r="A864" s="3190">
        <v>863</v>
      </c>
      <c r="B864" s="3191" t="s">
        <v>4583</v>
      </c>
      <c r="C864" s="3191" t="s">
        <v>5169</v>
      </c>
      <c r="D864" s="3192" t="s">
        <v>5747</v>
      </c>
      <c r="E864" s="3191" t="s">
        <v>4844</v>
      </c>
      <c r="F864" s="3193" t="s">
        <v>5171</v>
      </c>
      <c r="G864" s="3197">
        <v>2037</v>
      </c>
      <c r="H864" s="3191" t="s">
        <v>4880</v>
      </c>
      <c r="I864" s="3191" t="s">
        <v>6046</v>
      </c>
      <c r="J864" s="3194">
        <v>35.07</v>
      </c>
      <c r="K864" s="3194">
        <v>11.64</v>
      </c>
      <c r="L864" s="3196"/>
    </row>
    <row r="865" spans="1:12">
      <c r="A865" s="3190">
        <v>864</v>
      </c>
      <c r="B865" s="3191" t="s">
        <v>5749</v>
      </c>
      <c r="C865" s="3191" t="s">
        <v>4007</v>
      </c>
      <c r="D865" s="3192" t="s">
        <v>5747</v>
      </c>
      <c r="E865" s="3191" t="s">
        <v>6010</v>
      </c>
      <c r="F865" s="3193" t="s">
        <v>4009</v>
      </c>
      <c r="G865" s="3197">
        <v>2038</v>
      </c>
      <c r="H865" s="3191" t="s">
        <v>6047</v>
      </c>
      <c r="I865" s="3191" t="s">
        <v>4881</v>
      </c>
      <c r="J865" s="3194">
        <v>35.07</v>
      </c>
      <c r="K865" s="3194">
        <v>11.64</v>
      </c>
      <c r="L865" s="3196"/>
    </row>
    <row r="866" spans="1:12">
      <c r="A866" s="3190">
        <v>865</v>
      </c>
      <c r="B866" s="3191" t="s">
        <v>4583</v>
      </c>
      <c r="C866" s="3191" t="s">
        <v>5169</v>
      </c>
      <c r="D866" s="3192" t="s">
        <v>5747</v>
      </c>
      <c r="E866" s="3191" t="s">
        <v>4844</v>
      </c>
      <c r="F866" s="3193" t="s">
        <v>5171</v>
      </c>
      <c r="G866" s="3197">
        <v>2039</v>
      </c>
      <c r="H866" s="3191" t="s">
        <v>4882</v>
      </c>
      <c r="I866" s="3191" t="s">
        <v>6048</v>
      </c>
      <c r="J866" s="3194">
        <v>35.07</v>
      </c>
      <c r="K866" s="3194">
        <v>11.64</v>
      </c>
      <c r="L866" s="3196"/>
    </row>
    <row r="867" spans="1:12">
      <c r="A867" s="3190">
        <v>866</v>
      </c>
      <c r="B867" s="3191" t="s">
        <v>5749</v>
      </c>
      <c r="C867" s="3191" t="s">
        <v>4007</v>
      </c>
      <c r="D867" s="3192" t="s">
        <v>5747</v>
      </c>
      <c r="E867" s="3191" t="s">
        <v>6010</v>
      </c>
      <c r="F867" s="3193" t="s">
        <v>4009</v>
      </c>
      <c r="G867" s="3197">
        <v>2040</v>
      </c>
      <c r="H867" s="3191" t="s">
        <v>6049</v>
      </c>
      <c r="I867" s="3191" t="s">
        <v>4883</v>
      </c>
      <c r="J867" s="3194">
        <v>35.07</v>
      </c>
      <c r="K867" s="3194">
        <v>11.64</v>
      </c>
      <c r="L867" s="3196"/>
    </row>
    <row r="868" spans="1:12">
      <c r="A868" s="3190">
        <v>867</v>
      </c>
      <c r="B868" s="3191" t="s">
        <v>4583</v>
      </c>
      <c r="C868" s="3191" t="s">
        <v>5169</v>
      </c>
      <c r="D868" s="3192" t="s">
        <v>5747</v>
      </c>
      <c r="E868" s="3191" t="s">
        <v>4844</v>
      </c>
      <c r="F868" s="3193" t="s">
        <v>5171</v>
      </c>
      <c r="G868" s="3197">
        <v>2041</v>
      </c>
      <c r="H868" s="3191" t="s">
        <v>4884</v>
      </c>
      <c r="I868" s="3191" t="s">
        <v>6050</v>
      </c>
      <c r="J868" s="3194">
        <v>35.07</v>
      </c>
      <c r="K868" s="3194">
        <v>11.64</v>
      </c>
      <c r="L868" s="3196"/>
    </row>
    <row r="869" spans="1:12">
      <c r="A869" s="3190">
        <v>868</v>
      </c>
      <c r="B869" s="3191" t="s">
        <v>5749</v>
      </c>
      <c r="C869" s="3191" t="s">
        <v>4007</v>
      </c>
      <c r="D869" s="3192" t="s">
        <v>5786</v>
      </c>
      <c r="E869" s="3191" t="s">
        <v>6010</v>
      </c>
      <c r="F869" s="3193" t="s">
        <v>4009</v>
      </c>
      <c r="G869" s="3197">
        <v>2042</v>
      </c>
      <c r="H869" s="3191" t="s">
        <v>6051</v>
      </c>
      <c r="I869" s="3191" t="s">
        <v>4885</v>
      </c>
      <c r="J869" s="3203">
        <v>35.799999999999997</v>
      </c>
      <c r="K869" s="3194">
        <v>11.88</v>
      </c>
      <c r="L869" s="3196"/>
    </row>
    <row r="870" spans="1:12">
      <c r="A870" s="3190">
        <v>869</v>
      </c>
      <c r="B870" s="3191" t="s">
        <v>4583</v>
      </c>
      <c r="C870" s="3191" t="s">
        <v>5169</v>
      </c>
      <c r="D870" s="3192" t="s">
        <v>5786</v>
      </c>
      <c r="E870" s="3191" t="s">
        <v>4844</v>
      </c>
      <c r="F870" s="3193" t="s">
        <v>5171</v>
      </c>
      <c r="G870" s="3197">
        <v>2043</v>
      </c>
      <c r="H870" s="3191" t="s">
        <v>4886</v>
      </c>
      <c r="I870" s="3191" t="s">
        <v>6052</v>
      </c>
      <c r="J870" s="3203">
        <v>35.799999999999997</v>
      </c>
      <c r="K870" s="3194">
        <v>11.88</v>
      </c>
      <c r="L870" s="3196"/>
    </row>
    <row r="871" spans="1:12">
      <c r="A871" s="3190">
        <v>870</v>
      </c>
      <c r="B871" s="3191" t="s">
        <v>5749</v>
      </c>
      <c r="C871" s="3191" t="s">
        <v>4007</v>
      </c>
      <c r="D871" s="3192" t="s">
        <v>5786</v>
      </c>
      <c r="E871" s="3191" t="s">
        <v>6010</v>
      </c>
      <c r="F871" s="3207" t="s">
        <v>4591</v>
      </c>
      <c r="G871" s="3197">
        <v>2044</v>
      </c>
      <c r="H871" s="3191" t="s">
        <v>6053</v>
      </c>
      <c r="I871" s="3191" t="s">
        <v>4887</v>
      </c>
      <c r="J871" s="3203">
        <v>35.799999999999997</v>
      </c>
      <c r="K871" s="3194">
        <v>11.88</v>
      </c>
      <c r="L871" s="3196"/>
    </row>
    <row r="872" spans="1:12">
      <c r="A872" s="3190">
        <v>871</v>
      </c>
      <c r="B872" s="3191" t="s">
        <v>4583</v>
      </c>
      <c r="C872" s="3191" t="s">
        <v>5169</v>
      </c>
      <c r="D872" s="3192" t="s">
        <v>5786</v>
      </c>
      <c r="E872" s="3191" t="s">
        <v>4844</v>
      </c>
      <c r="F872" s="3193" t="s">
        <v>5171</v>
      </c>
      <c r="G872" s="3197">
        <v>2045</v>
      </c>
      <c r="H872" s="3191" t="s">
        <v>4888</v>
      </c>
      <c r="I872" s="3191" t="s">
        <v>6054</v>
      </c>
      <c r="J872" s="3203">
        <v>35.799999999999997</v>
      </c>
      <c r="K872" s="3194">
        <v>11.88</v>
      </c>
      <c r="L872" s="3196"/>
    </row>
    <row r="873" spans="1:12">
      <c r="A873" s="3190">
        <v>872</v>
      </c>
      <c r="B873" s="3191" t="s">
        <v>5749</v>
      </c>
      <c r="C873" s="3191" t="s">
        <v>4007</v>
      </c>
      <c r="D873" s="3192" t="s">
        <v>5786</v>
      </c>
      <c r="E873" s="3191" t="s">
        <v>6010</v>
      </c>
      <c r="F873" s="3193" t="s">
        <v>4009</v>
      </c>
      <c r="G873" s="3197">
        <v>2046</v>
      </c>
      <c r="H873" s="3191" t="s">
        <v>6055</v>
      </c>
      <c r="I873" s="3191" t="s">
        <v>4889</v>
      </c>
      <c r="J873" s="3203">
        <v>35.799999999999997</v>
      </c>
      <c r="K873" s="3194">
        <v>11.88</v>
      </c>
      <c r="L873" s="3196"/>
    </row>
    <row r="874" spans="1:12">
      <c r="A874" s="3190">
        <v>873</v>
      </c>
      <c r="B874" s="3191" t="s">
        <v>4583</v>
      </c>
      <c r="C874" s="3191" t="s">
        <v>5169</v>
      </c>
      <c r="D874" s="3192" t="s">
        <v>5786</v>
      </c>
      <c r="E874" s="3191" t="s">
        <v>4844</v>
      </c>
      <c r="F874" s="3193" t="s">
        <v>5171</v>
      </c>
      <c r="G874" s="3197">
        <v>2047</v>
      </c>
      <c r="H874" s="3191" t="s">
        <v>4890</v>
      </c>
      <c r="I874" s="3191" t="s">
        <v>6056</v>
      </c>
      <c r="J874" s="3203">
        <v>35.799999999999997</v>
      </c>
      <c r="K874" s="3194">
        <v>11.88</v>
      </c>
      <c r="L874" s="3196"/>
    </row>
    <row r="875" spans="1:12">
      <c r="A875" s="3190">
        <v>874</v>
      </c>
      <c r="B875" s="3191" t="s">
        <v>5749</v>
      </c>
      <c r="C875" s="3191" t="s">
        <v>4007</v>
      </c>
      <c r="D875" s="3192" t="s">
        <v>5786</v>
      </c>
      <c r="E875" s="3191" t="s">
        <v>6010</v>
      </c>
      <c r="F875" s="3193" t="s">
        <v>4009</v>
      </c>
      <c r="G875" s="3197">
        <v>2048</v>
      </c>
      <c r="H875" s="3191" t="s">
        <v>6057</v>
      </c>
      <c r="I875" s="3191" t="s">
        <v>4891</v>
      </c>
      <c r="J875" s="3203">
        <v>35.799999999999997</v>
      </c>
      <c r="K875" s="3194">
        <v>11.88</v>
      </c>
      <c r="L875" s="3196"/>
    </row>
    <row r="876" spans="1:12">
      <c r="A876" s="3190">
        <v>875</v>
      </c>
      <c r="B876" s="3191" t="s">
        <v>4583</v>
      </c>
      <c r="C876" s="3191" t="s">
        <v>5169</v>
      </c>
      <c r="D876" s="3192" t="s">
        <v>5786</v>
      </c>
      <c r="E876" s="3191" t="s">
        <v>4844</v>
      </c>
      <c r="F876" s="3193" t="s">
        <v>5171</v>
      </c>
      <c r="G876" s="3197">
        <v>2049</v>
      </c>
      <c r="H876" s="3191" t="s">
        <v>4892</v>
      </c>
      <c r="I876" s="3191" t="s">
        <v>6058</v>
      </c>
      <c r="J876" s="3203">
        <v>35.799999999999997</v>
      </c>
      <c r="K876" s="3194">
        <v>11.88</v>
      </c>
      <c r="L876" s="3196"/>
    </row>
    <row r="877" spans="1:12">
      <c r="A877" s="3190">
        <v>876</v>
      </c>
      <c r="B877" s="3191" t="s">
        <v>5749</v>
      </c>
      <c r="C877" s="3191" t="s">
        <v>4007</v>
      </c>
      <c r="D877" s="3192" t="s">
        <v>5786</v>
      </c>
      <c r="E877" s="3191" t="s">
        <v>6010</v>
      </c>
      <c r="F877" s="3193" t="s">
        <v>4009</v>
      </c>
      <c r="G877" s="3197">
        <v>2050</v>
      </c>
      <c r="H877" s="3191" t="s">
        <v>6059</v>
      </c>
      <c r="I877" s="3191" t="s">
        <v>4893</v>
      </c>
      <c r="J877" s="3203">
        <v>35.799999999999997</v>
      </c>
      <c r="K877" s="3194">
        <v>11.88</v>
      </c>
      <c r="L877" s="3196"/>
    </row>
    <row r="878" spans="1:12">
      <c r="A878" s="3190">
        <v>877</v>
      </c>
      <c r="B878" s="3191" t="s">
        <v>4583</v>
      </c>
      <c r="C878" s="3191" t="s">
        <v>5169</v>
      </c>
      <c r="D878" s="3192" t="s">
        <v>5786</v>
      </c>
      <c r="E878" s="3191" t="s">
        <v>4844</v>
      </c>
      <c r="F878" s="3193" t="s">
        <v>5171</v>
      </c>
      <c r="G878" s="3197">
        <v>2051</v>
      </c>
      <c r="H878" s="3191" t="s">
        <v>4894</v>
      </c>
      <c r="I878" s="3191" t="s">
        <v>6060</v>
      </c>
      <c r="J878" s="3203">
        <v>35.799999999999997</v>
      </c>
      <c r="K878" s="3194">
        <v>11.88</v>
      </c>
      <c r="L878" s="3196"/>
    </row>
    <row r="879" spans="1:12">
      <c r="A879" s="3190">
        <v>878</v>
      </c>
      <c r="B879" s="3191" t="s">
        <v>5749</v>
      </c>
      <c r="C879" s="3191" t="s">
        <v>4007</v>
      </c>
      <c r="D879" s="3192" t="s">
        <v>5747</v>
      </c>
      <c r="E879" s="3191" t="s">
        <v>6010</v>
      </c>
      <c r="F879" s="3193" t="s">
        <v>4009</v>
      </c>
      <c r="G879" s="3197">
        <v>2054</v>
      </c>
      <c r="H879" s="3191" t="s">
        <v>6061</v>
      </c>
      <c r="I879" s="3191" t="s">
        <v>4895</v>
      </c>
      <c r="J879" s="3194">
        <v>35.07</v>
      </c>
      <c r="K879" s="3194">
        <v>11.64</v>
      </c>
      <c r="L879" s="3196"/>
    </row>
    <row r="880" spans="1:12">
      <c r="A880" s="3190">
        <v>879</v>
      </c>
      <c r="B880" s="3191" t="s">
        <v>4583</v>
      </c>
      <c r="C880" s="3191" t="s">
        <v>5169</v>
      </c>
      <c r="D880" s="3192" t="s">
        <v>5747</v>
      </c>
      <c r="E880" s="3191" t="s">
        <v>4844</v>
      </c>
      <c r="F880" s="3193" t="s">
        <v>5171</v>
      </c>
      <c r="G880" s="3197">
        <v>2055</v>
      </c>
      <c r="H880" s="3191" t="s">
        <v>4896</v>
      </c>
      <c r="I880" s="3191" t="s">
        <v>6062</v>
      </c>
      <c r="J880" s="3194">
        <v>35.07</v>
      </c>
      <c r="K880" s="3194">
        <v>11.64</v>
      </c>
      <c r="L880" s="3196"/>
    </row>
    <row r="881" spans="1:12">
      <c r="A881" s="3190">
        <v>880</v>
      </c>
      <c r="B881" s="3191" t="s">
        <v>5749</v>
      </c>
      <c r="C881" s="3191" t="s">
        <v>4007</v>
      </c>
      <c r="D881" s="3192" t="s">
        <v>5747</v>
      </c>
      <c r="E881" s="3191" t="s">
        <v>6010</v>
      </c>
      <c r="F881" s="3193" t="s">
        <v>4009</v>
      </c>
      <c r="G881" s="3197">
        <v>2056</v>
      </c>
      <c r="H881" s="3191" t="s">
        <v>6063</v>
      </c>
      <c r="I881" s="3191" t="s">
        <v>4897</v>
      </c>
      <c r="J881" s="3194">
        <v>35.07</v>
      </c>
      <c r="K881" s="3194">
        <v>11.64</v>
      </c>
      <c r="L881" s="3196"/>
    </row>
    <row r="882" spans="1:12">
      <c r="A882" s="3190">
        <v>881</v>
      </c>
      <c r="B882" s="3191" t="s">
        <v>4583</v>
      </c>
      <c r="C882" s="3191" t="s">
        <v>5169</v>
      </c>
      <c r="D882" s="3192" t="s">
        <v>5747</v>
      </c>
      <c r="E882" s="3191" t="s">
        <v>4844</v>
      </c>
      <c r="F882" s="3193" t="s">
        <v>5171</v>
      </c>
      <c r="G882" s="3197">
        <v>2057</v>
      </c>
      <c r="H882" s="3191" t="s">
        <v>4898</v>
      </c>
      <c r="I882" s="3191" t="s">
        <v>6064</v>
      </c>
      <c r="J882" s="3203">
        <v>35.799999999999997</v>
      </c>
      <c r="K882" s="3194">
        <v>11.88</v>
      </c>
      <c r="L882" s="3196"/>
    </row>
    <row r="883" spans="1:12">
      <c r="A883" s="3190">
        <v>882</v>
      </c>
      <c r="B883" s="3191" t="s">
        <v>5749</v>
      </c>
      <c r="C883" s="3191" t="s">
        <v>4007</v>
      </c>
      <c r="D883" s="3192" t="s">
        <v>5747</v>
      </c>
      <c r="E883" s="3191" t="s">
        <v>6010</v>
      </c>
      <c r="F883" s="3193" t="s">
        <v>4009</v>
      </c>
      <c r="G883" s="3197">
        <v>2058</v>
      </c>
      <c r="H883" s="3191" t="s">
        <v>6065</v>
      </c>
      <c r="I883" s="3191" t="s">
        <v>4899</v>
      </c>
      <c r="J883" s="3203">
        <v>35.799999999999997</v>
      </c>
      <c r="K883" s="3194">
        <v>11.88</v>
      </c>
      <c r="L883" s="3196"/>
    </row>
    <row r="884" spans="1:12">
      <c r="A884" s="3190">
        <v>883</v>
      </c>
      <c r="B884" s="3191" t="s">
        <v>4583</v>
      </c>
      <c r="C884" s="3191" t="s">
        <v>5169</v>
      </c>
      <c r="D884" s="3192" t="s">
        <v>5786</v>
      </c>
      <c r="E884" s="3191" t="s">
        <v>4844</v>
      </c>
      <c r="F884" s="3193" t="s">
        <v>5171</v>
      </c>
      <c r="G884" s="3197">
        <v>2061</v>
      </c>
      <c r="H884" s="3191" t="s">
        <v>4900</v>
      </c>
      <c r="I884" s="3191" t="s">
        <v>6066</v>
      </c>
      <c r="J884" s="3203">
        <v>35.799999999999997</v>
      </c>
      <c r="K884" s="3194">
        <v>11.88</v>
      </c>
      <c r="L884" s="3196"/>
    </row>
    <row r="885" spans="1:12">
      <c r="A885" s="3190">
        <v>884</v>
      </c>
      <c r="B885" s="3191" t="s">
        <v>5749</v>
      </c>
      <c r="C885" s="3191" t="s">
        <v>4007</v>
      </c>
      <c r="D885" s="3192" t="s">
        <v>5786</v>
      </c>
      <c r="E885" s="3191" t="s">
        <v>6010</v>
      </c>
      <c r="F885" s="3193" t="s">
        <v>4009</v>
      </c>
      <c r="G885" s="3197">
        <v>2064</v>
      </c>
      <c r="H885" s="3191" t="s">
        <v>6067</v>
      </c>
      <c r="I885" s="3191" t="s">
        <v>4901</v>
      </c>
      <c r="J885" s="3203">
        <v>35.799999999999997</v>
      </c>
      <c r="K885" s="3194">
        <v>11.88</v>
      </c>
      <c r="L885" s="3196"/>
    </row>
    <row r="886" spans="1:12">
      <c r="A886" s="3190">
        <v>885</v>
      </c>
      <c r="B886" s="3191" t="s">
        <v>4583</v>
      </c>
      <c r="C886" s="3191" t="s">
        <v>5169</v>
      </c>
      <c r="D886" s="3192" t="s">
        <v>5786</v>
      </c>
      <c r="E886" s="3191" t="s">
        <v>4844</v>
      </c>
      <c r="F886" s="3193" t="s">
        <v>5171</v>
      </c>
      <c r="G886" s="3197">
        <v>2067</v>
      </c>
      <c r="H886" s="3191" t="s">
        <v>4902</v>
      </c>
      <c r="I886" s="3191" t="s">
        <v>6068</v>
      </c>
      <c r="J886" s="3203">
        <v>35.799999999999997</v>
      </c>
      <c r="K886" s="3194">
        <v>11.88</v>
      </c>
      <c r="L886" s="3196"/>
    </row>
    <row r="887" spans="1:12">
      <c r="A887" s="3190">
        <v>886</v>
      </c>
      <c r="B887" s="3191" t="s">
        <v>5749</v>
      </c>
      <c r="C887" s="3191" t="s">
        <v>4007</v>
      </c>
      <c r="D887" s="3192" t="s">
        <v>5786</v>
      </c>
      <c r="E887" s="3191" t="s">
        <v>6010</v>
      </c>
      <c r="F887" s="3193" t="s">
        <v>4009</v>
      </c>
      <c r="G887" s="3197">
        <v>2068</v>
      </c>
      <c r="H887" s="3191" t="s">
        <v>6069</v>
      </c>
      <c r="I887" s="3191" t="s">
        <v>4903</v>
      </c>
      <c r="J887" s="3203">
        <v>35.799999999999997</v>
      </c>
      <c r="K887" s="3194">
        <v>11.88</v>
      </c>
      <c r="L887" s="3196"/>
    </row>
    <row r="888" spans="1:12">
      <c r="A888" s="3190">
        <v>887</v>
      </c>
      <c r="B888" s="3191" t="s">
        <v>4583</v>
      </c>
      <c r="C888" s="3191" t="s">
        <v>5169</v>
      </c>
      <c r="D888" s="3192" t="s">
        <v>5786</v>
      </c>
      <c r="E888" s="3191" t="s">
        <v>4844</v>
      </c>
      <c r="F888" s="3193" t="s">
        <v>5171</v>
      </c>
      <c r="G888" s="3197">
        <v>2071</v>
      </c>
      <c r="H888" s="3191" t="s">
        <v>4904</v>
      </c>
      <c r="I888" s="3191" t="s">
        <v>6070</v>
      </c>
      <c r="J888" s="3194">
        <v>38.72</v>
      </c>
      <c r="K888" s="3194">
        <v>12.85</v>
      </c>
      <c r="L888" s="3196"/>
    </row>
    <row r="889" spans="1:12">
      <c r="A889" s="3190">
        <v>888</v>
      </c>
      <c r="B889" s="3191" t="s">
        <v>5749</v>
      </c>
      <c r="C889" s="3191" t="s">
        <v>4007</v>
      </c>
      <c r="D889" s="3192" t="s">
        <v>5786</v>
      </c>
      <c r="E889" s="3191" t="s">
        <v>6010</v>
      </c>
      <c r="F889" s="3193" t="s">
        <v>4009</v>
      </c>
      <c r="G889" s="3197">
        <v>2072</v>
      </c>
      <c r="H889" s="3191" t="s">
        <v>6071</v>
      </c>
      <c r="I889" s="3191" t="s">
        <v>4905</v>
      </c>
      <c r="J889" s="3194">
        <v>38.72</v>
      </c>
      <c r="K889" s="3194">
        <v>12.85</v>
      </c>
      <c r="L889" s="3196"/>
    </row>
    <row r="890" spans="1:12">
      <c r="A890" s="3190">
        <v>889</v>
      </c>
      <c r="B890" s="3191" t="s">
        <v>4583</v>
      </c>
      <c r="C890" s="3191" t="s">
        <v>5169</v>
      </c>
      <c r="D890" s="3192" t="s">
        <v>5786</v>
      </c>
      <c r="E890" s="3191" t="s">
        <v>4844</v>
      </c>
      <c r="F890" s="3193" t="s">
        <v>5171</v>
      </c>
      <c r="G890" s="3197">
        <v>2073</v>
      </c>
      <c r="H890" s="3191" t="s">
        <v>4906</v>
      </c>
      <c r="I890" s="3191" t="s">
        <v>6072</v>
      </c>
      <c r="J890" s="3194">
        <v>38.72</v>
      </c>
      <c r="K890" s="3194">
        <v>12.85</v>
      </c>
      <c r="L890" s="3196"/>
    </row>
    <row r="891" spans="1:12">
      <c r="A891" s="3190">
        <v>890</v>
      </c>
      <c r="B891" s="3191" t="s">
        <v>5749</v>
      </c>
      <c r="C891" s="3191" t="s">
        <v>4007</v>
      </c>
      <c r="D891" s="3192" t="s">
        <v>5786</v>
      </c>
      <c r="E891" s="3191" t="s">
        <v>6010</v>
      </c>
      <c r="F891" s="3193" t="s">
        <v>4009</v>
      </c>
      <c r="G891" s="3197">
        <v>2074</v>
      </c>
      <c r="H891" s="3191" t="s">
        <v>6073</v>
      </c>
      <c r="I891" s="3191" t="s">
        <v>4907</v>
      </c>
      <c r="J891" s="3194">
        <v>38.72</v>
      </c>
      <c r="K891" s="3194">
        <v>12.85</v>
      </c>
      <c r="L891" s="3196"/>
    </row>
    <row r="892" spans="1:12">
      <c r="A892" s="3190">
        <v>891</v>
      </c>
      <c r="B892" s="3191" t="s">
        <v>4583</v>
      </c>
      <c r="C892" s="3191" t="s">
        <v>5169</v>
      </c>
      <c r="D892" s="3192" t="s">
        <v>5786</v>
      </c>
      <c r="E892" s="3191" t="s">
        <v>4844</v>
      </c>
      <c r="F892" s="3193" t="s">
        <v>5171</v>
      </c>
      <c r="G892" s="3197">
        <v>2075</v>
      </c>
      <c r="H892" s="3191" t="s">
        <v>4908</v>
      </c>
      <c r="I892" s="3191" t="s">
        <v>6074</v>
      </c>
      <c r="J892" s="3194">
        <v>38.72</v>
      </c>
      <c r="K892" s="3194">
        <v>12.85</v>
      </c>
      <c r="L892" s="3196"/>
    </row>
    <row r="893" spans="1:12">
      <c r="A893" s="3190">
        <v>892</v>
      </c>
      <c r="B893" s="3191" t="s">
        <v>5749</v>
      </c>
      <c r="C893" s="3191" t="s">
        <v>4007</v>
      </c>
      <c r="D893" s="3192" t="s">
        <v>5786</v>
      </c>
      <c r="E893" s="3191" t="s">
        <v>6010</v>
      </c>
      <c r="F893" s="3193" t="s">
        <v>4009</v>
      </c>
      <c r="G893" s="3197">
        <v>2076</v>
      </c>
      <c r="H893" s="3191" t="s">
        <v>6075</v>
      </c>
      <c r="I893" s="3191" t="s">
        <v>4909</v>
      </c>
      <c r="J893" s="3194">
        <v>38.72</v>
      </c>
      <c r="K893" s="3194">
        <v>12.85</v>
      </c>
      <c r="L893" s="3196"/>
    </row>
    <row r="894" spans="1:12">
      <c r="A894" s="3190">
        <v>893</v>
      </c>
      <c r="B894" s="3191" t="s">
        <v>4583</v>
      </c>
      <c r="C894" s="3191" t="s">
        <v>5169</v>
      </c>
      <c r="D894" s="3192" t="s">
        <v>5786</v>
      </c>
      <c r="E894" s="3191" t="s">
        <v>4844</v>
      </c>
      <c r="F894" s="3193" t="s">
        <v>5171</v>
      </c>
      <c r="G894" s="3197">
        <v>2077</v>
      </c>
      <c r="H894" s="3191" t="s">
        <v>4910</v>
      </c>
      <c r="I894" s="3191" t="s">
        <v>6076</v>
      </c>
      <c r="J894" s="3194">
        <v>38.72</v>
      </c>
      <c r="K894" s="3194">
        <v>12.85</v>
      </c>
      <c r="L894" s="3196"/>
    </row>
    <row r="895" spans="1:12">
      <c r="A895" s="3190">
        <v>894</v>
      </c>
      <c r="B895" s="3191" t="s">
        <v>5749</v>
      </c>
      <c r="C895" s="3191" t="s">
        <v>4007</v>
      </c>
      <c r="D895" s="3192" t="s">
        <v>5786</v>
      </c>
      <c r="E895" s="3191" t="s">
        <v>6010</v>
      </c>
      <c r="F895" s="3207" t="s">
        <v>4591</v>
      </c>
      <c r="G895" s="3197">
        <v>2078</v>
      </c>
      <c r="H895" s="3191" t="s">
        <v>6077</v>
      </c>
      <c r="I895" s="3191" t="s">
        <v>4911</v>
      </c>
      <c r="J895" s="3194">
        <v>38.72</v>
      </c>
      <c r="K895" s="3194">
        <v>12.85</v>
      </c>
      <c r="L895" s="3196"/>
    </row>
    <row r="896" spans="1:12">
      <c r="A896" s="3190">
        <v>895</v>
      </c>
      <c r="B896" s="3191" t="s">
        <v>4583</v>
      </c>
      <c r="C896" s="3191" t="s">
        <v>5169</v>
      </c>
      <c r="D896" s="3192" t="s">
        <v>5786</v>
      </c>
      <c r="E896" s="3191" t="s">
        <v>4844</v>
      </c>
      <c r="F896" s="3207" t="s">
        <v>5756</v>
      </c>
      <c r="G896" s="3197">
        <v>2079</v>
      </c>
      <c r="H896" s="3191" t="s">
        <v>4912</v>
      </c>
      <c r="I896" s="3191" t="s">
        <v>6078</v>
      </c>
      <c r="J896" s="3194">
        <v>38.72</v>
      </c>
      <c r="K896" s="3194">
        <v>12.85</v>
      </c>
      <c r="L896" s="3196"/>
    </row>
    <row r="897" spans="1:12">
      <c r="A897" s="3190">
        <v>896</v>
      </c>
      <c r="B897" s="3191" t="s">
        <v>5749</v>
      </c>
      <c r="C897" s="3191" t="s">
        <v>4007</v>
      </c>
      <c r="D897" s="3192" t="s">
        <v>5786</v>
      </c>
      <c r="E897" s="3191" t="s">
        <v>6010</v>
      </c>
      <c r="F897" s="3193" t="s">
        <v>4009</v>
      </c>
      <c r="G897" s="3197">
        <v>2080</v>
      </c>
      <c r="H897" s="3191" t="s">
        <v>6079</v>
      </c>
      <c r="I897" s="3191" t="s">
        <v>4913</v>
      </c>
      <c r="J897" s="3194">
        <v>38.72</v>
      </c>
      <c r="K897" s="3194">
        <v>12.85</v>
      </c>
      <c r="L897" s="3196"/>
    </row>
    <row r="898" spans="1:12">
      <c r="A898" s="3190">
        <v>897</v>
      </c>
      <c r="B898" s="3191" t="s">
        <v>4583</v>
      </c>
      <c r="C898" s="3191" t="s">
        <v>5169</v>
      </c>
      <c r="D898" s="3192" t="s">
        <v>5786</v>
      </c>
      <c r="E898" s="3191" t="s">
        <v>4844</v>
      </c>
      <c r="F898" s="3193" t="s">
        <v>5171</v>
      </c>
      <c r="G898" s="3197">
        <v>2081</v>
      </c>
      <c r="H898" s="3191" t="s">
        <v>4914</v>
      </c>
      <c r="I898" s="3191" t="s">
        <v>6080</v>
      </c>
      <c r="J898" s="3194">
        <v>38.72</v>
      </c>
      <c r="K898" s="3194">
        <v>12.85</v>
      </c>
      <c r="L898" s="3196"/>
    </row>
    <row r="899" spans="1:12">
      <c r="A899" s="3190">
        <v>898</v>
      </c>
      <c r="B899" s="3191" t="s">
        <v>5749</v>
      </c>
      <c r="C899" s="3191" t="s">
        <v>4007</v>
      </c>
      <c r="D899" s="3192" t="s">
        <v>5786</v>
      </c>
      <c r="E899" s="3191" t="s">
        <v>6010</v>
      </c>
      <c r="F899" s="3193" t="s">
        <v>4009</v>
      </c>
      <c r="G899" s="3197">
        <v>2082</v>
      </c>
      <c r="H899" s="3191" t="s">
        <v>6081</v>
      </c>
      <c r="I899" s="3191" t="s">
        <v>4915</v>
      </c>
      <c r="J899" s="3194">
        <v>38.72</v>
      </c>
      <c r="K899" s="3194">
        <v>12.85</v>
      </c>
      <c r="L899" s="3196"/>
    </row>
    <row r="900" spans="1:12">
      <c r="A900" s="3190">
        <v>899</v>
      </c>
      <c r="B900" s="3191" t="s">
        <v>4583</v>
      </c>
      <c r="C900" s="3191" t="s">
        <v>5169</v>
      </c>
      <c r="D900" s="3192" t="s">
        <v>5747</v>
      </c>
      <c r="E900" s="3191" t="s">
        <v>4844</v>
      </c>
      <c r="F900" s="3193" t="s">
        <v>5171</v>
      </c>
      <c r="G900" s="3197">
        <v>2083</v>
      </c>
      <c r="H900" s="3191" t="s">
        <v>4916</v>
      </c>
      <c r="I900" s="3191" t="s">
        <v>6082</v>
      </c>
      <c r="J900" s="3194">
        <v>35.07</v>
      </c>
      <c r="K900" s="3194">
        <v>11.64</v>
      </c>
      <c r="L900" s="3196"/>
    </row>
    <row r="901" spans="1:12">
      <c r="A901" s="3190">
        <v>900</v>
      </c>
      <c r="B901" s="3191" t="s">
        <v>5749</v>
      </c>
      <c r="C901" s="3191" t="s">
        <v>4007</v>
      </c>
      <c r="D901" s="3192" t="s">
        <v>5747</v>
      </c>
      <c r="E901" s="3191" t="s">
        <v>6010</v>
      </c>
      <c r="F901" s="3193" t="s">
        <v>4009</v>
      </c>
      <c r="G901" s="3197">
        <v>2084</v>
      </c>
      <c r="H901" s="3191" t="s">
        <v>6083</v>
      </c>
      <c r="I901" s="3191" t="s">
        <v>4917</v>
      </c>
      <c r="J901" s="3194">
        <v>35.07</v>
      </c>
      <c r="K901" s="3194">
        <v>11.64</v>
      </c>
      <c r="L901" s="3196"/>
    </row>
    <row r="902" spans="1:12">
      <c r="A902" s="3190">
        <v>901</v>
      </c>
      <c r="B902" s="3191" t="s">
        <v>4583</v>
      </c>
      <c r="C902" s="3191" t="s">
        <v>5169</v>
      </c>
      <c r="D902" s="3192" t="s">
        <v>5747</v>
      </c>
      <c r="E902" s="3191" t="s">
        <v>4844</v>
      </c>
      <c r="F902" s="3193" t="s">
        <v>5171</v>
      </c>
      <c r="G902" s="3197">
        <v>2085</v>
      </c>
      <c r="H902" s="3191" t="s">
        <v>4918</v>
      </c>
      <c r="I902" s="3191" t="s">
        <v>6084</v>
      </c>
      <c r="J902" s="3194">
        <v>35.07</v>
      </c>
      <c r="K902" s="3194">
        <v>11.64</v>
      </c>
      <c r="L902" s="3196"/>
    </row>
    <row r="903" spans="1:12">
      <c r="A903" s="3190">
        <v>902</v>
      </c>
      <c r="B903" s="3191" t="s">
        <v>5749</v>
      </c>
      <c r="C903" s="3191" t="s">
        <v>4007</v>
      </c>
      <c r="D903" s="3192" t="s">
        <v>5747</v>
      </c>
      <c r="E903" s="3191" t="s">
        <v>6010</v>
      </c>
      <c r="F903" s="3193" t="s">
        <v>4009</v>
      </c>
      <c r="G903" s="3197">
        <v>2086</v>
      </c>
      <c r="H903" s="3191" t="s">
        <v>6085</v>
      </c>
      <c r="I903" s="3191" t="s">
        <v>4919</v>
      </c>
      <c r="J903" s="3194">
        <v>33.630000000000003</v>
      </c>
      <c r="K903" s="3194">
        <v>11.16</v>
      </c>
      <c r="L903" s="3196"/>
    </row>
    <row r="904" spans="1:12">
      <c r="A904" s="3190">
        <v>903</v>
      </c>
      <c r="B904" s="3191" t="s">
        <v>4583</v>
      </c>
      <c r="C904" s="3191" t="s">
        <v>5169</v>
      </c>
      <c r="D904" s="3192" t="s">
        <v>5747</v>
      </c>
      <c r="E904" s="3191" t="s">
        <v>4844</v>
      </c>
      <c r="F904" s="3193" t="s">
        <v>5171</v>
      </c>
      <c r="G904" s="3197">
        <v>2087</v>
      </c>
      <c r="H904" s="3191" t="s">
        <v>4920</v>
      </c>
      <c r="I904" s="3191" t="s">
        <v>6086</v>
      </c>
      <c r="J904" s="3194">
        <v>33.630000000000003</v>
      </c>
      <c r="K904" s="3194">
        <v>11.16</v>
      </c>
      <c r="L904" s="3196"/>
    </row>
    <row r="905" spans="1:12">
      <c r="A905" s="3190">
        <v>904</v>
      </c>
      <c r="B905" s="3191" t="s">
        <v>5749</v>
      </c>
      <c r="C905" s="3191" t="s">
        <v>4007</v>
      </c>
      <c r="D905" s="3192" t="s">
        <v>5747</v>
      </c>
      <c r="E905" s="3191" t="s">
        <v>6010</v>
      </c>
      <c r="F905" s="3193" t="s">
        <v>4009</v>
      </c>
      <c r="G905" s="3197">
        <v>2088</v>
      </c>
      <c r="H905" s="3191" t="s">
        <v>6087</v>
      </c>
      <c r="I905" s="3191" t="s">
        <v>4921</v>
      </c>
      <c r="J905" s="3194">
        <v>33.630000000000003</v>
      </c>
      <c r="K905" s="3194">
        <v>11.16</v>
      </c>
      <c r="L905" s="3196"/>
    </row>
    <row r="906" spans="1:12">
      <c r="A906" s="3190">
        <v>905</v>
      </c>
      <c r="B906" s="3191" t="s">
        <v>4583</v>
      </c>
      <c r="C906" s="3191" t="s">
        <v>5169</v>
      </c>
      <c r="D906" s="3192" t="s">
        <v>5747</v>
      </c>
      <c r="E906" s="3191" t="s">
        <v>4844</v>
      </c>
      <c r="F906" s="3193" t="s">
        <v>5171</v>
      </c>
      <c r="G906" s="3197">
        <v>2089</v>
      </c>
      <c r="H906" s="3191" t="s">
        <v>4922</v>
      </c>
      <c r="I906" s="3191" t="s">
        <v>6088</v>
      </c>
      <c r="J906" s="3194">
        <v>32.15</v>
      </c>
      <c r="K906" s="3194">
        <v>10.67</v>
      </c>
      <c r="L906" s="3196"/>
    </row>
    <row r="907" spans="1:12">
      <c r="A907" s="3190">
        <v>906</v>
      </c>
      <c r="B907" s="3191" t="s">
        <v>5749</v>
      </c>
      <c r="C907" s="3191" t="s">
        <v>4007</v>
      </c>
      <c r="D907" s="3192" t="s">
        <v>5747</v>
      </c>
      <c r="E907" s="3191" t="s">
        <v>6010</v>
      </c>
      <c r="F907" s="3193" t="s">
        <v>4009</v>
      </c>
      <c r="G907" s="3197">
        <v>2090</v>
      </c>
      <c r="H907" s="3191" t="s">
        <v>6089</v>
      </c>
      <c r="I907" s="3191" t="s">
        <v>4923</v>
      </c>
      <c r="J907" s="3194">
        <v>32.15</v>
      </c>
      <c r="K907" s="3194">
        <v>10.67</v>
      </c>
      <c r="L907" s="3196"/>
    </row>
    <row r="908" spans="1:12">
      <c r="A908" s="3190">
        <v>907</v>
      </c>
      <c r="B908" s="3191" t="s">
        <v>4583</v>
      </c>
      <c r="C908" s="3191" t="s">
        <v>5169</v>
      </c>
      <c r="D908" s="3192" t="s">
        <v>5747</v>
      </c>
      <c r="E908" s="3191" t="s">
        <v>4844</v>
      </c>
      <c r="F908" s="3193" t="s">
        <v>5171</v>
      </c>
      <c r="G908" s="3197">
        <v>2091</v>
      </c>
      <c r="H908" s="3191" t="s">
        <v>4924</v>
      </c>
      <c r="I908" s="3191" t="s">
        <v>6090</v>
      </c>
      <c r="J908" s="3194">
        <v>32.15</v>
      </c>
      <c r="K908" s="3194">
        <v>10.67</v>
      </c>
      <c r="L908" s="3196"/>
    </row>
    <row r="909" spans="1:12">
      <c r="A909" s="3190">
        <v>908</v>
      </c>
      <c r="B909" s="3191" t="s">
        <v>5749</v>
      </c>
      <c r="C909" s="3191" t="s">
        <v>4007</v>
      </c>
      <c r="D909" s="3192" t="s">
        <v>5747</v>
      </c>
      <c r="E909" s="3191" t="s">
        <v>6010</v>
      </c>
      <c r="F909" s="3193" t="s">
        <v>4009</v>
      </c>
      <c r="G909" s="3197">
        <v>2092</v>
      </c>
      <c r="H909" s="3191" t="s">
        <v>6091</v>
      </c>
      <c r="I909" s="3191" t="s">
        <v>4925</v>
      </c>
      <c r="J909" s="3194">
        <v>36.549999999999997</v>
      </c>
      <c r="K909" s="3194">
        <v>12.13</v>
      </c>
      <c r="L909" s="3196"/>
    </row>
    <row r="910" spans="1:12">
      <c r="A910" s="3190">
        <v>909</v>
      </c>
      <c r="B910" s="3191" t="s">
        <v>4583</v>
      </c>
      <c r="C910" s="3191" t="s">
        <v>5169</v>
      </c>
      <c r="D910" s="3192" t="s">
        <v>5747</v>
      </c>
      <c r="E910" s="3191" t="s">
        <v>4844</v>
      </c>
      <c r="F910" s="3207" t="s">
        <v>5756</v>
      </c>
      <c r="G910" s="3197">
        <v>2093</v>
      </c>
      <c r="H910" s="3191" t="s">
        <v>4926</v>
      </c>
      <c r="I910" s="3191" t="s">
        <v>6092</v>
      </c>
      <c r="J910" s="3194">
        <v>36.549999999999997</v>
      </c>
      <c r="K910" s="3194">
        <v>12.13</v>
      </c>
      <c r="L910" s="3196"/>
    </row>
    <row r="911" spans="1:12">
      <c r="A911" s="3190">
        <v>910</v>
      </c>
      <c r="B911" s="3191" t="s">
        <v>5749</v>
      </c>
      <c r="C911" s="3191" t="s">
        <v>4007</v>
      </c>
      <c r="D911" s="3192" t="s">
        <v>5747</v>
      </c>
      <c r="E911" s="3191" t="s">
        <v>6010</v>
      </c>
      <c r="F911" s="3193" t="s">
        <v>4009</v>
      </c>
      <c r="G911" s="3197">
        <v>2094</v>
      </c>
      <c r="H911" s="3191" t="s">
        <v>6093</v>
      </c>
      <c r="I911" s="3191" t="s">
        <v>4927</v>
      </c>
      <c r="J911" s="3194">
        <v>35.07</v>
      </c>
      <c r="K911" s="3194">
        <v>11.64</v>
      </c>
      <c r="L911" s="3196"/>
    </row>
    <row r="912" spans="1:12">
      <c r="A912" s="3190">
        <v>911</v>
      </c>
      <c r="B912" s="3191" t="s">
        <v>4583</v>
      </c>
      <c r="C912" s="3191" t="s">
        <v>5169</v>
      </c>
      <c r="D912" s="3192" t="s">
        <v>5747</v>
      </c>
      <c r="E912" s="3191" t="s">
        <v>4844</v>
      </c>
      <c r="F912" s="3193" t="s">
        <v>5171</v>
      </c>
      <c r="G912" s="3197">
        <v>2095</v>
      </c>
      <c r="H912" s="3191" t="s">
        <v>4928</v>
      </c>
      <c r="I912" s="3191" t="s">
        <v>6094</v>
      </c>
      <c r="J912" s="3194">
        <v>35.07</v>
      </c>
      <c r="K912" s="3194">
        <v>11.64</v>
      </c>
      <c r="L912" s="3196"/>
    </row>
    <row r="913" spans="1:12">
      <c r="A913" s="3190">
        <v>912</v>
      </c>
      <c r="B913" s="3191" t="s">
        <v>5749</v>
      </c>
      <c r="C913" s="3191" t="s">
        <v>4007</v>
      </c>
      <c r="D913" s="3192" t="s">
        <v>5747</v>
      </c>
      <c r="E913" s="3191" t="s">
        <v>6010</v>
      </c>
      <c r="F913" s="3193" t="s">
        <v>4009</v>
      </c>
      <c r="G913" s="3197">
        <v>2096</v>
      </c>
      <c r="H913" s="3191" t="s">
        <v>6095</v>
      </c>
      <c r="I913" s="3191" t="s">
        <v>4929</v>
      </c>
      <c r="J913" s="3194">
        <v>35.07</v>
      </c>
      <c r="K913" s="3194">
        <v>11.64</v>
      </c>
      <c r="L913" s="3196"/>
    </row>
    <row r="914" spans="1:12">
      <c r="A914" s="3190">
        <v>913</v>
      </c>
      <c r="B914" s="3191" t="s">
        <v>4583</v>
      </c>
      <c r="C914" s="3191" t="s">
        <v>5169</v>
      </c>
      <c r="D914" s="3192" t="s">
        <v>5747</v>
      </c>
      <c r="E914" s="3191" t="s">
        <v>4844</v>
      </c>
      <c r="F914" s="3193" t="s">
        <v>5171</v>
      </c>
      <c r="G914" s="3197">
        <v>2097</v>
      </c>
      <c r="H914" s="3191" t="s">
        <v>4930</v>
      </c>
      <c r="I914" s="3191" t="s">
        <v>6096</v>
      </c>
      <c r="J914" s="3194">
        <v>34.35</v>
      </c>
      <c r="K914" s="3203">
        <v>11.4</v>
      </c>
      <c r="L914" s="3196"/>
    </row>
    <row r="915" spans="1:12">
      <c r="A915" s="3190">
        <v>914</v>
      </c>
      <c r="B915" s="3191" t="s">
        <v>5749</v>
      </c>
      <c r="C915" s="3191" t="s">
        <v>4007</v>
      </c>
      <c r="D915" s="3192" t="s">
        <v>5747</v>
      </c>
      <c r="E915" s="3191" t="s">
        <v>6010</v>
      </c>
      <c r="F915" s="3193" t="s">
        <v>4009</v>
      </c>
      <c r="G915" s="3197">
        <v>2098</v>
      </c>
      <c r="H915" s="3191" t="s">
        <v>6097</v>
      </c>
      <c r="I915" s="3191" t="s">
        <v>4931</v>
      </c>
      <c r="J915" s="3194">
        <v>35.07</v>
      </c>
      <c r="K915" s="3194">
        <v>11.64</v>
      </c>
      <c r="L915" s="3196"/>
    </row>
    <row r="916" spans="1:12">
      <c r="A916" s="3190">
        <v>915</v>
      </c>
      <c r="B916" s="3191" t="s">
        <v>4583</v>
      </c>
      <c r="C916" s="3191" t="s">
        <v>5169</v>
      </c>
      <c r="D916" s="3192" t="s">
        <v>5747</v>
      </c>
      <c r="E916" s="3191" t="s">
        <v>4844</v>
      </c>
      <c r="F916" s="3207" t="s">
        <v>5756</v>
      </c>
      <c r="G916" s="3197">
        <v>2099</v>
      </c>
      <c r="H916" s="3191" t="s">
        <v>4932</v>
      </c>
      <c r="I916" s="3191" t="s">
        <v>6098</v>
      </c>
      <c r="J916" s="3194">
        <v>35.07</v>
      </c>
      <c r="K916" s="3194">
        <v>11.64</v>
      </c>
      <c r="L916" s="3196"/>
    </row>
    <row r="917" spans="1:12">
      <c r="A917" s="3190">
        <v>916</v>
      </c>
      <c r="B917" s="3191" t="s">
        <v>5749</v>
      </c>
      <c r="C917" s="3191" t="s">
        <v>4007</v>
      </c>
      <c r="D917" s="3192" t="s">
        <v>5747</v>
      </c>
      <c r="E917" s="3191" t="s">
        <v>6010</v>
      </c>
      <c r="F917" s="3193" t="s">
        <v>4009</v>
      </c>
      <c r="G917" s="3197">
        <v>2100</v>
      </c>
      <c r="H917" s="3191" t="s">
        <v>6099</v>
      </c>
      <c r="I917" s="3191" t="s">
        <v>4933</v>
      </c>
      <c r="J917" s="3194">
        <v>35.07</v>
      </c>
      <c r="K917" s="3194">
        <v>11.64</v>
      </c>
      <c r="L917" s="3196"/>
    </row>
    <row r="918" spans="1:12">
      <c r="A918" s="3190">
        <v>917</v>
      </c>
      <c r="B918" s="3191" t="s">
        <v>4583</v>
      </c>
      <c r="C918" s="3191" t="s">
        <v>5169</v>
      </c>
      <c r="D918" s="3192" t="s">
        <v>5747</v>
      </c>
      <c r="E918" s="3191" t="s">
        <v>4844</v>
      </c>
      <c r="F918" s="3193" t="s">
        <v>5171</v>
      </c>
      <c r="G918" s="3197">
        <v>2101</v>
      </c>
      <c r="H918" s="3191" t="s">
        <v>4934</v>
      </c>
      <c r="I918" s="3191" t="s">
        <v>6100</v>
      </c>
      <c r="J918" s="3194">
        <v>38.72</v>
      </c>
      <c r="K918" s="3194">
        <v>12.85</v>
      </c>
      <c r="L918" s="3196"/>
    </row>
    <row r="919" spans="1:12">
      <c r="A919" s="3190">
        <v>918</v>
      </c>
      <c r="B919" s="3191" t="s">
        <v>5749</v>
      </c>
      <c r="C919" s="3191" t="s">
        <v>4007</v>
      </c>
      <c r="D919" s="3192" t="s">
        <v>5747</v>
      </c>
      <c r="E919" s="3191" t="s">
        <v>6010</v>
      </c>
      <c r="F919" s="3193" t="s">
        <v>4009</v>
      </c>
      <c r="G919" s="3197">
        <v>2102</v>
      </c>
      <c r="H919" s="3191" t="s">
        <v>6101</v>
      </c>
      <c r="I919" s="3191" t="s">
        <v>4935</v>
      </c>
      <c r="J919" s="3194">
        <v>38.72</v>
      </c>
      <c r="K919" s="3194">
        <v>12.85</v>
      </c>
      <c r="L919" s="3196"/>
    </row>
    <row r="920" spans="1:12">
      <c r="A920" s="3190">
        <v>919</v>
      </c>
      <c r="B920" s="3191" t="s">
        <v>4583</v>
      </c>
      <c r="C920" s="3191" t="s">
        <v>5169</v>
      </c>
      <c r="D920" s="3192" t="s">
        <v>5747</v>
      </c>
      <c r="E920" s="3191" t="s">
        <v>4844</v>
      </c>
      <c r="F920" s="3193" t="s">
        <v>5171</v>
      </c>
      <c r="G920" s="3197">
        <v>2103</v>
      </c>
      <c r="H920" s="3191" t="s">
        <v>4936</v>
      </c>
      <c r="I920" s="3191" t="s">
        <v>6102</v>
      </c>
      <c r="J920" s="3194">
        <v>36.549999999999997</v>
      </c>
      <c r="K920" s="3194">
        <v>12.13</v>
      </c>
      <c r="L920" s="3196"/>
    </row>
    <row r="921" spans="1:12">
      <c r="A921" s="3190">
        <v>920</v>
      </c>
      <c r="B921" s="3191" t="s">
        <v>5749</v>
      </c>
      <c r="C921" s="3191" t="s">
        <v>4007</v>
      </c>
      <c r="D921" s="3192" t="s">
        <v>5747</v>
      </c>
      <c r="E921" s="3191" t="s">
        <v>6010</v>
      </c>
      <c r="F921" s="3193" t="s">
        <v>4009</v>
      </c>
      <c r="G921" s="3197">
        <v>2104</v>
      </c>
      <c r="H921" s="3191" t="s">
        <v>6103</v>
      </c>
      <c r="I921" s="3191" t="s">
        <v>4937</v>
      </c>
      <c r="J921" s="3194">
        <v>36.549999999999997</v>
      </c>
      <c r="K921" s="3194">
        <v>12.13</v>
      </c>
      <c r="L921" s="3196"/>
    </row>
    <row r="922" spans="1:12">
      <c r="A922" s="3190">
        <v>921</v>
      </c>
      <c r="B922" s="3191" t="s">
        <v>4583</v>
      </c>
      <c r="C922" s="3191" t="s">
        <v>5169</v>
      </c>
      <c r="D922" s="3192" t="s">
        <v>5747</v>
      </c>
      <c r="E922" s="3191" t="s">
        <v>4844</v>
      </c>
      <c r="F922" s="3193" t="s">
        <v>5171</v>
      </c>
      <c r="G922" s="3197">
        <v>2105</v>
      </c>
      <c r="H922" s="3191" t="s">
        <v>4938</v>
      </c>
      <c r="I922" s="3191" t="s">
        <v>6104</v>
      </c>
      <c r="J922" s="3194">
        <v>35.07</v>
      </c>
      <c r="K922" s="3194">
        <v>11.64</v>
      </c>
      <c r="L922" s="3196"/>
    </row>
    <row r="923" spans="1:12">
      <c r="A923" s="3190">
        <v>922</v>
      </c>
      <c r="B923" s="3191" t="s">
        <v>5749</v>
      </c>
      <c r="C923" s="3191" t="s">
        <v>4007</v>
      </c>
      <c r="D923" s="3192" t="s">
        <v>5747</v>
      </c>
      <c r="E923" s="3191" t="s">
        <v>6010</v>
      </c>
      <c r="F923" s="3193" t="s">
        <v>4009</v>
      </c>
      <c r="G923" s="3197">
        <v>2106</v>
      </c>
      <c r="H923" s="3191" t="s">
        <v>6105</v>
      </c>
      <c r="I923" s="3191" t="s">
        <v>4939</v>
      </c>
      <c r="J923" s="3194">
        <v>35.07</v>
      </c>
      <c r="K923" s="3194">
        <v>11.64</v>
      </c>
      <c r="L923" s="3196"/>
    </row>
    <row r="924" spans="1:12">
      <c r="A924" s="3190">
        <v>923</v>
      </c>
      <c r="B924" s="3191" t="s">
        <v>4583</v>
      </c>
      <c r="C924" s="3191" t="s">
        <v>5169</v>
      </c>
      <c r="D924" s="3192" t="s">
        <v>5747</v>
      </c>
      <c r="E924" s="3191" t="s">
        <v>4844</v>
      </c>
      <c r="F924" s="3193" t="s">
        <v>5171</v>
      </c>
      <c r="G924" s="3197">
        <v>2107</v>
      </c>
      <c r="H924" s="3191" t="s">
        <v>4940</v>
      </c>
      <c r="I924" s="3191" t="s">
        <v>6106</v>
      </c>
      <c r="J924" s="3194">
        <v>35.07</v>
      </c>
      <c r="K924" s="3194">
        <v>11.64</v>
      </c>
      <c r="L924" s="3196"/>
    </row>
    <row r="925" spans="1:12">
      <c r="A925" s="3190">
        <v>924</v>
      </c>
      <c r="B925" s="3191" t="s">
        <v>5749</v>
      </c>
      <c r="C925" s="3191" t="s">
        <v>4007</v>
      </c>
      <c r="D925" s="3192" t="s">
        <v>5747</v>
      </c>
      <c r="E925" s="3191" t="s">
        <v>6010</v>
      </c>
      <c r="F925" s="3193" t="s">
        <v>4009</v>
      </c>
      <c r="G925" s="3197">
        <v>2108</v>
      </c>
      <c r="H925" s="3191" t="s">
        <v>6107</v>
      </c>
      <c r="I925" s="3191" t="s">
        <v>4941</v>
      </c>
      <c r="J925" s="3194">
        <v>36.549999999999997</v>
      </c>
      <c r="K925" s="3194">
        <v>12.13</v>
      </c>
      <c r="L925" s="3196"/>
    </row>
    <row r="926" spans="1:12">
      <c r="A926" s="3190">
        <v>925</v>
      </c>
      <c r="B926" s="3191" t="s">
        <v>4583</v>
      </c>
      <c r="C926" s="3191" t="s">
        <v>5169</v>
      </c>
      <c r="D926" s="3192" t="s">
        <v>5747</v>
      </c>
      <c r="E926" s="3191" t="s">
        <v>4844</v>
      </c>
      <c r="F926" s="3193" t="s">
        <v>5171</v>
      </c>
      <c r="G926" s="3197">
        <v>2109</v>
      </c>
      <c r="H926" s="3191" t="s">
        <v>4942</v>
      </c>
      <c r="I926" s="3191" t="s">
        <v>6108</v>
      </c>
      <c r="J926" s="3194">
        <v>36.549999999999997</v>
      </c>
      <c r="K926" s="3194">
        <v>12.13</v>
      </c>
      <c r="L926" s="3196"/>
    </row>
    <row r="927" spans="1:12">
      <c r="A927" s="3190">
        <v>926</v>
      </c>
      <c r="B927" s="3191" t="s">
        <v>5749</v>
      </c>
      <c r="C927" s="3191" t="s">
        <v>4007</v>
      </c>
      <c r="D927" s="3192" t="s">
        <v>5747</v>
      </c>
      <c r="E927" s="3191" t="s">
        <v>6010</v>
      </c>
      <c r="F927" s="3193" t="s">
        <v>4009</v>
      </c>
      <c r="G927" s="3197">
        <v>2111</v>
      </c>
      <c r="H927" s="3191" t="s">
        <v>6109</v>
      </c>
      <c r="I927" s="3191" t="s">
        <v>4943</v>
      </c>
      <c r="J927" s="3194">
        <v>35.07</v>
      </c>
      <c r="K927" s="3194">
        <v>11.64</v>
      </c>
      <c r="L927" s="3196"/>
    </row>
    <row r="928" spans="1:12">
      <c r="A928" s="3190">
        <v>927</v>
      </c>
      <c r="B928" s="3191" t="s">
        <v>4583</v>
      </c>
      <c r="C928" s="3191" t="s">
        <v>5169</v>
      </c>
      <c r="D928" s="3192" t="s">
        <v>5747</v>
      </c>
      <c r="E928" s="3198" t="s">
        <v>6335</v>
      </c>
      <c r="F928" s="3193" t="s">
        <v>5171</v>
      </c>
      <c r="G928" s="3197">
        <v>2112</v>
      </c>
      <c r="H928" s="3191" t="s">
        <v>4944</v>
      </c>
      <c r="I928" s="3191" t="s">
        <v>6110</v>
      </c>
      <c r="J928" s="3194">
        <v>33.630000000000003</v>
      </c>
      <c r="K928" s="3194">
        <v>11.16</v>
      </c>
      <c r="L928" s="3196"/>
    </row>
    <row r="929" spans="1:12">
      <c r="A929" s="3190">
        <v>928</v>
      </c>
      <c r="B929" s="3191" t="s">
        <v>5749</v>
      </c>
      <c r="C929" s="3191" t="s">
        <v>4007</v>
      </c>
      <c r="D929" s="3192" t="s">
        <v>5747</v>
      </c>
      <c r="E929" s="3191" t="s">
        <v>6010</v>
      </c>
      <c r="F929" s="3193" t="s">
        <v>4009</v>
      </c>
      <c r="G929" s="3197">
        <v>2113</v>
      </c>
      <c r="H929" s="3191" t="s">
        <v>6111</v>
      </c>
      <c r="I929" s="3191" t="s">
        <v>4945</v>
      </c>
      <c r="J929" s="3194">
        <v>33.630000000000003</v>
      </c>
      <c r="K929" s="3194">
        <v>11.16</v>
      </c>
      <c r="L929" s="3196"/>
    </row>
    <row r="930" spans="1:12">
      <c r="A930" s="3190">
        <v>929</v>
      </c>
      <c r="B930" s="3191" t="s">
        <v>4583</v>
      </c>
      <c r="C930" s="3191" t="s">
        <v>5169</v>
      </c>
      <c r="D930" s="3192" t="s">
        <v>5747</v>
      </c>
      <c r="E930" s="3191" t="s">
        <v>4844</v>
      </c>
      <c r="F930" s="3207" t="s">
        <v>5756</v>
      </c>
      <c r="G930" s="3197">
        <v>2114</v>
      </c>
      <c r="H930" s="3191" t="s">
        <v>4946</v>
      </c>
      <c r="I930" s="3191" t="s">
        <v>6112</v>
      </c>
      <c r="J930" s="3194">
        <v>36.549999999999997</v>
      </c>
      <c r="K930" s="3194">
        <v>12.13</v>
      </c>
      <c r="L930" s="3196"/>
    </row>
    <row r="931" spans="1:12">
      <c r="A931" s="3190">
        <v>930</v>
      </c>
      <c r="B931" s="3191" t="s">
        <v>5749</v>
      </c>
      <c r="C931" s="3191" t="s">
        <v>4007</v>
      </c>
      <c r="D931" s="3192" t="s">
        <v>5747</v>
      </c>
      <c r="E931" s="3191" t="s">
        <v>6010</v>
      </c>
      <c r="F931" s="3193" t="s">
        <v>4009</v>
      </c>
      <c r="G931" s="3197">
        <v>2115</v>
      </c>
      <c r="H931" s="3191" t="s">
        <v>6113</v>
      </c>
      <c r="I931" s="3191" t="s">
        <v>4947</v>
      </c>
      <c r="J931" s="3194">
        <v>36.549999999999997</v>
      </c>
      <c r="K931" s="3194">
        <v>12.13</v>
      </c>
      <c r="L931" s="3196"/>
    </row>
    <row r="932" spans="1:12">
      <c r="A932" s="3190">
        <v>931</v>
      </c>
      <c r="B932" s="3191" t="s">
        <v>4583</v>
      </c>
      <c r="C932" s="3191" t="s">
        <v>5169</v>
      </c>
      <c r="D932" s="3192" t="s">
        <v>5786</v>
      </c>
      <c r="E932" s="3191" t="s">
        <v>4844</v>
      </c>
      <c r="F932" s="3193" t="s">
        <v>5171</v>
      </c>
      <c r="G932" s="3197">
        <v>2120</v>
      </c>
      <c r="H932" s="3191" t="s">
        <v>4948</v>
      </c>
      <c r="I932" s="3191" t="s">
        <v>6114</v>
      </c>
      <c r="J932" s="3194">
        <v>37.270000000000003</v>
      </c>
      <c r="K932" s="3194">
        <v>12.37</v>
      </c>
      <c r="L932" s="3196"/>
    </row>
    <row r="933" spans="1:12">
      <c r="A933" s="3190">
        <v>932</v>
      </c>
      <c r="B933" s="3191" t="s">
        <v>5749</v>
      </c>
      <c r="C933" s="3191" t="s">
        <v>4007</v>
      </c>
      <c r="D933" s="3192" t="s">
        <v>5786</v>
      </c>
      <c r="E933" s="3191" t="s">
        <v>6010</v>
      </c>
      <c r="F933" s="3193" t="s">
        <v>4009</v>
      </c>
      <c r="G933" s="3197">
        <v>2121</v>
      </c>
      <c r="H933" s="3191" t="s">
        <v>6115</v>
      </c>
      <c r="I933" s="3191" t="s">
        <v>4949</v>
      </c>
      <c r="J933" s="3194">
        <v>37.270000000000003</v>
      </c>
      <c r="K933" s="3194">
        <v>12.37</v>
      </c>
      <c r="L933" s="3196"/>
    </row>
    <row r="934" spans="1:12">
      <c r="A934" s="3190">
        <v>933</v>
      </c>
      <c r="B934" s="3191" t="s">
        <v>4583</v>
      </c>
      <c r="C934" s="3191" t="s">
        <v>5169</v>
      </c>
      <c r="D934" s="3192" t="s">
        <v>5786</v>
      </c>
      <c r="E934" s="3191" t="s">
        <v>4844</v>
      </c>
      <c r="F934" s="3207" t="s">
        <v>5756</v>
      </c>
      <c r="G934" s="3197">
        <v>2122</v>
      </c>
      <c r="H934" s="3191" t="s">
        <v>4950</v>
      </c>
      <c r="I934" s="3191" t="s">
        <v>6116</v>
      </c>
      <c r="J934" s="3194">
        <v>37.270000000000003</v>
      </c>
      <c r="K934" s="3194">
        <v>12.37</v>
      </c>
      <c r="L934" s="3196"/>
    </row>
    <row r="935" spans="1:12">
      <c r="A935" s="3190">
        <v>934</v>
      </c>
      <c r="B935" s="3191" t="s">
        <v>5749</v>
      </c>
      <c r="C935" s="3191" t="s">
        <v>4007</v>
      </c>
      <c r="D935" s="3192" t="s">
        <v>5786</v>
      </c>
      <c r="E935" s="3191" t="s">
        <v>6010</v>
      </c>
      <c r="F935" s="3193" t="s">
        <v>4009</v>
      </c>
      <c r="G935" s="3197">
        <v>2123</v>
      </c>
      <c r="H935" s="3191" t="s">
        <v>6117</v>
      </c>
      <c r="I935" s="3191" t="s">
        <v>4951</v>
      </c>
      <c r="J935" s="3194">
        <v>37.270000000000003</v>
      </c>
      <c r="K935" s="3194">
        <v>12.37</v>
      </c>
      <c r="L935" s="3196"/>
    </row>
    <row r="936" spans="1:12">
      <c r="A936" s="3190">
        <v>935</v>
      </c>
      <c r="B936" s="3191" t="s">
        <v>4583</v>
      </c>
      <c r="C936" s="3191" t="s">
        <v>5169</v>
      </c>
      <c r="D936" s="3192" t="s">
        <v>5786</v>
      </c>
      <c r="E936" s="3191" t="s">
        <v>4844</v>
      </c>
      <c r="F936" s="3193" t="s">
        <v>5171</v>
      </c>
      <c r="G936" s="3197">
        <v>2124</v>
      </c>
      <c r="H936" s="3191" t="s">
        <v>4952</v>
      </c>
      <c r="I936" s="3191" t="s">
        <v>6118</v>
      </c>
      <c r="J936" s="3194">
        <v>37.270000000000003</v>
      </c>
      <c r="K936" s="3194">
        <v>12.37</v>
      </c>
      <c r="L936" s="3196"/>
    </row>
    <row r="937" spans="1:12">
      <c r="A937" s="3190">
        <v>936</v>
      </c>
      <c r="B937" s="3191" t="s">
        <v>5749</v>
      </c>
      <c r="C937" s="3191" t="s">
        <v>4007</v>
      </c>
      <c r="D937" s="3192" t="s">
        <v>5786</v>
      </c>
      <c r="E937" s="3191" t="s">
        <v>6010</v>
      </c>
      <c r="F937" s="3193" t="s">
        <v>4009</v>
      </c>
      <c r="G937" s="3197">
        <v>2125</v>
      </c>
      <c r="H937" s="3191" t="s">
        <v>6119</v>
      </c>
      <c r="I937" s="3191" t="s">
        <v>4953</v>
      </c>
      <c r="J937" s="3194">
        <v>37.270000000000003</v>
      </c>
      <c r="K937" s="3194">
        <v>12.37</v>
      </c>
      <c r="L937" s="3196"/>
    </row>
    <row r="938" spans="1:12">
      <c r="A938" s="3190">
        <v>937</v>
      </c>
      <c r="B938" s="3191" t="s">
        <v>4583</v>
      </c>
      <c r="C938" s="3191" t="s">
        <v>5169</v>
      </c>
      <c r="D938" s="3192" t="s">
        <v>5747</v>
      </c>
      <c r="E938" s="3191" t="s">
        <v>4844</v>
      </c>
      <c r="F938" s="3193" t="s">
        <v>5171</v>
      </c>
      <c r="G938" s="3197">
        <v>2128</v>
      </c>
      <c r="H938" s="3191" t="s">
        <v>4954</v>
      </c>
      <c r="I938" s="3191" t="s">
        <v>6120</v>
      </c>
      <c r="J938" s="3194">
        <v>35.07</v>
      </c>
      <c r="K938" s="3194">
        <v>11.64</v>
      </c>
      <c r="L938" s="3196"/>
    </row>
    <row r="939" spans="1:12">
      <c r="A939" s="3190">
        <v>938</v>
      </c>
      <c r="B939" s="3191" t="s">
        <v>5749</v>
      </c>
      <c r="C939" s="3191" t="s">
        <v>4007</v>
      </c>
      <c r="D939" s="3192" t="s">
        <v>5747</v>
      </c>
      <c r="E939" s="3191" t="s">
        <v>6010</v>
      </c>
      <c r="F939" s="3193" t="s">
        <v>4009</v>
      </c>
      <c r="G939" s="3197">
        <v>2129</v>
      </c>
      <c r="H939" s="3191" t="s">
        <v>6121</v>
      </c>
      <c r="I939" s="3191" t="s">
        <v>4955</v>
      </c>
      <c r="J939" s="3194">
        <v>35.07</v>
      </c>
      <c r="K939" s="3194">
        <v>11.64</v>
      </c>
      <c r="L939" s="3196"/>
    </row>
    <row r="940" spans="1:12">
      <c r="A940" s="3190">
        <v>939</v>
      </c>
      <c r="B940" s="3191" t="s">
        <v>4583</v>
      </c>
      <c r="C940" s="3191" t="s">
        <v>5169</v>
      </c>
      <c r="D940" s="3192" t="s">
        <v>5747</v>
      </c>
      <c r="E940" s="3191" t="s">
        <v>4844</v>
      </c>
      <c r="F940" s="3193" t="s">
        <v>5171</v>
      </c>
      <c r="G940" s="3197">
        <v>2130</v>
      </c>
      <c r="H940" s="3191" t="s">
        <v>4956</v>
      </c>
      <c r="I940" s="3191" t="s">
        <v>6122</v>
      </c>
      <c r="J940" s="3194">
        <v>38.72</v>
      </c>
      <c r="K940" s="3194">
        <v>12.85</v>
      </c>
      <c r="L940" s="3196"/>
    </row>
    <row r="941" spans="1:12">
      <c r="A941" s="3190">
        <v>940</v>
      </c>
      <c r="B941" s="3191" t="s">
        <v>5749</v>
      </c>
      <c r="C941" s="3191" t="s">
        <v>4007</v>
      </c>
      <c r="D941" s="3192" t="s">
        <v>5747</v>
      </c>
      <c r="E941" s="3191" t="s">
        <v>6010</v>
      </c>
      <c r="F941" s="3193" t="s">
        <v>4009</v>
      </c>
      <c r="G941" s="3197">
        <v>2131</v>
      </c>
      <c r="H941" s="3191" t="s">
        <v>6123</v>
      </c>
      <c r="I941" s="3191" t="s">
        <v>4957</v>
      </c>
      <c r="J941" s="3194">
        <v>38.72</v>
      </c>
      <c r="K941" s="3194">
        <v>12.85</v>
      </c>
      <c r="L941" s="3196"/>
    </row>
    <row r="942" spans="1:12">
      <c r="A942" s="3190">
        <v>941</v>
      </c>
      <c r="B942" s="3191" t="s">
        <v>4583</v>
      </c>
      <c r="C942" s="3191" t="s">
        <v>5169</v>
      </c>
      <c r="D942" s="3192" t="s">
        <v>5786</v>
      </c>
      <c r="E942" s="3191" t="s">
        <v>4844</v>
      </c>
      <c r="F942" s="3193" t="s">
        <v>5171</v>
      </c>
      <c r="G942" s="3197">
        <v>2134</v>
      </c>
      <c r="H942" s="3191" t="s">
        <v>4958</v>
      </c>
      <c r="I942" s="3191" t="s">
        <v>6124</v>
      </c>
      <c r="J942" s="3203">
        <v>35.799999999999997</v>
      </c>
      <c r="K942" s="3194">
        <v>11.88</v>
      </c>
      <c r="L942" s="3196"/>
    </row>
    <row r="943" spans="1:12">
      <c r="A943" s="3190">
        <v>942</v>
      </c>
      <c r="B943" s="3191" t="s">
        <v>5749</v>
      </c>
      <c r="C943" s="3191" t="s">
        <v>4007</v>
      </c>
      <c r="D943" s="3192" t="s">
        <v>5786</v>
      </c>
      <c r="E943" s="3191" t="s">
        <v>6010</v>
      </c>
      <c r="F943" s="3193" t="s">
        <v>4009</v>
      </c>
      <c r="G943" s="3197">
        <v>2135</v>
      </c>
      <c r="H943" s="3191" t="s">
        <v>6125</v>
      </c>
      <c r="I943" s="3191" t="s">
        <v>4959</v>
      </c>
      <c r="J943" s="3203">
        <v>35.799999999999997</v>
      </c>
      <c r="K943" s="3194">
        <v>11.88</v>
      </c>
      <c r="L943" s="3196"/>
    </row>
    <row r="944" spans="1:12">
      <c r="A944" s="3190">
        <v>943</v>
      </c>
      <c r="B944" s="3191" t="s">
        <v>4583</v>
      </c>
      <c r="C944" s="3191" t="s">
        <v>5169</v>
      </c>
      <c r="D944" s="3192" t="s">
        <v>5747</v>
      </c>
      <c r="E944" s="3191" t="s">
        <v>4844</v>
      </c>
      <c r="F944" s="3193" t="s">
        <v>5171</v>
      </c>
      <c r="G944" s="3197">
        <v>2144</v>
      </c>
      <c r="H944" s="3191" t="s">
        <v>4960</v>
      </c>
      <c r="I944" s="3191" t="s">
        <v>6126</v>
      </c>
      <c r="J944" s="3203">
        <v>35.799999999999997</v>
      </c>
      <c r="K944" s="3194">
        <v>11.88</v>
      </c>
      <c r="L944" s="3196"/>
    </row>
    <row r="945" spans="1:12">
      <c r="A945" s="3190">
        <v>944</v>
      </c>
      <c r="B945" s="3191" t="s">
        <v>5749</v>
      </c>
      <c r="C945" s="3191" t="s">
        <v>4007</v>
      </c>
      <c r="D945" s="3192" t="s">
        <v>5747</v>
      </c>
      <c r="E945" s="3191" t="s">
        <v>6010</v>
      </c>
      <c r="F945" s="3193" t="s">
        <v>4009</v>
      </c>
      <c r="G945" s="3197">
        <v>2145</v>
      </c>
      <c r="H945" s="3191" t="s">
        <v>6127</v>
      </c>
      <c r="I945" s="3191" t="s">
        <v>4961</v>
      </c>
      <c r="J945" s="3203">
        <v>35.799999999999997</v>
      </c>
      <c r="K945" s="3194">
        <v>11.88</v>
      </c>
      <c r="L945" s="3196"/>
    </row>
    <row r="946" spans="1:12">
      <c r="A946" s="3190">
        <v>945</v>
      </c>
      <c r="B946" s="3191" t="s">
        <v>4583</v>
      </c>
      <c r="C946" s="3191" t="s">
        <v>5169</v>
      </c>
      <c r="D946" s="3192" t="s">
        <v>5747</v>
      </c>
      <c r="E946" s="3191" t="s">
        <v>4844</v>
      </c>
      <c r="F946" s="3193" t="s">
        <v>5171</v>
      </c>
      <c r="G946" s="3197">
        <v>2146</v>
      </c>
      <c r="H946" s="3191" t="s">
        <v>4962</v>
      </c>
      <c r="I946" s="3191" t="s">
        <v>6128</v>
      </c>
      <c r="J946" s="3194">
        <v>35.07</v>
      </c>
      <c r="K946" s="3194">
        <v>11.64</v>
      </c>
      <c r="L946" s="3196"/>
    </row>
    <row r="947" spans="1:12">
      <c r="A947" s="3190">
        <v>946</v>
      </c>
      <c r="B947" s="3191" t="s">
        <v>5749</v>
      </c>
      <c r="C947" s="3191" t="s">
        <v>4007</v>
      </c>
      <c r="D947" s="3192" t="s">
        <v>5747</v>
      </c>
      <c r="E947" s="3191" t="s">
        <v>6010</v>
      </c>
      <c r="F947" s="3193" t="s">
        <v>4009</v>
      </c>
      <c r="G947" s="3197">
        <v>2147</v>
      </c>
      <c r="H947" s="3191" t="s">
        <v>6129</v>
      </c>
      <c r="I947" s="3191" t="s">
        <v>4963</v>
      </c>
      <c r="J947" s="3194">
        <v>35.07</v>
      </c>
      <c r="K947" s="3194">
        <v>11.64</v>
      </c>
      <c r="L947" s="3196"/>
    </row>
    <row r="948" spans="1:12">
      <c r="A948" s="3190">
        <v>947</v>
      </c>
      <c r="B948" s="3191" t="s">
        <v>4583</v>
      </c>
      <c r="C948" s="3191" t="s">
        <v>5169</v>
      </c>
      <c r="D948" s="3192" t="s">
        <v>5747</v>
      </c>
      <c r="E948" s="3191" t="s">
        <v>4844</v>
      </c>
      <c r="F948" s="3193" t="s">
        <v>5171</v>
      </c>
      <c r="G948" s="3197">
        <v>2148</v>
      </c>
      <c r="H948" s="3191" t="s">
        <v>4964</v>
      </c>
      <c r="I948" s="3191" t="s">
        <v>6130</v>
      </c>
      <c r="J948" s="3194">
        <v>35.07</v>
      </c>
      <c r="K948" s="3194">
        <v>11.64</v>
      </c>
      <c r="L948" s="3196"/>
    </row>
    <row r="949" spans="1:12">
      <c r="A949" s="3190">
        <v>948</v>
      </c>
      <c r="B949" s="3191" t="s">
        <v>5749</v>
      </c>
      <c r="C949" s="3191" t="s">
        <v>4007</v>
      </c>
      <c r="D949" s="3192" t="s">
        <v>5786</v>
      </c>
      <c r="E949" s="3191" t="s">
        <v>6010</v>
      </c>
      <c r="F949" s="3193" t="s">
        <v>4009</v>
      </c>
      <c r="G949" s="3197">
        <v>2149</v>
      </c>
      <c r="H949" s="3191" t="s">
        <v>6131</v>
      </c>
      <c r="I949" s="3191" t="s">
        <v>4965</v>
      </c>
      <c r="J949" s="3203">
        <v>35.799999999999997</v>
      </c>
      <c r="K949" s="3194">
        <v>11.88</v>
      </c>
      <c r="L949" s="3196"/>
    </row>
    <row r="950" spans="1:12">
      <c r="A950" s="3190">
        <v>949</v>
      </c>
      <c r="B950" s="3191" t="s">
        <v>4583</v>
      </c>
      <c r="C950" s="3191" t="s">
        <v>5169</v>
      </c>
      <c r="D950" s="3192" t="s">
        <v>5786</v>
      </c>
      <c r="E950" s="3191" t="s">
        <v>4844</v>
      </c>
      <c r="F950" s="3193" t="s">
        <v>5171</v>
      </c>
      <c r="G950" s="3197">
        <v>2150</v>
      </c>
      <c r="H950" s="3191" t="s">
        <v>4966</v>
      </c>
      <c r="I950" s="3191" t="s">
        <v>6132</v>
      </c>
      <c r="J950" s="3203">
        <v>35.799999999999997</v>
      </c>
      <c r="K950" s="3194">
        <v>11.88</v>
      </c>
      <c r="L950" s="3196"/>
    </row>
    <row r="951" spans="1:12">
      <c r="A951" s="3190">
        <v>950</v>
      </c>
      <c r="B951" s="3191" t="s">
        <v>5749</v>
      </c>
      <c r="C951" s="3191" t="s">
        <v>4007</v>
      </c>
      <c r="D951" s="3192" t="s">
        <v>5786</v>
      </c>
      <c r="E951" s="3191" t="s">
        <v>6010</v>
      </c>
      <c r="F951" s="3193" t="s">
        <v>4009</v>
      </c>
      <c r="G951" s="3197">
        <v>2151</v>
      </c>
      <c r="H951" s="3191" t="s">
        <v>6133</v>
      </c>
      <c r="I951" s="3191" t="s">
        <v>4967</v>
      </c>
      <c r="J951" s="3203">
        <v>35.799999999999997</v>
      </c>
      <c r="K951" s="3194">
        <v>11.88</v>
      </c>
      <c r="L951" s="3196"/>
    </row>
    <row r="952" spans="1:12">
      <c r="A952" s="3190">
        <v>951</v>
      </c>
      <c r="B952" s="3191" t="s">
        <v>4583</v>
      </c>
      <c r="C952" s="3191" t="s">
        <v>5169</v>
      </c>
      <c r="D952" s="3192" t="s">
        <v>5786</v>
      </c>
      <c r="E952" s="3191" t="s">
        <v>4844</v>
      </c>
      <c r="F952" s="3193" t="s">
        <v>5171</v>
      </c>
      <c r="G952" s="3197">
        <v>2152</v>
      </c>
      <c r="H952" s="3191" t="s">
        <v>4968</v>
      </c>
      <c r="I952" s="3191" t="s">
        <v>6134</v>
      </c>
      <c r="J952" s="3203">
        <v>35.799999999999997</v>
      </c>
      <c r="K952" s="3194">
        <v>11.88</v>
      </c>
      <c r="L952" s="3196"/>
    </row>
    <row r="953" spans="1:12">
      <c r="A953" s="3190">
        <v>952</v>
      </c>
      <c r="B953" s="3191" t="s">
        <v>5749</v>
      </c>
      <c r="C953" s="3191" t="s">
        <v>4007</v>
      </c>
      <c r="D953" s="3192" t="s">
        <v>5786</v>
      </c>
      <c r="E953" s="3191" t="s">
        <v>6010</v>
      </c>
      <c r="F953" s="3193" t="s">
        <v>4009</v>
      </c>
      <c r="G953" s="3197">
        <v>2153</v>
      </c>
      <c r="H953" s="3191" t="s">
        <v>6135</v>
      </c>
      <c r="I953" s="3191" t="s">
        <v>4969</v>
      </c>
      <c r="J953" s="3203">
        <v>35.799999999999997</v>
      </c>
      <c r="K953" s="3194">
        <v>11.88</v>
      </c>
      <c r="L953" s="3196"/>
    </row>
    <row r="954" spans="1:12">
      <c r="A954" s="3190">
        <v>953</v>
      </c>
      <c r="B954" s="3191" t="s">
        <v>4583</v>
      </c>
      <c r="C954" s="3191" t="s">
        <v>5169</v>
      </c>
      <c r="D954" s="3192" t="s">
        <v>5786</v>
      </c>
      <c r="E954" s="3191" t="s">
        <v>4844</v>
      </c>
      <c r="F954" s="3193" t="s">
        <v>5171</v>
      </c>
      <c r="G954" s="3197">
        <v>2154</v>
      </c>
      <c r="H954" s="3191" t="s">
        <v>4970</v>
      </c>
      <c r="I954" s="3191" t="s">
        <v>6136</v>
      </c>
      <c r="J954" s="3203">
        <v>35.799999999999997</v>
      </c>
      <c r="K954" s="3194">
        <v>11.88</v>
      </c>
      <c r="L954" s="3196"/>
    </row>
    <row r="955" spans="1:12">
      <c r="A955" s="3190">
        <v>954</v>
      </c>
      <c r="B955" s="3191" t="s">
        <v>5749</v>
      </c>
      <c r="C955" s="3191" t="s">
        <v>4007</v>
      </c>
      <c r="D955" s="3192" t="s">
        <v>5786</v>
      </c>
      <c r="E955" s="3191" t="s">
        <v>6010</v>
      </c>
      <c r="F955" s="3207" t="s">
        <v>4591</v>
      </c>
      <c r="G955" s="3197">
        <v>2155</v>
      </c>
      <c r="H955" s="3191" t="s">
        <v>6137</v>
      </c>
      <c r="I955" s="3191" t="s">
        <v>4971</v>
      </c>
      <c r="J955" s="3203">
        <v>35.799999999999997</v>
      </c>
      <c r="K955" s="3194">
        <v>11.88</v>
      </c>
      <c r="L955" s="3196"/>
    </row>
    <row r="956" spans="1:12">
      <c r="A956" s="3190">
        <v>955</v>
      </c>
      <c r="B956" s="3191" t="s">
        <v>4583</v>
      </c>
      <c r="C956" s="3191" t="s">
        <v>5169</v>
      </c>
      <c r="D956" s="3192" t="s">
        <v>5786</v>
      </c>
      <c r="E956" s="3191" t="s">
        <v>4844</v>
      </c>
      <c r="F956" s="3193" t="s">
        <v>5171</v>
      </c>
      <c r="G956" s="3197">
        <v>2156</v>
      </c>
      <c r="H956" s="3191" t="s">
        <v>4972</v>
      </c>
      <c r="I956" s="3191" t="s">
        <v>6138</v>
      </c>
      <c r="J956" s="3203">
        <v>35.799999999999997</v>
      </c>
      <c r="K956" s="3194">
        <v>11.88</v>
      </c>
      <c r="L956" s="3196"/>
    </row>
    <row r="957" spans="1:12">
      <c r="A957" s="3190">
        <v>956</v>
      </c>
      <c r="B957" s="3191" t="s">
        <v>5749</v>
      </c>
      <c r="C957" s="3191" t="s">
        <v>4007</v>
      </c>
      <c r="D957" s="3192" t="s">
        <v>5786</v>
      </c>
      <c r="E957" s="3191" t="s">
        <v>6010</v>
      </c>
      <c r="F957" s="3193" t="s">
        <v>4009</v>
      </c>
      <c r="G957" s="3197">
        <v>2157</v>
      </c>
      <c r="H957" s="3191" t="s">
        <v>6139</v>
      </c>
      <c r="I957" s="3191" t="s">
        <v>4973</v>
      </c>
      <c r="J957" s="3203">
        <v>35.799999999999997</v>
      </c>
      <c r="K957" s="3194">
        <v>11.88</v>
      </c>
      <c r="L957" s="3196"/>
    </row>
    <row r="958" spans="1:12">
      <c r="A958" s="3190">
        <v>957</v>
      </c>
      <c r="B958" s="3191" t="s">
        <v>4583</v>
      </c>
      <c r="C958" s="3191" t="s">
        <v>5169</v>
      </c>
      <c r="D958" s="3192" t="s">
        <v>5786</v>
      </c>
      <c r="E958" s="3191" t="s">
        <v>4844</v>
      </c>
      <c r="F958" s="3193" t="s">
        <v>5171</v>
      </c>
      <c r="G958" s="3197">
        <v>2158</v>
      </c>
      <c r="H958" s="3191" t="s">
        <v>4974</v>
      </c>
      <c r="I958" s="3191" t="s">
        <v>6140</v>
      </c>
      <c r="J958" s="3203">
        <v>35.799999999999997</v>
      </c>
      <c r="K958" s="3194">
        <v>11.88</v>
      </c>
      <c r="L958" s="3196"/>
    </row>
    <row r="959" spans="1:12">
      <c r="A959" s="3190">
        <v>958</v>
      </c>
      <c r="B959" s="3191" t="s">
        <v>5749</v>
      </c>
      <c r="C959" s="3191" t="s">
        <v>4007</v>
      </c>
      <c r="D959" s="3192" t="s">
        <v>5747</v>
      </c>
      <c r="E959" s="3191" t="s">
        <v>6010</v>
      </c>
      <c r="F959" s="3193" t="s">
        <v>4009</v>
      </c>
      <c r="G959" s="3197">
        <v>2161</v>
      </c>
      <c r="H959" s="3191" t="s">
        <v>6141</v>
      </c>
      <c r="I959" s="3191" t="s">
        <v>4975</v>
      </c>
      <c r="J959" s="3194">
        <v>35.07</v>
      </c>
      <c r="K959" s="3194">
        <v>11.64</v>
      </c>
      <c r="L959" s="3196"/>
    </row>
    <row r="960" spans="1:12">
      <c r="A960" s="3190">
        <v>959</v>
      </c>
      <c r="B960" s="3191" t="s">
        <v>4583</v>
      </c>
      <c r="C960" s="3191" t="s">
        <v>5169</v>
      </c>
      <c r="D960" s="3192" t="s">
        <v>5747</v>
      </c>
      <c r="E960" s="3191" t="s">
        <v>4844</v>
      </c>
      <c r="F960" s="3193" t="s">
        <v>5171</v>
      </c>
      <c r="G960" s="3197">
        <v>2162</v>
      </c>
      <c r="H960" s="3191" t="s">
        <v>4976</v>
      </c>
      <c r="I960" s="3191" t="s">
        <v>6142</v>
      </c>
      <c r="J960" s="3194">
        <v>35.07</v>
      </c>
      <c r="K960" s="3194">
        <v>11.64</v>
      </c>
      <c r="L960" s="3196"/>
    </row>
    <row r="961" spans="1:12">
      <c r="A961" s="3190">
        <v>960</v>
      </c>
      <c r="B961" s="3191" t="s">
        <v>5749</v>
      </c>
      <c r="C961" s="3191" t="s">
        <v>4007</v>
      </c>
      <c r="D961" s="3192" t="s">
        <v>5747</v>
      </c>
      <c r="E961" s="3191" t="s">
        <v>6010</v>
      </c>
      <c r="F961" s="3193" t="s">
        <v>4009</v>
      </c>
      <c r="G961" s="3197">
        <v>2163</v>
      </c>
      <c r="H961" s="3191" t="s">
        <v>6143</v>
      </c>
      <c r="I961" s="3191" t="s">
        <v>4977</v>
      </c>
      <c r="J961" s="3194">
        <v>35.07</v>
      </c>
      <c r="K961" s="3194">
        <v>11.64</v>
      </c>
      <c r="L961" s="3196"/>
    </row>
    <row r="962" spans="1:12">
      <c r="A962" s="3190">
        <v>961</v>
      </c>
      <c r="B962" s="3191" t="s">
        <v>4583</v>
      </c>
      <c r="C962" s="3191" t="s">
        <v>5169</v>
      </c>
      <c r="D962" s="3192" t="s">
        <v>5747</v>
      </c>
      <c r="E962" s="3191" t="s">
        <v>4844</v>
      </c>
      <c r="F962" s="3193" t="s">
        <v>5171</v>
      </c>
      <c r="G962" s="3197">
        <v>2165</v>
      </c>
      <c r="H962" s="3191" t="s">
        <v>4978</v>
      </c>
      <c r="I962" s="3191" t="s">
        <v>6144</v>
      </c>
      <c r="J962" s="3194">
        <v>35.07</v>
      </c>
      <c r="K962" s="3194">
        <v>11.64</v>
      </c>
      <c r="L962" s="3196"/>
    </row>
    <row r="963" spans="1:12">
      <c r="A963" s="3190">
        <v>962</v>
      </c>
      <c r="B963" s="3191" t="s">
        <v>5749</v>
      </c>
      <c r="C963" s="3191" t="s">
        <v>4007</v>
      </c>
      <c r="D963" s="3192" t="s">
        <v>5747</v>
      </c>
      <c r="E963" s="3191" t="s">
        <v>6010</v>
      </c>
      <c r="F963" s="3193" t="s">
        <v>4009</v>
      </c>
      <c r="G963" s="3197">
        <v>2166</v>
      </c>
      <c r="H963" s="3191" t="s">
        <v>6145</v>
      </c>
      <c r="I963" s="3191" t="s">
        <v>4979</v>
      </c>
      <c r="J963" s="3194">
        <v>35.07</v>
      </c>
      <c r="K963" s="3194">
        <v>11.64</v>
      </c>
      <c r="L963" s="3196"/>
    </row>
    <row r="964" spans="1:12">
      <c r="A964" s="3190">
        <v>963</v>
      </c>
      <c r="B964" s="3191" t="s">
        <v>4583</v>
      </c>
      <c r="C964" s="3191" t="s">
        <v>5169</v>
      </c>
      <c r="D964" s="3192" t="s">
        <v>5786</v>
      </c>
      <c r="E964" s="3191" t="s">
        <v>4844</v>
      </c>
      <c r="F964" s="3193" t="s">
        <v>5171</v>
      </c>
      <c r="G964" s="3197">
        <v>2167</v>
      </c>
      <c r="H964" s="3191" t="s">
        <v>4980</v>
      </c>
      <c r="I964" s="3191" t="s">
        <v>6146</v>
      </c>
      <c r="J964" s="3194">
        <v>35.07</v>
      </c>
      <c r="K964" s="3194">
        <v>11.64</v>
      </c>
      <c r="L964" s="3196"/>
    </row>
    <row r="965" spans="1:12">
      <c r="A965" s="3190">
        <v>964</v>
      </c>
      <c r="B965" s="3191" t="s">
        <v>5749</v>
      </c>
      <c r="C965" s="3191" t="s">
        <v>4007</v>
      </c>
      <c r="D965" s="3192" t="s">
        <v>5786</v>
      </c>
      <c r="E965" s="3191" t="s">
        <v>6010</v>
      </c>
      <c r="F965" s="3193" t="s">
        <v>4009</v>
      </c>
      <c r="G965" s="3197">
        <v>2168</v>
      </c>
      <c r="H965" s="3191" t="s">
        <v>6147</v>
      </c>
      <c r="I965" s="3191" t="s">
        <v>4981</v>
      </c>
      <c r="J965" s="3194">
        <v>35.07</v>
      </c>
      <c r="K965" s="3194">
        <v>11.64</v>
      </c>
      <c r="L965" s="3196"/>
    </row>
    <row r="966" spans="1:12">
      <c r="A966" s="3190">
        <v>965</v>
      </c>
      <c r="B966" s="3191" t="s">
        <v>4583</v>
      </c>
      <c r="C966" s="3191" t="s">
        <v>5169</v>
      </c>
      <c r="D966" s="3192" t="s">
        <v>5786</v>
      </c>
      <c r="E966" s="3191" t="s">
        <v>4844</v>
      </c>
      <c r="F966" s="3193" t="s">
        <v>5171</v>
      </c>
      <c r="G966" s="3197">
        <v>2169</v>
      </c>
      <c r="H966" s="3191" t="s">
        <v>4982</v>
      </c>
      <c r="I966" s="3191" t="s">
        <v>6148</v>
      </c>
      <c r="J966" s="3194">
        <v>35.07</v>
      </c>
      <c r="K966" s="3194">
        <v>11.64</v>
      </c>
      <c r="L966" s="3196"/>
    </row>
    <row r="967" spans="1:12">
      <c r="A967" s="3190">
        <v>966</v>
      </c>
      <c r="B967" s="3191" t="s">
        <v>5749</v>
      </c>
      <c r="C967" s="3191" t="s">
        <v>4007</v>
      </c>
      <c r="D967" s="3192" t="s">
        <v>5786</v>
      </c>
      <c r="E967" s="3191" t="s">
        <v>6010</v>
      </c>
      <c r="F967" s="3193" t="s">
        <v>4009</v>
      </c>
      <c r="G967" s="3197">
        <v>2170</v>
      </c>
      <c r="H967" s="3191" t="s">
        <v>6149</v>
      </c>
      <c r="I967" s="3191" t="s">
        <v>4983</v>
      </c>
      <c r="J967" s="3194">
        <v>35.07</v>
      </c>
      <c r="K967" s="3194">
        <v>11.64</v>
      </c>
      <c r="L967" s="3196"/>
    </row>
    <row r="968" spans="1:12">
      <c r="A968" s="3190">
        <v>967</v>
      </c>
      <c r="B968" s="3191" t="s">
        <v>4583</v>
      </c>
      <c r="C968" s="3191" t="s">
        <v>5169</v>
      </c>
      <c r="D968" s="3192" t="s">
        <v>5786</v>
      </c>
      <c r="E968" s="3191" t="s">
        <v>4844</v>
      </c>
      <c r="F968" s="3193" t="s">
        <v>5171</v>
      </c>
      <c r="G968" s="3197">
        <v>2171</v>
      </c>
      <c r="H968" s="3191" t="s">
        <v>4984</v>
      </c>
      <c r="I968" s="3191" t="s">
        <v>6150</v>
      </c>
      <c r="J968" s="3194">
        <v>35.07</v>
      </c>
      <c r="K968" s="3194">
        <v>11.64</v>
      </c>
      <c r="L968" s="3196"/>
    </row>
    <row r="969" spans="1:12">
      <c r="A969" s="3190">
        <v>968</v>
      </c>
      <c r="B969" s="3191" t="s">
        <v>5749</v>
      </c>
      <c r="C969" s="3191" t="s">
        <v>4007</v>
      </c>
      <c r="D969" s="3192" t="s">
        <v>5786</v>
      </c>
      <c r="E969" s="3191" t="s">
        <v>6010</v>
      </c>
      <c r="F969" s="3193" t="s">
        <v>4009</v>
      </c>
      <c r="G969" s="3197">
        <v>2172</v>
      </c>
      <c r="H969" s="3191" t="s">
        <v>6151</v>
      </c>
      <c r="I969" s="3191" t="s">
        <v>4985</v>
      </c>
      <c r="J969" s="3194">
        <v>35.07</v>
      </c>
      <c r="K969" s="3194">
        <v>11.64</v>
      </c>
      <c r="L969" s="3196"/>
    </row>
    <row r="970" spans="1:12">
      <c r="A970" s="3190">
        <v>969</v>
      </c>
      <c r="B970" s="3191" t="s">
        <v>4583</v>
      </c>
      <c r="C970" s="3191" t="s">
        <v>5169</v>
      </c>
      <c r="D970" s="3192" t="s">
        <v>5786</v>
      </c>
      <c r="E970" s="3191" t="s">
        <v>4844</v>
      </c>
      <c r="F970" s="3193" t="s">
        <v>5171</v>
      </c>
      <c r="G970" s="3197">
        <v>2173</v>
      </c>
      <c r="H970" s="3191" t="s">
        <v>4986</v>
      </c>
      <c r="I970" s="3191" t="s">
        <v>6152</v>
      </c>
      <c r="J970" s="3194">
        <v>35.07</v>
      </c>
      <c r="K970" s="3194">
        <v>11.64</v>
      </c>
      <c r="L970" s="3196"/>
    </row>
    <row r="971" spans="1:12">
      <c r="A971" s="3190">
        <v>970</v>
      </c>
      <c r="B971" s="3191" t="s">
        <v>5749</v>
      </c>
      <c r="C971" s="3191" t="s">
        <v>4007</v>
      </c>
      <c r="D971" s="3192" t="s">
        <v>5786</v>
      </c>
      <c r="E971" s="3191" t="s">
        <v>6010</v>
      </c>
      <c r="F971" s="3193" t="s">
        <v>4009</v>
      </c>
      <c r="G971" s="3197">
        <v>2174</v>
      </c>
      <c r="H971" s="3191" t="s">
        <v>6153</v>
      </c>
      <c r="I971" s="3191" t="s">
        <v>4987</v>
      </c>
      <c r="J971" s="3194">
        <v>35.07</v>
      </c>
      <c r="K971" s="3194">
        <v>11.64</v>
      </c>
      <c r="L971" s="3196"/>
    </row>
    <row r="972" spans="1:12">
      <c r="A972" s="3190">
        <v>971</v>
      </c>
      <c r="B972" s="3191" t="s">
        <v>4583</v>
      </c>
      <c r="C972" s="3191" t="s">
        <v>5169</v>
      </c>
      <c r="D972" s="3192" t="s">
        <v>5786</v>
      </c>
      <c r="E972" s="3191" t="s">
        <v>4844</v>
      </c>
      <c r="F972" s="3193" t="s">
        <v>5171</v>
      </c>
      <c r="G972" s="3197">
        <v>2175</v>
      </c>
      <c r="H972" s="3191" t="s">
        <v>4988</v>
      </c>
      <c r="I972" s="3191" t="s">
        <v>6154</v>
      </c>
      <c r="J972" s="3194">
        <v>35.07</v>
      </c>
      <c r="K972" s="3194">
        <v>11.64</v>
      </c>
      <c r="L972" s="3196"/>
    </row>
    <row r="973" spans="1:12">
      <c r="A973" s="3190">
        <v>972</v>
      </c>
      <c r="B973" s="3191" t="s">
        <v>5749</v>
      </c>
      <c r="C973" s="3191" t="s">
        <v>4007</v>
      </c>
      <c r="D973" s="3192" t="s">
        <v>5786</v>
      </c>
      <c r="E973" s="3191" t="s">
        <v>6010</v>
      </c>
      <c r="F973" s="3193" t="s">
        <v>4009</v>
      </c>
      <c r="G973" s="3197">
        <v>2176</v>
      </c>
      <c r="H973" s="3191" t="s">
        <v>6155</v>
      </c>
      <c r="I973" s="3191" t="s">
        <v>4989</v>
      </c>
      <c r="J973" s="3194">
        <v>35.07</v>
      </c>
      <c r="K973" s="3194">
        <v>11.64</v>
      </c>
      <c r="L973" s="3196"/>
    </row>
    <row r="974" spans="1:12">
      <c r="A974" s="3190">
        <v>973</v>
      </c>
      <c r="B974" s="3191" t="s">
        <v>4583</v>
      </c>
      <c r="C974" s="3191" t="s">
        <v>5169</v>
      </c>
      <c r="D974" s="3192" t="s">
        <v>5786</v>
      </c>
      <c r="E974" s="3191" t="s">
        <v>4844</v>
      </c>
      <c r="F974" s="3193" t="s">
        <v>5171</v>
      </c>
      <c r="G974" s="3197">
        <v>2177</v>
      </c>
      <c r="H974" s="3191" t="s">
        <v>4990</v>
      </c>
      <c r="I974" s="3191" t="s">
        <v>6156</v>
      </c>
      <c r="J974" s="3194">
        <v>35.07</v>
      </c>
      <c r="K974" s="3194">
        <v>11.64</v>
      </c>
      <c r="L974" s="3196"/>
    </row>
    <row r="975" spans="1:12">
      <c r="A975" s="3190">
        <v>974</v>
      </c>
      <c r="B975" s="3191" t="s">
        <v>5749</v>
      </c>
      <c r="C975" s="3191" t="s">
        <v>4007</v>
      </c>
      <c r="D975" s="3192" t="s">
        <v>5786</v>
      </c>
      <c r="E975" s="3191" t="s">
        <v>6010</v>
      </c>
      <c r="F975" s="3193" t="s">
        <v>4009</v>
      </c>
      <c r="G975" s="3197">
        <v>2178</v>
      </c>
      <c r="H975" s="3191" t="s">
        <v>6157</v>
      </c>
      <c r="I975" s="3191" t="s">
        <v>4991</v>
      </c>
      <c r="J975" s="3194">
        <v>35.07</v>
      </c>
      <c r="K975" s="3194">
        <v>11.64</v>
      </c>
      <c r="L975" s="3196"/>
    </row>
    <row r="976" spans="1:12">
      <c r="A976" s="3190">
        <v>975</v>
      </c>
      <c r="B976" s="3191" t="s">
        <v>4583</v>
      </c>
      <c r="C976" s="3191" t="s">
        <v>5169</v>
      </c>
      <c r="D976" s="3192" t="s">
        <v>5747</v>
      </c>
      <c r="E976" s="3191" t="s">
        <v>4844</v>
      </c>
      <c r="F976" s="3193" t="s">
        <v>5171</v>
      </c>
      <c r="G976" s="3197">
        <v>2179</v>
      </c>
      <c r="H976" s="3191" t="s">
        <v>4992</v>
      </c>
      <c r="I976" s="3191" t="s">
        <v>6158</v>
      </c>
      <c r="J976" s="3194">
        <v>35.07</v>
      </c>
      <c r="K976" s="3194">
        <v>11.64</v>
      </c>
      <c r="L976" s="3196"/>
    </row>
    <row r="977" spans="1:12">
      <c r="A977" s="3190">
        <v>976</v>
      </c>
      <c r="B977" s="3191" t="s">
        <v>5749</v>
      </c>
      <c r="C977" s="3191" t="s">
        <v>4007</v>
      </c>
      <c r="D977" s="3192" t="s">
        <v>5747</v>
      </c>
      <c r="E977" s="3191" t="s">
        <v>6010</v>
      </c>
      <c r="F977" s="3193" t="s">
        <v>4009</v>
      </c>
      <c r="G977" s="3197">
        <v>2180</v>
      </c>
      <c r="H977" s="3191" t="s">
        <v>6159</v>
      </c>
      <c r="I977" s="3191" t="s">
        <v>4993</v>
      </c>
      <c r="J977" s="3194">
        <v>35.07</v>
      </c>
      <c r="K977" s="3194">
        <v>11.64</v>
      </c>
      <c r="L977" s="3196"/>
    </row>
    <row r="978" spans="1:12">
      <c r="A978" s="3190">
        <v>977</v>
      </c>
      <c r="B978" s="3191" t="s">
        <v>4583</v>
      </c>
      <c r="C978" s="3191" t="s">
        <v>5169</v>
      </c>
      <c r="D978" s="3192" t="s">
        <v>5747</v>
      </c>
      <c r="E978" s="3191" t="s">
        <v>4844</v>
      </c>
      <c r="F978" s="3193" t="s">
        <v>5171</v>
      </c>
      <c r="G978" s="3197">
        <v>2182</v>
      </c>
      <c r="H978" s="3191" t="s">
        <v>4994</v>
      </c>
      <c r="I978" s="3191" t="s">
        <v>6160</v>
      </c>
      <c r="J978" s="3194">
        <v>35.07</v>
      </c>
      <c r="K978" s="3194">
        <v>11.64</v>
      </c>
      <c r="L978" s="3196"/>
    </row>
    <row r="979" spans="1:12">
      <c r="A979" s="3190">
        <v>978</v>
      </c>
      <c r="B979" s="3191" t="s">
        <v>5749</v>
      </c>
      <c r="C979" s="3191" t="s">
        <v>4007</v>
      </c>
      <c r="D979" s="3192" t="s">
        <v>5747</v>
      </c>
      <c r="E979" s="3191" t="s">
        <v>6010</v>
      </c>
      <c r="F979" s="3193" t="s">
        <v>4009</v>
      </c>
      <c r="G979" s="3197">
        <v>2183</v>
      </c>
      <c r="H979" s="3191" t="s">
        <v>6161</v>
      </c>
      <c r="I979" s="3191" t="s">
        <v>4995</v>
      </c>
      <c r="J979" s="3194">
        <v>35.07</v>
      </c>
      <c r="K979" s="3194">
        <v>11.64</v>
      </c>
      <c r="L979" s="3196"/>
    </row>
    <row r="980" spans="1:12">
      <c r="A980" s="3190">
        <v>979</v>
      </c>
      <c r="B980" s="3191" t="s">
        <v>4583</v>
      </c>
      <c r="C980" s="3191" t="s">
        <v>5169</v>
      </c>
      <c r="D980" s="3192" t="s">
        <v>5747</v>
      </c>
      <c r="E980" s="3191" t="s">
        <v>4844</v>
      </c>
      <c r="F980" s="3193" t="s">
        <v>5171</v>
      </c>
      <c r="G980" s="3197">
        <v>2184</v>
      </c>
      <c r="H980" s="3191" t="s">
        <v>4996</v>
      </c>
      <c r="I980" s="3191" t="s">
        <v>6162</v>
      </c>
      <c r="J980" s="3194">
        <v>35.07</v>
      </c>
      <c r="K980" s="3194">
        <v>11.64</v>
      </c>
      <c r="L980" s="3196"/>
    </row>
    <row r="981" spans="1:12">
      <c r="A981" s="3190">
        <v>980</v>
      </c>
      <c r="B981" s="3191" t="s">
        <v>5749</v>
      </c>
      <c r="C981" s="3191" t="s">
        <v>4007</v>
      </c>
      <c r="D981" s="3192" t="s">
        <v>5747</v>
      </c>
      <c r="E981" s="3191" t="s">
        <v>6010</v>
      </c>
      <c r="F981" s="3193" t="s">
        <v>4009</v>
      </c>
      <c r="G981" s="3197">
        <v>2185</v>
      </c>
      <c r="H981" s="3191" t="s">
        <v>6163</v>
      </c>
      <c r="I981" s="3191" t="s">
        <v>4997</v>
      </c>
      <c r="J981" s="3194">
        <v>35.07</v>
      </c>
      <c r="K981" s="3194">
        <v>11.64</v>
      </c>
      <c r="L981" s="3196"/>
    </row>
    <row r="982" spans="1:12">
      <c r="A982" s="3190">
        <v>981</v>
      </c>
      <c r="B982" s="3191" t="s">
        <v>4583</v>
      </c>
      <c r="C982" s="3191" t="s">
        <v>5169</v>
      </c>
      <c r="D982" s="3192" t="s">
        <v>5747</v>
      </c>
      <c r="E982" s="3191" t="s">
        <v>4844</v>
      </c>
      <c r="F982" s="3193" t="s">
        <v>5171</v>
      </c>
      <c r="G982" s="3197">
        <v>2186</v>
      </c>
      <c r="H982" s="3191" t="s">
        <v>4998</v>
      </c>
      <c r="I982" s="3191" t="s">
        <v>6164</v>
      </c>
      <c r="J982" s="3194">
        <v>35.07</v>
      </c>
      <c r="K982" s="3194">
        <v>11.64</v>
      </c>
      <c r="L982" s="3196"/>
    </row>
    <row r="983" spans="1:12">
      <c r="A983" s="3190">
        <v>982</v>
      </c>
      <c r="B983" s="3191" t="s">
        <v>5749</v>
      </c>
      <c r="C983" s="3191" t="s">
        <v>4007</v>
      </c>
      <c r="D983" s="3192" t="s">
        <v>5747</v>
      </c>
      <c r="E983" s="3191" t="s">
        <v>6010</v>
      </c>
      <c r="F983" s="3193" t="s">
        <v>4009</v>
      </c>
      <c r="G983" s="3197">
        <v>2187</v>
      </c>
      <c r="H983" s="3191" t="s">
        <v>6165</v>
      </c>
      <c r="I983" s="3191" t="s">
        <v>4999</v>
      </c>
      <c r="J983" s="3194">
        <v>35.07</v>
      </c>
      <c r="K983" s="3194">
        <v>11.64</v>
      </c>
      <c r="L983" s="3196"/>
    </row>
    <row r="984" spans="1:12">
      <c r="A984" s="3190">
        <v>983</v>
      </c>
      <c r="B984" s="3191" t="s">
        <v>4583</v>
      </c>
      <c r="C984" s="3191" t="s">
        <v>5169</v>
      </c>
      <c r="D984" s="3192" t="s">
        <v>5747</v>
      </c>
      <c r="E984" s="3191" t="s">
        <v>4844</v>
      </c>
      <c r="F984" s="3193" t="s">
        <v>5171</v>
      </c>
      <c r="G984" s="3197">
        <v>2191</v>
      </c>
      <c r="H984" s="3191" t="s">
        <v>5000</v>
      </c>
      <c r="I984" s="3191" t="s">
        <v>6166</v>
      </c>
      <c r="J984" s="3194">
        <v>35.07</v>
      </c>
      <c r="K984" s="3194">
        <v>11.64</v>
      </c>
      <c r="L984" s="3196"/>
    </row>
    <row r="985" spans="1:12">
      <c r="A985" s="3190">
        <v>984</v>
      </c>
      <c r="B985" s="3191" t="s">
        <v>5749</v>
      </c>
      <c r="C985" s="3191" t="s">
        <v>4007</v>
      </c>
      <c r="D985" s="3192" t="s">
        <v>5747</v>
      </c>
      <c r="E985" s="3191" t="s">
        <v>6010</v>
      </c>
      <c r="F985" s="3193" t="s">
        <v>4009</v>
      </c>
      <c r="G985" s="3197">
        <v>2192</v>
      </c>
      <c r="H985" s="3191" t="s">
        <v>6167</v>
      </c>
      <c r="I985" s="3191" t="s">
        <v>5001</v>
      </c>
      <c r="J985" s="3194">
        <v>35.07</v>
      </c>
      <c r="K985" s="3194">
        <v>11.64</v>
      </c>
      <c r="L985" s="3196"/>
    </row>
    <row r="986" spans="1:12">
      <c r="A986" s="3190">
        <v>985</v>
      </c>
      <c r="B986" s="3191" t="s">
        <v>4583</v>
      </c>
      <c r="C986" s="3191" t="s">
        <v>5169</v>
      </c>
      <c r="D986" s="3192" t="s">
        <v>5747</v>
      </c>
      <c r="E986" s="3191" t="s">
        <v>4844</v>
      </c>
      <c r="F986" s="3193" t="s">
        <v>5171</v>
      </c>
      <c r="G986" s="3197">
        <v>2193</v>
      </c>
      <c r="H986" s="3191" t="s">
        <v>5002</v>
      </c>
      <c r="I986" s="3191" t="s">
        <v>6168</v>
      </c>
      <c r="J986" s="3194">
        <v>35.07</v>
      </c>
      <c r="K986" s="3194">
        <v>11.64</v>
      </c>
      <c r="L986" s="3196"/>
    </row>
    <row r="987" spans="1:12">
      <c r="A987" s="3190">
        <v>986</v>
      </c>
      <c r="B987" s="3191" t="s">
        <v>5749</v>
      </c>
      <c r="C987" s="3191" t="s">
        <v>4007</v>
      </c>
      <c r="D987" s="3192" t="s">
        <v>5747</v>
      </c>
      <c r="E987" s="3191" t="s">
        <v>6010</v>
      </c>
      <c r="F987" s="3193" t="s">
        <v>4009</v>
      </c>
      <c r="G987" s="3197">
        <v>2194</v>
      </c>
      <c r="H987" s="3191" t="s">
        <v>6169</v>
      </c>
      <c r="I987" s="3191" t="s">
        <v>5003</v>
      </c>
      <c r="J987" s="3194">
        <v>35.07</v>
      </c>
      <c r="K987" s="3194">
        <v>11.64</v>
      </c>
      <c r="L987" s="3196"/>
    </row>
    <row r="988" spans="1:12">
      <c r="A988" s="3190">
        <v>987</v>
      </c>
      <c r="B988" s="3191" t="s">
        <v>4583</v>
      </c>
      <c r="C988" s="3191" t="s">
        <v>5169</v>
      </c>
      <c r="D988" s="3192" t="s">
        <v>5747</v>
      </c>
      <c r="E988" s="3191" t="s">
        <v>4844</v>
      </c>
      <c r="F988" s="3193" t="s">
        <v>5171</v>
      </c>
      <c r="G988" s="3197">
        <v>2195</v>
      </c>
      <c r="H988" s="3191" t="s">
        <v>5004</v>
      </c>
      <c r="I988" s="3191" t="s">
        <v>6170</v>
      </c>
      <c r="J988" s="3194">
        <v>35.07</v>
      </c>
      <c r="K988" s="3194">
        <v>11.64</v>
      </c>
      <c r="L988" s="3196"/>
    </row>
    <row r="989" spans="1:12">
      <c r="A989" s="3190">
        <v>988</v>
      </c>
      <c r="B989" s="3191" t="s">
        <v>5749</v>
      </c>
      <c r="C989" s="3191" t="s">
        <v>4007</v>
      </c>
      <c r="D989" s="3192" t="s">
        <v>5747</v>
      </c>
      <c r="E989" s="3191" t="s">
        <v>6010</v>
      </c>
      <c r="F989" s="3193" t="s">
        <v>4009</v>
      </c>
      <c r="G989" s="3197">
        <v>2196</v>
      </c>
      <c r="H989" s="3191" t="s">
        <v>6171</v>
      </c>
      <c r="I989" s="3191" t="s">
        <v>5005</v>
      </c>
      <c r="J989" s="3194">
        <v>35.07</v>
      </c>
      <c r="K989" s="3194">
        <v>11.64</v>
      </c>
      <c r="L989" s="3196"/>
    </row>
    <row r="990" spans="1:12">
      <c r="A990" s="3190">
        <v>989</v>
      </c>
      <c r="B990" s="3191" t="s">
        <v>4583</v>
      </c>
      <c r="C990" s="3191" t="s">
        <v>5169</v>
      </c>
      <c r="D990" s="3192" t="s">
        <v>5747</v>
      </c>
      <c r="E990" s="3191" t="s">
        <v>4844</v>
      </c>
      <c r="F990" s="3193" t="s">
        <v>5171</v>
      </c>
      <c r="G990" s="3197">
        <v>2197</v>
      </c>
      <c r="H990" s="3191" t="s">
        <v>5006</v>
      </c>
      <c r="I990" s="3191" t="s">
        <v>6172</v>
      </c>
      <c r="J990" s="3194">
        <v>35.07</v>
      </c>
      <c r="K990" s="3194">
        <v>11.64</v>
      </c>
      <c r="L990" s="3196"/>
    </row>
    <row r="991" spans="1:12">
      <c r="A991" s="3190">
        <v>990</v>
      </c>
      <c r="B991" s="3191" t="s">
        <v>5749</v>
      </c>
      <c r="C991" s="3191" t="s">
        <v>4007</v>
      </c>
      <c r="D991" s="3192" t="s">
        <v>5747</v>
      </c>
      <c r="E991" s="3191" t="s">
        <v>6010</v>
      </c>
      <c r="F991" s="3193" t="s">
        <v>4009</v>
      </c>
      <c r="G991" s="3197">
        <v>2198</v>
      </c>
      <c r="H991" s="3191" t="s">
        <v>6173</v>
      </c>
      <c r="I991" s="3191" t="s">
        <v>5007</v>
      </c>
      <c r="J991" s="3203">
        <v>35.799999999999997</v>
      </c>
      <c r="K991" s="3194">
        <v>11.88</v>
      </c>
      <c r="L991" s="3196"/>
    </row>
    <row r="992" spans="1:12">
      <c r="A992" s="3190">
        <v>991</v>
      </c>
      <c r="B992" s="3191" t="s">
        <v>4583</v>
      </c>
      <c r="C992" s="3191" t="s">
        <v>5169</v>
      </c>
      <c r="D992" s="3192" t="s">
        <v>5747</v>
      </c>
      <c r="E992" s="3191" t="s">
        <v>4844</v>
      </c>
      <c r="F992" s="3193" t="s">
        <v>5171</v>
      </c>
      <c r="G992" s="3197">
        <v>2199</v>
      </c>
      <c r="H992" s="3191" t="s">
        <v>5008</v>
      </c>
      <c r="I992" s="3191" t="s">
        <v>6174</v>
      </c>
      <c r="J992" s="3194">
        <v>39.14</v>
      </c>
      <c r="K992" s="3194">
        <v>12.99</v>
      </c>
      <c r="L992" s="3196"/>
    </row>
    <row r="993" spans="1:12">
      <c r="A993" s="3190">
        <v>992</v>
      </c>
      <c r="B993" s="3191" t="s">
        <v>5749</v>
      </c>
      <c r="C993" s="3191" t="s">
        <v>4007</v>
      </c>
      <c r="D993" s="3192" t="s">
        <v>5747</v>
      </c>
      <c r="E993" s="3191" t="s">
        <v>6010</v>
      </c>
      <c r="F993" s="3193" t="s">
        <v>4009</v>
      </c>
      <c r="G993" s="3197">
        <v>2200</v>
      </c>
      <c r="H993" s="3191" t="s">
        <v>6175</v>
      </c>
      <c r="I993" s="3191" t="s">
        <v>5009</v>
      </c>
      <c r="J993" s="3194">
        <v>39.14</v>
      </c>
      <c r="K993" s="3194">
        <v>12.99</v>
      </c>
      <c r="L993" s="3196"/>
    </row>
    <row r="994" spans="1:12">
      <c r="A994" s="3190">
        <v>993</v>
      </c>
      <c r="B994" s="3191" t="s">
        <v>4583</v>
      </c>
      <c r="C994" s="3191" t="s">
        <v>5169</v>
      </c>
      <c r="D994" s="3192" t="s">
        <v>5747</v>
      </c>
      <c r="E994" s="3191" t="s">
        <v>4844</v>
      </c>
      <c r="F994" s="3193" t="s">
        <v>5171</v>
      </c>
      <c r="G994" s="3197">
        <v>2201</v>
      </c>
      <c r="H994" s="3191" t="s">
        <v>5010</v>
      </c>
      <c r="I994" s="3191" t="s">
        <v>6176</v>
      </c>
      <c r="J994" s="3194">
        <v>33.630000000000003</v>
      </c>
      <c r="K994" s="3194">
        <v>11.16</v>
      </c>
      <c r="L994" s="3196"/>
    </row>
    <row r="995" spans="1:12">
      <c r="A995" s="3190">
        <v>994</v>
      </c>
      <c r="B995" s="3191" t="s">
        <v>5749</v>
      </c>
      <c r="C995" s="3191" t="s">
        <v>4007</v>
      </c>
      <c r="D995" s="3192" t="s">
        <v>5747</v>
      </c>
      <c r="E995" s="3191" t="s">
        <v>6010</v>
      </c>
      <c r="F995" s="3193" t="s">
        <v>4009</v>
      </c>
      <c r="G995" s="3197">
        <v>2202</v>
      </c>
      <c r="H995" s="3191" t="s">
        <v>6177</v>
      </c>
      <c r="I995" s="3191" t="s">
        <v>5011</v>
      </c>
      <c r="J995" s="3194">
        <v>33.630000000000003</v>
      </c>
      <c r="K995" s="3194">
        <v>11.16</v>
      </c>
      <c r="L995" s="3196"/>
    </row>
    <row r="996" spans="1:12">
      <c r="A996" s="3190">
        <v>995</v>
      </c>
      <c r="B996" s="3191" t="s">
        <v>4583</v>
      </c>
      <c r="C996" s="3191" t="s">
        <v>5169</v>
      </c>
      <c r="D996" s="3192" t="s">
        <v>5747</v>
      </c>
      <c r="E996" s="3191" t="s">
        <v>4844</v>
      </c>
      <c r="F996" s="3193" t="s">
        <v>5171</v>
      </c>
      <c r="G996" s="3197">
        <v>2203</v>
      </c>
      <c r="H996" s="3191" t="s">
        <v>5012</v>
      </c>
      <c r="I996" s="3191" t="s">
        <v>6178</v>
      </c>
      <c r="J996" s="3194">
        <v>33.630000000000003</v>
      </c>
      <c r="K996" s="3194">
        <v>11.16</v>
      </c>
      <c r="L996" s="3196"/>
    </row>
    <row r="997" spans="1:12">
      <c r="A997" s="3190">
        <v>996</v>
      </c>
      <c r="B997" s="3191" t="s">
        <v>5749</v>
      </c>
      <c r="C997" s="3191" t="s">
        <v>4007</v>
      </c>
      <c r="D997" s="3192" t="s">
        <v>5747</v>
      </c>
      <c r="E997" s="3191" t="s">
        <v>6010</v>
      </c>
      <c r="F997" s="3193" t="s">
        <v>4009</v>
      </c>
      <c r="G997" s="3197">
        <v>2204</v>
      </c>
      <c r="H997" s="3191" t="s">
        <v>6179</v>
      </c>
      <c r="I997" s="3191" t="s">
        <v>5013</v>
      </c>
      <c r="J997" s="3203">
        <v>35.799999999999997</v>
      </c>
      <c r="K997" s="3194">
        <v>11.88</v>
      </c>
      <c r="L997" s="3196"/>
    </row>
    <row r="998" spans="1:12">
      <c r="A998" s="3190">
        <v>997</v>
      </c>
      <c r="B998" s="3191" t="s">
        <v>4583</v>
      </c>
      <c r="C998" s="3191" t="s">
        <v>5169</v>
      </c>
      <c r="D998" s="3192" t="s">
        <v>5747</v>
      </c>
      <c r="E998" s="3191" t="s">
        <v>4844</v>
      </c>
      <c r="F998" s="3193" t="s">
        <v>5171</v>
      </c>
      <c r="G998" s="3197">
        <v>2205</v>
      </c>
      <c r="H998" s="3191" t="s">
        <v>5014</v>
      </c>
      <c r="I998" s="3191" t="s">
        <v>6180</v>
      </c>
      <c r="J998" s="3194">
        <v>35.07</v>
      </c>
      <c r="K998" s="3194">
        <v>11.64</v>
      </c>
      <c r="L998" s="3196"/>
    </row>
    <row r="999" spans="1:12">
      <c r="A999" s="3190">
        <v>998</v>
      </c>
      <c r="B999" s="3191" t="s">
        <v>5749</v>
      </c>
      <c r="C999" s="3191" t="s">
        <v>4007</v>
      </c>
      <c r="D999" s="3192" t="s">
        <v>5747</v>
      </c>
      <c r="E999" s="3191" t="s">
        <v>6010</v>
      </c>
      <c r="F999" s="3193" t="s">
        <v>4009</v>
      </c>
      <c r="G999" s="3197">
        <v>2206</v>
      </c>
      <c r="H999" s="3191" t="s">
        <v>6181</v>
      </c>
      <c r="I999" s="3191" t="s">
        <v>5015</v>
      </c>
      <c r="J999" s="3194">
        <v>35.07</v>
      </c>
      <c r="K999" s="3194">
        <v>11.64</v>
      </c>
      <c r="L999" s="3196"/>
    </row>
    <row r="1000" spans="1:12">
      <c r="A1000" s="3190">
        <v>999</v>
      </c>
      <c r="B1000" s="3191" t="s">
        <v>4583</v>
      </c>
      <c r="C1000" s="3191" t="s">
        <v>5169</v>
      </c>
      <c r="D1000" s="3192" t="s">
        <v>5747</v>
      </c>
      <c r="E1000" s="3191" t="s">
        <v>4844</v>
      </c>
      <c r="F1000" s="3193" t="s">
        <v>5171</v>
      </c>
      <c r="G1000" s="3197">
        <v>2207</v>
      </c>
      <c r="H1000" s="3191" t="s">
        <v>5016</v>
      </c>
      <c r="I1000" s="3191" t="s">
        <v>6182</v>
      </c>
      <c r="J1000" s="3194">
        <v>35.07</v>
      </c>
      <c r="K1000" s="3194">
        <v>11.64</v>
      </c>
      <c r="L1000" s="3196"/>
    </row>
    <row r="1001" spans="1:12">
      <c r="A1001" s="3190">
        <v>1000</v>
      </c>
      <c r="B1001" s="3191" t="s">
        <v>5749</v>
      </c>
      <c r="C1001" s="3191" t="s">
        <v>4007</v>
      </c>
      <c r="D1001" s="3192" t="s">
        <v>5747</v>
      </c>
      <c r="E1001" s="3191" t="s">
        <v>6010</v>
      </c>
      <c r="F1001" s="3193" t="s">
        <v>4009</v>
      </c>
      <c r="G1001" s="3197">
        <v>2208</v>
      </c>
      <c r="H1001" s="3191" t="s">
        <v>6183</v>
      </c>
      <c r="I1001" s="3191" t="s">
        <v>5017</v>
      </c>
      <c r="J1001" s="3194">
        <v>35.07</v>
      </c>
      <c r="K1001" s="3194">
        <v>11.64</v>
      </c>
      <c r="L1001" s="3196"/>
    </row>
    <row r="1002" spans="1:12">
      <c r="A1002" s="3190">
        <v>1001</v>
      </c>
      <c r="B1002" s="3191" t="s">
        <v>4583</v>
      </c>
      <c r="C1002" s="3191" t="s">
        <v>5169</v>
      </c>
      <c r="D1002" s="3192" t="s">
        <v>5747</v>
      </c>
      <c r="E1002" s="3191" t="s">
        <v>4844</v>
      </c>
      <c r="F1002" s="3193" t="s">
        <v>5171</v>
      </c>
      <c r="G1002" s="3197">
        <v>2209</v>
      </c>
      <c r="H1002" s="3191" t="s">
        <v>5018</v>
      </c>
      <c r="I1002" s="3191" t="s">
        <v>6184</v>
      </c>
      <c r="J1002" s="3194">
        <v>35.07</v>
      </c>
      <c r="K1002" s="3194">
        <v>11.64</v>
      </c>
      <c r="L1002" s="3196"/>
    </row>
    <row r="1003" spans="1:12">
      <c r="A1003" s="3190">
        <v>1002</v>
      </c>
      <c r="B1003" s="3198" t="s">
        <v>5749</v>
      </c>
      <c r="C1003" s="3191" t="s">
        <v>4007</v>
      </c>
      <c r="D1003" s="3192" t="s">
        <v>5747</v>
      </c>
      <c r="E1003" s="3191" t="s">
        <v>6010</v>
      </c>
      <c r="F1003" s="3193" t="s">
        <v>4009</v>
      </c>
      <c r="G1003" s="3197">
        <v>2210</v>
      </c>
      <c r="H1003" s="3191" t="s">
        <v>6185</v>
      </c>
      <c r="I1003" s="3191" t="s">
        <v>5019</v>
      </c>
      <c r="J1003" s="3194">
        <v>35.07</v>
      </c>
      <c r="K1003" s="3194">
        <v>11.64</v>
      </c>
      <c r="L1003" s="3196"/>
    </row>
    <row r="1004" spans="1:12">
      <c r="A1004" s="3190">
        <v>1003</v>
      </c>
      <c r="B1004" s="3191" t="s">
        <v>4583</v>
      </c>
      <c r="C1004" s="3191" t="s">
        <v>5169</v>
      </c>
      <c r="D1004" s="3192" t="s">
        <v>5747</v>
      </c>
      <c r="E1004" s="3191" t="s">
        <v>4844</v>
      </c>
      <c r="F1004" s="3193" t="s">
        <v>5171</v>
      </c>
      <c r="G1004" s="3197">
        <v>2212</v>
      </c>
      <c r="H1004" s="3191" t="s">
        <v>5020</v>
      </c>
      <c r="I1004" s="3191" t="s">
        <v>6186</v>
      </c>
      <c r="J1004" s="3194">
        <v>35.07</v>
      </c>
      <c r="K1004" s="3194">
        <v>11.64</v>
      </c>
      <c r="L1004" s="3196"/>
    </row>
    <row r="1005" spans="1:12">
      <c r="A1005" s="3190">
        <v>1004</v>
      </c>
      <c r="B1005" s="3191" t="s">
        <v>5749</v>
      </c>
      <c r="C1005" s="3191" t="s">
        <v>4007</v>
      </c>
      <c r="D1005" s="3192" t="s">
        <v>5747</v>
      </c>
      <c r="E1005" s="3191" t="s">
        <v>6010</v>
      </c>
      <c r="F1005" s="3193" t="s">
        <v>4009</v>
      </c>
      <c r="G1005" s="3197">
        <v>2213</v>
      </c>
      <c r="H1005" s="3191" t="s">
        <v>6187</v>
      </c>
      <c r="I1005" s="3191" t="s">
        <v>5021</v>
      </c>
      <c r="J1005" s="3194">
        <v>35.07</v>
      </c>
      <c r="K1005" s="3194">
        <v>11.64</v>
      </c>
      <c r="L1005" s="3196"/>
    </row>
    <row r="1006" spans="1:12">
      <c r="A1006" s="3190">
        <v>1005</v>
      </c>
      <c r="B1006" s="3191" t="s">
        <v>4583</v>
      </c>
      <c r="C1006" s="3191" t="s">
        <v>5169</v>
      </c>
      <c r="D1006" s="3192" t="s">
        <v>5747</v>
      </c>
      <c r="E1006" s="3191" t="s">
        <v>4844</v>
      </c>
      <c r="F1006" s="3193" t="s">
        <v>5171</v>
      </c>
      <c r="G1006" s="3197">
        <v>2214</v>
      </c>
      <c r="H1006" s="3191" t="s">
        <v>5022</v>
      </c>
      <c r="I1006" s="3191" t="s">
        <v>6188</v>
      </c>
      <c r="J1006" s="3194">
        <v>35.07</v>
      </c>
      <c r="K1006" s="3194">
        <v>11.64</v>
      </c>
      <c r="L1006" s="3196"/>
    </row>
    <row r="1007" spans="1:12">
      <c r="A1007" s="3190">
        <v>1006</v>
      </c>
      <c r="B1007" s="3198" t="s">
        <v>5749</v>
      </c>
      <c r="C1007" s="3191" t="s">
        <v>4007</v>
      </c>
      <c r="D1007" s="3192" t="s">
        <v>5747</v>
      </c>
      <c r="E1007" s="3191" t="s">
        <v>6010</v>
      </c>
      <c r="F1007" s="3193" t="s">
        <v>4009</v>
      </c>
      <c r="G1007" s="3197">
        <v>2215</v>
      </c>
      <c r="H1007" s="3191" t="s">
        <v>6189</v>
      </c>
      <c r="I1007" s="3191" t="s">
        <v>5023</v>
      </c>
      <c r="J1007" s="3194">
        <v>35.07</v>
      </c>
      <c r="K1007" s="3232">
        <v>11.64</v>
      </c>
      <c r="L1007" s="3196"/>
    </row>
    <row r="1008" spans="1:12">
      <c r="A1008" s="3190">
        <v>1007</v>
      </c>
      <c r="B1008" s="3191" t="s">
        <v>4583</v>
      </c>
      <c r="C1008" s="3191" t="s">
        <v>5169</v>
      </c>
      <c r="D1008" s="3192" t="s">
        <v>5747</v>
      </c>
      <c r="E1008" s="3191" t="s">
        <v>4844</v>
      </c>
      <c r="F1008" s="3193" t="s">
        <v>5171</v>
      </c>
      <c r="G1008" s="3197">
        <v>2216</v>
      </c>
      <c r="H1008" s="3191" t="s">
        <v>5024</v>
      </c>
      <c r="I1008" s="3191" t="s">
        <v>6190</v>
      </c>
      <c r="J1008" s="3194">
        <v>35.07</v>
      </c>
      <c r="K1008" s="3194">
        <v>11.64</v>
      </c>
      <c r="L1008" s="3196"/>
    </row>
    <row r="1009" spans="1:12">
      <c r="A1009" s="3190">
        <v>1008</v>
      </c>
      <c r="B1009" s="3191" t="s">
        <v>5749</v>
      </c>
      <c r="C1009" s="3191" t="s">
        <v>4007</v>
      </c>
      <c r="D1009" s="3192" t="s">
        <v>5747</v>
      </c>
      <c r="E1009" s="3191" t="s">
        <v>6010</v>
      </c>
      <c r="F1009" s="3193" t="s">
        <v>4009</v>
      </c>
      <c r="G1009" s="3197">
        <v>2217</v>
      </c>
      <c r="H1009" s="3191" t="s">
        <v>6191</v>
      </c>
      <c r="I1009" s="3191" t="s">
        <v>5025</v>
      </c>
      <c r="J1009" s="3194">
        <v>35.07</v>
      </c>
      <c r="K1009" s="3194">
        <v>11.64</v>
      </c>
      <c r="L1009" s="3196"/>
    </row>
    <row r="1010" spans="1:12">
      <c r="A1010" s="3190">
        <v>1009</v>
      </c>
      <c r="B1010" s="3191" t="s">
        <v>4583</v>
      </c>
      <c r="C1010" s="3191" t="s">
        <v>5169</v>
      </c>
      <c r="D1010" s="3192" t="s">
        <v>5747</v>
      </c>
      <c r="E1010" s="3191" t="s">
        <v>4844</v>
      </c>
      <c r="F1010" s="3207" t="s">
        <v>5756</v>
      </c>
      <c r="G1010" s="3197">
        <v>2218</v>
      </c>
      <c r="H1010" s="3191" t="s">
        <v>5026</v>
      </c>
      <c r="I1010" s="3191" t="s">
        <v>6192</v>
      </c>
      <c r="J1010" s="3194">
        <v>35.07</v>
      </c>
      <c r="K1010" s="3194">
        <v>11.64</v>
      </c>
      <c r="L1010" s="3196"/>
    </row>
    <row r="1011" spans="1:12">
      <c r="A1011" s="3190">
        <v>1010</v>
      </c>
      <c r="B1011" s="3191" t="s">
        <v>5749</v>
      </c>
      <c r="C1011" s="3191" t="s">
        <v>4007</v>
      </c>
      <c r="D1011" s="3192" t="s">
        <v>5747</v>
      </c>
      <c r="E1011" s="3191" t="s">
        <v>6010</v>
      </c>
      <c r="F1011" s="3207" t="s">
        <v>4591</v>
      </c>
      <c r="G1011" s="3197">
        <v>2219</v>
      </c>
      <c r="H1011" s="3191" t="s">
        <v>6193</v>
      </c>
      <c r="I1011" s="3191" t="s">
        <v>5027</v>
      </c>
      <c r="J1011" s="3203">
        <v>35.799999999999997</v>
      </c>
      <c r="K1011" s="3194">
        <v>11.88</v>
      </c>
      <c r="L1011" s="3196"/>
    </row>
    <row r="1012" spans="1:12">
      <c r="A1012" s="3190">
        <v>1011</v>
      </c>
      <c r="B1012" s="3191" t="s">
        <v>4583</v>
      </c>
      <c r="C1012" s="3191" t="s">
        <v>5169</v>
      </c>
      <c r="D1012" s="3192" t="s">
        <v>5747</v>
      </c>
      <c r="E1012" s="3191" t="s">
        <v>4844</v>
      </c>
      <c r="F1012" s="3207" t="s">
        <v>5756</v>
      </c>
      <c r="G1012" s="3197">
        <v>2220</v>
      </c>
      <c r="H1012" s="3191" t="s">
        <v>5028</v>
      </c>
      <c r="I1012" s="3191" t="s">
        <v>6194</v>
      </c>
      <c r="J1012" s="3194">
        <v>35.07</v>
      </c>
      <c r="K1012" s="3194">
        <v>11.64</v>
      </c>
      <c r="L1012" s="3196"/>
    </row>
    <row r="1013" spans="1:12">
      <c r="A1013" s="3190">
        <v>1012</v>
      </c>
      <c r="B1013" s="3191" t="s">
        <v>5749</v>
      </c>
      <c r="C1013" s="3191" t="s">
        <v>4007</v>
      </c>
      <c r="D1013" s="3192" t="s">
        <v>5747</v>
      </c>
      <c r="E1013" s="3191" t="s">
        <v>6010</v>
      </c>
      <c r="F1013" s="3207" t="s">
        <v>4591</v>
      </c>
      <c r="G1013" s="3197">
        <v>2221</v>
      </c>
      <c r="H1013" s="3191" t="s">
        <v>6195</v>
      </c>
      <c r="I1013" s="3191" t="s">
        <v>5029</v>
      </c>
      <c r="J1013" s="3194">
        <v>35.07</v>
      </c>
      <c r="K1013" s="3194">
        <v>11.64</v>
      </c>
      <c r="L1013" s="3196"/>
    </row>
    <row r="1014" spans="1:12">
      <c r="A1014" s="3190">
        <v>1013</v>
      </c>
      <c r="B1014" s="3191" t="s">
        <v>4583</v>
      </c>
      <c r="C1014" s="3191" t="s">
        <v>5169</v>
      </c>
      <c r="D1014" s="3192" t="s">
        <v>5747</v>
      </c>
      <c r="E1014" s="3191" t="s">
        <v>4844</v>
      </c>
      <c r="F1014" s="3193" t="s">
        <v>5171</v>
      </c>
      <c r="G1014" s="3197">
        <v>2222</v>
      </c>
      <c r="H1014" s="3191" t="s">
        <v>5030</v>
      </c>
      <c r="I1014" s="3191" t="s">
        <v>6196</v>
      </c>
      <c r="J1014" s="3194">
        <v>35.07</v>
      </c>
      <c r="K1014" s="3194">
        <v>11.64</v>
      </c>
      <c r="L1014" s="3196"/>
    </row>
    <row r="1015" spans="1:12">
      <c r="A1015" s="3190">
        <v>1014</v>
      </c>
      <c r="B1015" s="3191" t="s">
        <v>5749</v>
      </c>
      <c r="C1015" s="3191" t="s">
        <v>4007</v>
      </c>
      <c r="D1015" s="3192" t="s">
        <v>5747</v>
      </c>
      <c r="E1015" s="3191" t="s">
        <v>6010</v>
      </c>
      <c r="F1015" s="3193" t="s">
        <v>4009</v>
      </c>
      <c r="G1015" s="3197">
        <v>2223</v>
      </c>
      <c r="H1015" s="3191" t="s">
        <v>6197</v>
      </c>
      <c r="I1015" s="3191" t="s">
        <v>5031</v>
      </c>
      <c r="J1015" s="3194">
        <v>35.07</v>
      </c>
      <c r="K1015" s="3194">
        <v>11.64</v>
      </c>
      <c r="L1015" s="3196"/>
    </row>
    <row r="1016" spans="1:12">
      <c r="A1016" s="3190">
        <v>1015</v>
      </c>
      <c r="B1016" s="3191" t="s">
        <v>4583</v>
      </c>
      <c r="C1016" s="3191" t="s">
        <v>5169</v>
      </c>
      <c r="D1016" s="3192" t="s">
        <v>5747</v>
      </c>
      <c r="E1016" s="3191" t="s">
        <v>4844</v>
      </c>
      <c r="F1016" s="3193" t="s">
        <v>5171</v>
      </c>
      <c r="G1016" s="3197">
        <v>2224</v>
      </c>
      <c r="H1016" s="3191" t="s">
        <v>5032</v>
      </c>
      <c r="I1016" s="3191" t="s">
        <v>6198</v>
      </c>
      <c r="J1016" s="3194">
        <v>35.07</v>
      </c>
      <c r="K1016" s="3194">
        <v>11.64</v>
      </c>
      <c r="L1016" s="3196"/>
    </row>
    <row r="1017" spans="1:12">
      <c r="A1017" s="3190">
        <v>1016</v>
      </c>
      <c r="B1017" s="3191" t="s">
        <v>5749</v>
      </c>
      <c r="C1017" s="3191" t="s">
        <v>4007</v>
      </c>
      <c r="D1017" s="3192" t="s">
        <v>5747</v>
      </c>
      <c r="E1017" s="3191" t="s">
        <v>6010</v>
      </c>
      <c r="F1017" s="3193" t="s">
        <v>4009</v>
      </c>
      <c r="G1017" s="3197">
        <v>2225</v>
      </c>
      <c r="H1017" s="3191" t="s">
        <v>6199</v>
      </c>
      <c r="I1017" s="3191" t="s">
        <v>5033</v>
      </c>
      <c r="J1017" s="3194">
        <v>35.07</v>
      </c>
      <c r="K1017" s="3194">
        <v>11.64</v>
      </c>
      <c r="L1017" s="3196"/>
    </row>
    <row r="1018" spans="1:12">
      <c r="A1018" s="3190">
        <v>1017</v>
      </c>
      <c r="B1018" s="3191" t="s">
        <v>4583</v>
      </c>
      <c r="C1018" s="3191" t="s">
        <v>5169</v>
      </c>
      <c r="D1018" s="3192" t="s">
        <v>5747</v>
      </c>
      <c r="E1018" s="3191" t="s">
        <v>4844</v>
      </c>
      <c r="F1018" s="3193" t="s">
        <v>5171</v>
      </c>
      <c r="G1018" s="3197">
        <v>2226</v>
      </c>
      <c r="H1018" s="3191" t="s">
        <v>5034</v>
      </c>
      <c r="I1018" s="3191" t="s">
        <v>6200</v>
      </c>
      <c r="J1018" s="3194">
        <v>35.07</v>
      </c>
      <c r="K1018" s="3194">
        <v>11.64</v>
      </c>
      <c r="L1018" s="3196"/>
    </row>
    <row r="1019" spans="1:12">
      <c r="A1019" s="3190">
        <v>1018</v>
      </c>
      <c r="B1019" s="3191" t="s">
        <v>5749</v>
      </c>
      <c r="C1019" s="3191" t="s">
        <v>4007</v>
      </c>
      <c r="D1019" s="3192" t="s">
        <v>5747</v>
      </c>
      <c r="E1019" s="3191" t="s">
        <v>6010</v>
      </c>
      <c r="F1019" s="3193" t="s">
        <v>4009</v>
      </c>
      <c r="G1019" s="3197">
        <v>2227</v>
      </c>
      <c r="H1019" s="3191" t="s">
        <v>6201</v>
      </c>
      <c r="I1019" s="3191" t="s">
        <v>5035</v>
      </c>
      <c r="J1019" s="3194">
        <v>35.07</v>
      </c>
      <c r="K1019" s="3194">
        <v>11.64</v>
      </c>
      <c r="L1019" s="3196"/>
    </row>
    <row r="1020" spans="1:12">
      <c r="A1020" s="3190">
        <v>1019</v>
      </c>
      <c r="B1020" s="3191" t="s">
        <v>4583</v>
      </c>
      <c r="C1020" s="3191" t="s">
        <v>5169</v>
      </c>
      <c r="D1020" s="3192" t="s">
        <v>5747</v>
      </c>
      <c r="E1020" s="3191" t="s">
        <v>4844</v>
      </c>
      <c r="F1020" s="3193" t="s">
        <v>5171</v>
      </c>
      <c r="G1020" s="3197">
        <v>2228</v>
      </c>
      <c r="H1020" s="3191" t="s">
        <v>5036</v>
      </c>
      <c r="I1020" s="3191" t="s">
        <v>6202</v>
      </c>
      <c r="J1020" s="3194">
        <v>35.07</v>
      </c>
      <c r="K1020" s="3194">
        <v>11.64</v>
      </c>
      <c r="L1020" s="3196"/>
    </row>
    <row r="1021" spans="1:12">
      <c r="A1021" s="3190">
        <v>1020</v>
      </c>
      <c r="B1021" s="3191" t="s">
        <v>5749</v>
      </c>
      <c r="C1021" s="3191" t="s">
        <v>4007</v>
      </c>
      <c r="D1021" s="3192" t="s">
        <v>5747</v>
      </c>
      <c r="E1021" s="3191" t="s">
        <v>6010</v>
      </c>
      <c r="F1021" s="3193" t="s">
        <v>4009</v>
      </c>
      <c r="G1021" s="3197">
        <v>2229</v>
      </c>
      <c r="H1021" s="3191" t="s">
        <v>6203</v>
      </c>
      <c r="I1021" s="3191" t="s">
        <v>5037</v>
      </c>
      <c r="J1021" s="3194">
        <v>35.07</v>
      </c>
      <c r="K1021" s="3194">
        <v>11.64</v>
      </c>
      <c r="L1021" s="3196"/>
    </row>
    <row r="1022" spans="1:12">
      <c r="A1022" s="3190">
        <v>1021</v>
      </c>
      <c r="B1022" s="3191" t="s">
        <v>4583</v>
      </c>
      <c r="C1022" s="3191" t="s">
        <v>5169</v>
      </c>
      <c r="D1022" s="3192" t="s">
        <v>5747</v>
      </c>
      <c r="E1022" s="3191" t="s">
        <v>4844</v>
      </c>
      <c r="F1022" s="3193" t="s">
        <v>5171</v>
      </c>
      <c r="G1022" s="3197">
        <v>2231</v>
      </c>
      <c r="H1022" s="3191" t="s">
        <v>5038</v>
      </c>
      <c r="I1022" s="3191" t="s">
        <v>6204</v>
      </c>
      <c r="J1022" s="3194">
        <v>35.07</v>
      </c>
      <c r="K1022" s="3194">
        <v>11.64</v>
      </c>
      <c r="L1022" s="3196"/>
    </row>
    <row r="1023" spans="1:12">
      <c r="A1023" s="3190">
        <v>1022</v>
      </c>
      <c r="B1023" s="3191" t="s">
        <v>5749</v>
      </c>
      <c r="C1023" s="3191" t="s">
        <v>4007</v>
      </c>
      <c r="D1023" s="3192" t="s">
        <v>5747</v>
      </c>
      <c r="E1023" s="3191" t="s">
        <v>6010</v>
      </c>
      <c r="F1023" s="3193" t="s">
        <v>4009</v>
      </c>
      <c r="G1023" s="3197">
        <v>2232</v>
      </c>
      <c r="H1023" s="3191" t="s">
        <v>6205</v>
      </c>
      <c r="I1023" s="3191" t="s">
        <v>5039</v>
      </c>
      <c r="J1023" s="3194">
        <v>35.07</v>
      </c>
      <c r="K1023" s="3194">
        <v>11.64</v>
      </c>
      <c r="L1023" s="3196"/>
    </row>
    <row r="1024" spans="1:12">
      <c r="A1024" s="3190">
        <v>1023</v>
      </c>
      <c r="B1024" s="3191" t="s">
        <v>4583</v>
      </c>
      <c r="C1024" s="3191" t="s">
        <v>5169</v>
      </c>
      <c r="D1024" s="3192" t="s">
        <v>5747</v>
      </c>
      <c r="E1024" s="3191" t="s">
        <v>4844</v>
      </c>
      <c r="F1024" s="3193" t="s">
        <v>5171</v>
      </c>
      <c r="G1024" s="3197">
        <v>2233</v>
      </c>
      <c r="H1024" s="3191" t="s">
        <v>5040</v>
      </c>
      <c r="I1024" s="3191" t="s">
        <v>6206</v>
      </c>
      <c r="J1024" s="3194">
        <v>35.07</v>
      </c>
      <c r="K1024" s="3194">
        <v>11.64</v>
      </c>
      <c r="L1024" s="3196"/>
    </row>
    <row r="1025" spans="1:12">
      <c r="A1025" s="3190">
        <v>1024</v>
      </c>
      <c r="B1025" s="3191" t="s">
        <v>5749</v>
      </c>
      <c r="C1025" s="3191" t="s">
        <v>4007</v>
      </c>
      <c r="D1025" s="3192" t="s">
        <v>5747</v>
      </c>
      <c r="E1025" s="3191" t="s">
        <v>6010</v>
      </c>
      <c r="F1025" s="3193" t="s">
        <v>4322</v>
      </c>
      <c r="G1025" s="3197">
        <v>1001</v>
      </c>
      <c r="H1025" s="3191" t="s">
        <v>6207</v>
      </c>
      <c r="I1025" s="3191" t="s">
        <v>5041</v>
      </c>
      <c r="J1025" s="3194">
        <v>33.630000000000003</v>
      </c>
      <c r="K1025" s="3194">
        <v>11.16</v>
      </c>
      <c r="L1025" s="3196"/>
    </row>
    <row r="1026" spans="1:12">
      <c r="A1026" s="3190">
        <v>1025</v>
      </c>
      <c r="B1026" s="3191" t="s">
        <v>4583</v>
      </c>
      <c r="C1026" s="3191" t="s">
        <v>5169</v>
      </c>
      <c r="D1026" s="3192" t="s">
        <v>5747</v>
      </c>
      <c r="E1026" s="3191" t="s">
        <v>4844</v>
      </c>
      <c r="F1026" s="3207" t="s">
        <v>5494</v>
      </c>
      <c r="G1026" s="3197">
        <v>1002</v>
      </c>
      <c r="H1026" s="3191" t="s">
        <v>5042</v>
      </c>
      <c r="I1026" s="3191" t="s">
        <v>6208</v>
      </c>
      <c r="J1026" s="3194">
        <v>33.630000000000003</v>
      </c>
      <c r="K1026" s="3194">
        <v>11.16</v>
      </c>
      <c r="L1026" s="3196"/>
    </row>
    <row r="1027" spans="1:12">
      <c r="A1027" s="3190">
        <v>1026</v>
      </c>
      <c r="B1027" s="3191" t="s">
        <v>5749</v>
      </c>
      <c r="C1027" s="3191" t="s">
        <v>4007</v>
      </c>
      <c r="D1027" s="3192" t="s">
        <v>5747</v>
      </c>
      <c r="E1027" s="3191" t="s">
        <v>6010</v>
      </c>
      <c r="F1027" s="3207" t="s">
        <v>4330</v>
      </c>
      <c r="G1027" s="3197">
        <v>1005</v>
      </c>
      <c r="H1027" s="3191" t="s">
        <v>6209</v>
      </c>
      <c r="I1027" s="3191" t="s">
        <v>5043</v>
      </c>
      <c r="J1027" s="3194">
        <v>35.07</v>
      </c>
      <c r="K1027" s="3194">
        <v>11.64</v>
      </c>
      <c r="L1027" s="3196"/>
    </row>
    <row r="1028" spans="1:12">
      <c r="A1028" s="3190">
        <v>1027</v>
      </c>
      <c r="B1028" s="3191" t="s">
        <v>4583</v>
      </c>
      <c r="C1028" s="3191" t="s">
        <v>5169</v>
      </c>
      <c r="D1028" s="3192" t="s">
        <v>5747</v>
      </c>
      <c r="E1028" s="3191" t="s">
        <v>4844</v>
      </c>
      <c r="F1028" s="3193" t="s">
        <v>5487</v>
      </c>
      <c r="G1028" s="3197">
        <v>1007</v>
      </c>
      <c r="H1028" s="3191" t="s">
        <v>5044</v>
      </c>
      <c r="I1028" s="3191" t="s">
        <v>6210</v>
      </c>
      <c r="J1028" s="3194">
        <v>35.07</v>
      </c>
      <c r="K1028" s="3194">
        <v>11.64</v>
      </c>
      <c r="L1028" s="3196"/>
    </row>
    <row r="1029" spans="1:12">
      <c r="A1029" s="3190">
        <v>1028</v>
      </c>
      <c r="B1029" s="3191" t="s">
        <v>5749</v>
      </c>
      <c r="C1029" s="3191" t="s">
        <v>4007</v>
      </c>
      <c r="D1029" s="3192" t="s">
        <v>5747</v>
      </c>
      <c r="E1029" s="3191" t="s">
        <v>6010</v>
      </c>
      <c r="F1029" s="3193" t="s">
        <v>4322</v>
      </c>
      <c r="G1029" s="3197">
        <v>1013</v>
      </c>
      <c r="H1029" s="3191" t="s">
        <v>6211</v>
      </c>
      <c r="I1029" s="3191" t="s">
        <v>5045</v>
      </c>
      <c r="J1029" s="3194">
        <v>35.07</v>
      </c>
      <c r="K1029" s="3194">
        <v>11.64</v>
      </c>
      <c r="L1029" s="3196"/>
    </row>
    <row r="1030" spans="1:12">
      <c r="A1030" s="3190">
        <v>1029</v>
      </c>
      <c r="B1030" s="3191" t="s">
        <v>4583</v>
      </c>
      <c r="C1030" s="3191" t="s">
        <v>5169</v>
      </c>
      <c r="D1030" s="3192" t="s">
        <v>5747</v>
      </c>
      <c r="E1030" s="3191" t="s">
        <v>4844</v>
      </c>
      <c r="F1030" s="3193" t="s">
        <v>5487</v>
      </c>
      <c r="G1030" s="3197">
        <v>1015</v>
      </c>
      <c r="H1030" s="3191" t="s">
        <v>5046</v>
      </c>
      <c r="I1030" s="3191" t="s">
        <v>6212</v>
      </c>
      <c r="J1030" s="3194">
        <v>35.07</v>
      </c>
      <c r="K1030" s="3194">
        <v>11.64</v>
      </c>
      <c r="L1030" s="3196"/>
    </row>
    <row r="1031" spans="1:12">
      <c r="A1031" s="3190">
        <v>1030</v>
      </c>
      <c r="B1031" s="3191" t="s">
        <v>5749</v>
      </c>
      <c r="C1031" s="3191" t="s">
        <v>4007</v>
      </c>
      <c r="D1031" s="3192" t="s">
        <v>5747</v>
      </c>
      <c r="E1031" s="3191" t="s">
        <v>6010</v>
      </c>
      <c r="F1031" s="3193" t="s">
        <v>4322</v>
      </c>
      <c r="G1031" s="3197">
        <v>1016</v>
      </c>
      <c r="H1031" s="3191" t="s">
        <v>6213</v>
      </c>
      <c r="I1031" s="3191" t="s">
        <v>5047</v>
      </c>
      <c r="J1031" s="3194">
        <v>35.07</v>
      </c>
      <c r="K1031" s="3194">
        <v>11.64</v>
      </c>
      <c r="L1031" s="3196"/>
    </row>
    <row r="1032" spans="1:12">
      <c r="A1032" s="3190">
        <v>1031</v>
      </c>
      <c r="B1032" s="3191" t="s">
        <v>4583</v>
      </c>
      <c r="C1032" s="3191" t="s">
        <v>5169</v>
      </c>
      <c r="D1032" s="3192" t="s">
        <v>5747</v>
      </c>
      <c r="E1032" s="3191" t="s">
        <v>4844</v>
      </c>
      <c r="F1032" s="3193" t="s">
        <v>5487</v>
      </c>
      <c r="G1032" s="3197">
        <v>1017</v>
      </c>
      <c r="H1032" s="3191" t="s">
        <v>5048</v>
      </c>
      <c r="I1032" s="3191" t="s">
        <v>6214</v>
      </c>
      <c r="J1032" s="3194">
        <v>35.07</v>
      </c>
      <c r="K1032" s="3194">
        <v>11.64</v>
      </c>
      <c r="L1032" s="3196"/>
    </row>
    <row r="1033" spans="1:12">
      <c r="A1033" s="3190">
        <v>1032</v>
      </c>
      <c r="B1033" s="3191" t="s">
        <v>5749</v>
      </c>
      <c r="C1033" s="3191" t="s">
        <v>4007</v>
      </c>
      <c r="D1033" s="3192" t="s">
        <v>5747</v>
      </c>
      <c r="E1033" s="3191" t="s">
        <v>6010</v>
      </c>
      <c r="F1033" s="3193" t="s">
        <v>4322</v>
      </c>
      <c r="G1033" s="3197">
        <v>1022</v>
      </c>
      <c r="H1033" s="3191" t="s">
        <v>6215</v>
      </c>
      <c r="I1033" s="3191" t="s">
        <v>5049</v>
      </c>
      <c r="J1033" s="3194">
        <v>35.07</v>
      </c>
      <c r="K1033" s="3194">
        <v>11.64</v>
      </c>
      <c r="L1033" s="3196"/>
    </row>
    <row r="1034" spans="1:12">
      <c r="A1034" s="3190">
        <v>1033</v>
      </c>
      <c r="B1034" s="3191" t="s">
        <v>4583</v>
      </c>
      <c r="C1034" s="3191" t="s">
        <v>5169</v>
      </c>
      <c r="D1034" s="3192" t="s">
        <v>5747</v>
      </c>
      <c r="E1034" s="3191" t="s">
        <v>4844</v>
      </c>
      <c r="F1034" s="3193" t="s">
        <v>5487</v>
      </c>
      <c r="G1034" s="3197">
        <v>1025</v>
      </c>
      <c r="H1034" s="3191" t="s">
        <v>5050</v>
      </c>
      <c r="I1034" s="3191" t="s">
        <v>6216</v>
      </c>
      <c r="J1034" s="3194">
        <v>35.07</v>
      </c>
      <c r="K1034" s="3194">
        <v>11.64</v>
      </c>
      <c r="L1034" s="3196"/>
    </row>
    <row r="1035" spans="1:12">
      <c r="A1035" s="3190">
        <v>1034</v>
      </c>
      <c r="B1035" s="3191" t="s">
        <v>5749</v>
      </c>
      <c r="C1035" s="3191" t="s">
        <v>4007</v>
      </c>
      <c r="D1035" s="3192" t="s">
        <v>5747</v>
      </c>
      <c r="E1035" s="3191" t="s">
        <v>6010</v>
      </c>
      <c r="F1035" s="3193" t="s">
        <v>4322</v>
      </c>
      <c r="G1035" s="3197">
        <v>1028</v>
      </c>
      <c r="H1035" s="3191" t="s">
        <v>6217</v>
      </c>
      <c r="I1035" s="3191" t="s">
        <v>5051</v>
      </c>
      <c r="J1035" s="3194">
        <v>35.07</v>
      </c>
      <c r="K1035" s="3194">
        <v>11.64</v>
      </c>
      <c r="L1035" s="3196"/>
    </row>
    <row r="1036" spans="1:12">
      <c r="A1036" s="3190">
        <v>1035</v>
      </c>
      <c r="B1036" s="3191" t="s">
        <v>4583</v>
      </c>
      <c r="C1036" s="3191" t="s">
        <v>5169</v>
      </c>
      <c r="D1036" s="3192" t="s">
        <v>5747</v>
      </c>
      <c r="E1036" s="3191" t="s">
        <v>4844</v>
      </c>
      <c r="F1036" s="3193" t="s">
        <v>5487</v>
      </c>
      <c r="G1036" s="3197">
        <v>1031</v>
      </c>
      <c r="H1036" s="3191" t="s">
        <v>5052</v>
      </c>
      <c r="I1036" s="3191" t="s">
        <v>6218</v>
      </c>
      <c r="J1036" s="3194">
        <v>35.07</v>
      </c>
      <c r="K1036" s="3194">
        <v>11.64</v>
      </c>
      <c r="L1036" s="3196"/>
    </row>
    <row r="1037" spans="1:12">
      <c r="A1037" s="3190">
        <v>1036</v>
      </c>
      <c r="B1037" s="3191" t="s">
        <v>5749</v>
      </c>
      <c r="C1037" s="3191" t="s">
        <v>4007</v>
      </c>
      <c r="D1037" s="3192" t="s">
        <v>5747</v>
      </c>
      <c r="E1037" s="3191" t="s">
        <v>6010</v>
      </c>
      <c r="F1037" s="3193" t="s">
        <v>4322</v>
      </c>
      <c r="G1037" s="3197">
        <v>1037</v>
      </c>
      <c r="H1037" s="3191" t="s">
        <v>6219</v>
      </c>
      <c r="I1037" s="3191" t="s">
        <v>5053</v>
      </c>
      <c r="J1037" s="3194">
        <v>35.07</v>
      </c>
      <c r="K1037" s="3194">
        <v>11.64</v>
      </c>
      <c r="L1037" s="3196"/>
    </row>
    <row r="1038" spans="1:12">
      <c r="A1038" s="3190">
        <v>1037</v>
      </c>
      <c r="B1038" s="3191" t="s">
        <v>4583</v>
      </c>
      <c r="C1038" s="3191" t="s">
        <v>5169</v>
      </c>
      <c r="D1038" s="3192" t="s">
        <v>5747</v>
      </c>
      <c r="E1038" s="3191" t="s">
        <v>4844</v>
      </c>
      <c r="F1038" s="3193" t="s">
        <v>5487</v>
      </c>
      <c r="G1038" s="3197">
        <v>1038</v>
      </c>
      <c r="H1038" s="3191" t="s">
        <v>5054</v>
      </c>
      <c r="I1038" s="3191" t="s">
        <v>6220</v>
      </c>
      <c r="J1038" s="3194">
        <v>35.07</v>
      </c>
      <c r="K1038" s="3194">
        <v>11.64</v>
      </c>
      <c r="L1038" s="3196"/>
    </row>
    <row r="1039" spans="1:12">
      <c r="A1039" s="3190">
        <v>1038</v>
      </c>
      <c r="B1039" s="3191" t="s">
        <v>5749</v>
      </c>
      <c r="C1039" s="3191" t="s">
        <v>4007</v>
      </c>
      <c r="D1039" s="3192" t="s">
        <v>5747</v>
      </c>
      <c r="E1039" s="3191" t="s">
        <v>6010</v>
      </c>
      <c r="F1039" s="3193" t="s">
        <v>4322</v>
      </c>
      <c r="G1039" s="3197">
        <v>1039</v>
      </c>
      <c r="H1039" s="3191" t="s">
        <v>6221</v>
      </c>
      <c r="I1039" s="3191" t="s">
        <v>5055</v>
      </c>
      <c r="J1039" s="3194">
        <v>35.07</v>
      </c>
      <c r="K1039" s="3194">
        <v>11.64</v>
      </c>
      <c r="L1039" s="3196"/>
    </row>
    <row r="1040" spans="1:12">
      <c r="A1040" s="3190">
        <v>1039</v>
      </c>
      <c r="B1040" s="3191" t="s">
        <v>4583</v>
      </c>
      <c r="C1040" s="3191" t="s">
        <v>5169</v>
      </c>
      <c r="D1040" s="3192" t="s">
        <v>5747</v>
      </c>
      <c r="E1040" s="3191" t="s">
        <v>4844</v>
      </c>
      <c r="F1040" s="3193" t="s">
        <v>5487</v>
      </c>
      <c r="G1040" s="3197">
        <v>1040</v>
      </c>
      <c r="H1040" s="3191" t="s">
        <v>5056</v>
      </c>
      <c r="I1040" s="3191" t="s">
        <v>6222</v>
      </c>
      <c r="J1040" s="3194">
        <v>35.07</v>
      </c>
      <c r="K1040" s="3194">
        <v>11.64</v>
      </c>
      <c r="L1040" s="3196"/>
    </row>
    <row r="1041" spans="1:12">
      <c r="A1041" s="3190">
        <v>1040</v>
      </c>
      <c r="B1041" s="3191" t="s">
        <v>5749</v>
      </c>
      <c r="C1041" s="3191" t="s">
        <v>4007</v>
      </c>
      <c r="D1041" s="3192" t="s">
        <v>5747</v>
      </c>
      <c r="E1041" s="3191" t="s">
        <v>6010</v>
      </c>
      <c r="F1041" s="3193" t="s">
        <v>4322</v>
      </c>
      <c r="G1041" s="3197">
        <v>1041</v>
      </c>
      <c r="H1041" s="3191" t="s">
        <v>6223</v>
      </c>
      <c r="I1041" s="3191" t="s">
        <v>5057</v>
      </c>
      <c r="J1041" s="3194">
        <v>35.07</v>
      </c>
      <c r="K1041" s="3194">
        <v>11.64</v>
      </c>
      <c r="L1041" s="3196"/>
    </row>
    <row r="1042" spans="1:12">
      <c r="A1042" s="3190">
        <v>1041</v>
      </c>
      <c r="B1042" s="3191" t="s">
        <v>4583</v>
      </c>
      <c r="C1042" s="3191" t="s">
        <v>5169</v>
      </c>
      <c r="D1042" s="3192" t="s">
        <v>5747</v>
      </c>
      <c r="E1042" s="3191" t="s">
        <v>4844</v>
      </c>
      <c r="F1042" s="3193" t="s">
        <v>5487</v>
      </c>
      <c r="G1042" s="3197">
        <v>1042</v>
      </c>
      <c r="H1042" s="3191" t="s">
        <v>5058</v>
      </c>
      <c r="I1042" s="3191" t="s">
        <v>6224</v>
      </c>
      <c r="J1042" s="3194">
        <v>35.07</v>
      </c>
      <c r="K1042" s="3194">
        <v>11.64</v>
      </c>
      <c r="L1042" s="3196"/>
    </row>
    <row r="1043" spans="1:12">
      <c r="A1043" s="3190">
        <v>1042</v>
      </c>
      <c r="B1043" s="3191" t="s">
        <v>5749</v>
      </c>
      <c r="C1043" s="3191" t="s">
        <v>4007</v>
      </c>
      <c r="D1043" s="3192" t="s">
        <v>5747</v>
      </c>
      <c r="E1043" s="3191" t="s">
        <v>6010</v>
      </c>
      <c r="F1043" s="3193" t="s">
        <v>4322</v>
      </c>
      <c r="G1043" s="3197">
        <v>1043</v>
      </c>
      <c r="H1043" s="3191" t="s">
        <v>6225</v>
      </c>
      <c r="I1043" s="3191" t="s">
        <v>5059</v>
      </c>
      <c r="J1043" s="3194">
        <v>35.07</v>
      </c>
      <c r="K1043" s="3194">
        <v>11.64</v>
      </c>
      <c r="L1043" s="3196"/>
    </row>
    <row r="1044" spans="1:12">
      <c r="A1044" s="3190">
        <v>1043</v>
      </c>
      <c r="B1044" s="3191" t="s">
        <v>4583</v>
      </c>
      <c r="C1044" s="3191" t="s">
        <v>5169</v>
      </c>
      <c r="D1044" s="3192" t="s">
        <v>5747</v>
      </c>
      <c r="E1044" s="3191" t="s">
        <v>4844</v>
      </c>
      <c r="F1044" s="3193" t="s">
        <v>5487</v>
      </c>
      <c r="G1044" s="3197">
        <v>1044</v>
      </c>
      <c r="H1044" s="3191" t="s">
        <v>5060</v>
      </c>
      <c r="I1044" s="3191" t="s">
        <v>6226</v>
      </c>
      <c r="J1044" s="3194">
        <v>35.07</v>
      </c>
      <c r="K1044" s="3194">
        <v>11.64</v>
      </c>
      <c r="L1044" s="3196"/>
    </row>
    <row r="1045" spans="1:12">
      <c r="A1045" s="3190">
        <v>1044</v>
      </c>
      <c r="B1045" s="3191" t="s">
        <v>5749</v>
      </c>
      <c r="C1045" s="3191" t="s">
        <v>4007</v>
      </c>
      <c r="D1045" s="3192" t="s">
        <v>5747</v>
      </c>
      <c r="E1045" s="3191" t="s">
        <v>6010</v>
      </c>
      <c r="F1045" s="3193" t="s">
        <v>4322</v>
      </c>
      <c r="G1045" s="3197">
        <v>1045</v>
      </c>
      <c r="H1045" s="3191" t="s">
        <v>6227</v>
      </c>
      <c r="I1045" s="3191" t="s">
        <v>5061</v>
      </c>
      <c r="J1045" s="3194">
        <v>35.07</v>
      </c>
      <c r="K1045" s="3194">
        <v>11.64</v>
      </c>
      <c r="L1045" s="3196"/>
    </row>
    <row r="1046" spans="1:12">
      <c r="A1046" s="3190">
        <v>1045</v>
      </c>
      <c r="B1046" s="3191" t="s">
        <v>4583</v>
      </c>
      <c r="C1046" s="3191" t="s">
        <v>5169</v>
      </c>
      <c r="D1046" s="3192" t="s">
        <v>5747</v>
      </c>
      <c r="E1046" s="3191" t="s">
        <v>4844</v>
      </c>
      <c r="F1046" s="3193" t="s">
        <v>5487</v>
      </c>
      <c r="G1046" s="3197">
        <v>1046</v>
      </c>
      <c r="H1046" s="3191" t="s">
        <v>5062</v>
      </c>
      <c r="I1046" s="3191" t="s">
        <v>6228</v>
      </c>
      <c r="J1046" s="3194">
        <v>33.630000000000003</v>
      </c>
      <c r="K1046" s="3194">
        <v>11.16</v>
      </c>
      <c r="L1046" s="3196"/>
    </row>
    <row r="1047" spans="1:12">
      <c r="A1047" s="3190">
        <v>1046</v>
      </c>
      <c r="B1047" s="3191" t="s">
        <v>5749</v>
      </c>
      <c r="C1047" s="3191" t="s">
        <v>4007</v>
      </c>
      <c r="D1047" s="3192" t="s">
        <v>5747</v>
      </c>
      <c r="E1047" s="3191" t="s">
        <v>6010</v>
      </c>
      <c r="F1047" s="3193" t="s">
        <v>4322</v>
      </c>
      <c r="G1047" s="3197">
        <v>1047</v>
      </c>
      <c r="H1047" s="3191" t="s">
        <v>6229</v>
      </c>
      <c r="I1047" s="3191" t="s">
        <v>5063</v>
      </c>
      <c r="J1047" s="3194">
        <v>33.630000000000003</v>
      </c>
      <c r="K1047" s="3194">
        <v>11.16</v>
      </c>
      <c r="L1047" s="3196"/>
    </row>
    <row r="1048" spans="1:12">
      <c r="A1048" s="3190">
        <v>1047</v>
      </c>
      <c r="B1048" s="3191" t="s">
        <v>4583</v>
      </c>
      <c r="C1048" s="3191" t="s">
        <v>5169</v>
      </c>
      <c r="D1048" s="3192" t="s">
        <v>5747</v>
      </c>
      <c r="E1048" s="3191" t="s">
        <v>4844</v>
      </c>
      <c r="F1048" s="3193" t="s">
        <v>5487</v>
      </c>
      <c r="G1048" s="3197">
        <v>1048</v>
      </c>
      <c r="H1048" s="3191" t="s">
        <v>5064</v>
      </c>
      <c r="I1048" s="3191" t="s">
        <v>6230</v>
      </c>
      <c r="J1048" s="3194">
        <v>33.630000000000003</v>
      </c>
      <c r="K1048" s="3194">
        <v>11.16</v>
      </c>
      <c r="L1048" s="3196"/>
    </row>
    <row r="1049" spans="1:12">
      <c r="A1049" s="3190">
        <v>1048</v>
      </c>
      <c r="B1049" s="3191" t="s">
        <v>5749</v>
      </c>
      <c r="C1049" s="3191" t="s">
        <v>4007</v>
      </c>
      <c r="D1049" s="3192" t="s">
        <v>5747</v>
      </c>
      <c r="E1049" s="3191" t="s">
        <v>6010</v>
      </c>
      <c r="F1049" s="3193" t="s">
        <v>4322</v>
      </c>
      <c r="G1049" s="3197">
        <v>1049</v>
      </c>
      <c r="H1049" s="3191" t="s">
        <v>6231</v>
      </c>
      <c r="I1049" s="3191" t="s">
        <v>5065</v>
      </c>
      <c r="J1049" s="3194">
        <v>37.270000000000003</v>
      </c>
      <c r="K1049" s="3194">
        <v>12.37</v>
      </c>
      <c r="L1049" s="3196"/>
    </row>
    <row r="1050" spans="1:12">
      <c r="A1050" s="3190">
        <v>1049</v>
      </c>
      <c r="B1050" s="3191" t="s">
        <v>4583</v>
      </c>
      <c r="C1050" s="3191" t="s">
        <v>5169</v>
      </c>
      <c r="D1050" s="3192" t="s">
        <v>5786</v>
      </c>
      <c r="E1050" s="3191" t="s">
        <v>4844</v>
      </c>
      <c r="F1050" s="3193" t="s">
        <v>5487</v>
      </c>
      <c r="G1050" s="3197">
        <v>1052</v>
      </c>
      <c r="H1050" s="3191" t="s">
        <v>5066</v>
      </c>
      <c r="I1050" s="3191" t="s">
        <v>6232</v>
      </c>
      <c r="J1050" s="3194">
        <v>37.270000000000003</v>
      </c>
      <c r="K1050" s="3194">
        <v>12.37</v>
      </c>
      <c r="L1050" s="3196"/>
    </row>
    <row r="1051" spans="1:12">
      <c r="A1051" s="3190">
        <v>1050</v>
      </c>
      <c r="B1051" s="3191" t="s">
        <v>5749</v>
      </c>
      <c r="C1051" s="3191" t="s">
        <v>4007</v>
      </c>
      <c r="D1051" s="3192" t="s">
        <v>5786</v>
      </c>
      <c r="E1051" s="3191" t="s">
        <v>6010</v>
      </c>
      <c r="F1051" s="3193" t="s">
        <v>4322</v>
      </c>
      <c r="G1051" s="3197">
        <v>1053</v>
      </c>
      <c r="H1051" s="3191" t="s">
        <v>6233</v>
      </c>
      <c r="I1051" s="3191" t="s">
        <v>5067</v>
      </c>
      <c r="J1051" s="3194">
        <v>37.270000000000003</v>
      </c>
      <c r="K1051" s="3194">
        <v>12.37</v>
      </c>
      <c r="L1051" s="3196"/>
    </row>
    <row r="1052" spans="1:12">
      <c r="A1052" s="3190">
        <v>1051</v>
      </c>
      <c r="B1052" s="3191" t="s">
        <v>4583</v>
      </c>
      <c r="C1052" s="3191" t="s">
        <v>5169</v>
      </c>
      <c r="D1052" s="3192" t="s">
        <v>5786</v>
      </c>
      <c r="E1052" s="3191" t="s">
        <v>4844</v>
      </c>
      <c r="F1052" s="3193" t="s">
        <v>5487</v>
      </c>
      <c r="G1052" s="3197">
        <v>1054</v>
      </c>
      <c r="H1052" s="3191" t="s">
        <v>5068</v>
      </c>
      <c r="I1052" s="3191" t="s">
        <v>6234</v>
      </c>
      <c r="J1052" s="3194">
        <v>37.270000000000003</v>
      </c>
      <c r="K1052" s="3194">
        <v>12.37</v>
      </c>
      <c r="L1052" s="3196"/>
    </row>
    <row r="1053" spans="1:12">
      <c r="A1053" s="3190">
        <v>1052</v>
      </c>
      <c r="B1053" s="3191" t="s">
        <v>5749</v>
      </c>
      <c r="C1053" s="3191" t="s">
        <v>4007</v>
      </c>
      <c r="D1053" s="3218" t="s">
        <v>5786</v>
      </c>
      <c r="E1053" s="3191" t="s">
        <v>6010</v>
      </c>
      <c r="F1053" s="3193" t="s">
        <v>4322</v>
      </c>
      <c r="G1053" s="3197">
        <v>1055</v>
      </c>
      <c r="H1053" s="3191" t="s">
        <v>6235</v>
      </c>
      <c r="I1053" s="3191" t="s">
        <v>5069</v>
      </c>
      <c r="J1053" s="3194">
        <v>37.270000000000003</v>
      </c>
      <c r="K1053" s="3194">
        <v>12.37</v>
      </c>
      <c r="L1053" s="3196"/>
    </row>
    <row r="1054" spans="1:12">
      <c r="A1054" s="3190">
        <v>1053</v>
      </c>
      <c r="B1054" s="3191" t="s">
        <v>4583</v>
      </c>
      <c r="C1054" s="3191" t="s">
        <v>5169</v>
      </c>
      <c r="D1054" s="3192" t="s">
        <v>5786</v>
      </c>
      <c r="E1054" s="3191" t="s">
        <v>4844</v>
      </c>
      <c r="F1054" s="3207" t="s">
        <v>5494</v>
      </c>
      <c r="G1054" s="3197">
        <v>1056</v>
      </c>
      <c r="H1054" s="3191" t="s">
        <v>5070</v>
      </c>
      <c r="I1054" s="3191" t="s">
        <v>6236</v>
      </c>
      <c r="J1054" s="3194">
        <v>37.270000000000003</v>
      </c>
      <c r="K1054" s="3194">
        <v>12.37</v>
      </c>
      <c r="L1054" s="3196"/>
    </row>
    <row r="1055" spans="1:12">
      <c r="A1055" s="3190">
        <v>1054</v>
      </c>
      <c r="B1055" s="3198" t="s">
        <v>5749</v>
      </c>
      <c r="C1055" s="3191" t="s">
        <v>4007</v>
      </c>
      <c r="D1055" s="3192" t="s">
        <v>5786</v>
      </c>
      <c r="E1055" s="3191" t="s">
        <v>6010</v>
      </c>
      <c r="F1055" s="3207" t="s">
        <v>4330</v>
      </c>
      <c r="G1055" s="3197">
        <v>1057</v>
      </c>
      <c r="H1055" s="3191" t="s">
        <v>6237</v>
      </c>
      <c r="I1055" s="3191" t="s">
        <v>5071</v>
      </c>
      <c r="J1055" s="3194">
        <v>37.270000000000003</v>
      </c>
      <c r="K1055" s="3194">
        <v>12.37</v>
      </c>
      <c r="L1055" s="3196"/>
    </row>
    <row r="1056" spans="1:12">
      <c r="A1056" s="3190">
        <v>1055</v>
      </c>
      <c r="B1056" s="3191" t="s">
        <v>4583</v>
      </c>
      <c r="C1056" s="3191" t="s">
        <v>5169</v>
      </c>
      <c r="D1056" s="3192" t="s">
        <v>5786</v>
      </c>
      <c r="E1056" s="3191" t="s">
        <v>4844</v>
      </c>
      <c r="F1056" s="3207" t="s">
        <v>5494</v>
      </c>
      <c r="G1056" s="3197">
        <v>1058</v>
      </c>
      <c r="H1056" s="3191" t="s">
        <v>5072</v>
      </c>
      <c r="I1056" s="3191" t="s">
        <v>6238</v>
      </c>
      <c r="J1056" s="3194">
        <v>37.270000000000003</v>
      </c>
      <c r="K1056" s="3194">
        <v>12.37</v>
      </c>
      <c r="L1056" s="3196"/>
    </row>
    <row r="1057" spans="1:12">
      <c r="A1057" s="3190">
        <v>1056</v>
      </c>
      <c r="B1057" s="3191" t="s">
        <v>5749</v>
      </c>
      <c r="C1057" s="3191" t="s">
        <v>4007</v>
      </c>
      <c r="D1057" s="3192" t="s">
        <v>5786</v>
      </c>
      <c r="E1057" s="3191" t="s">
        <v>6010</v>
      </c>
      <c r="F1057" s="3207" t="s">
        <v>4330</v>
      </c>
      <c r="G1057" s="3197">
        <v>1059</v>
      </c>
      <c r="H1057" s="3191" t="s">
        <v>6239</v>
      </c>
      <c r="I1057" s="3191" t="s">
        <v>5073</v>
      </c>
      <c r="J1057" s="3194">
        <v>37.270000000000003</v>
      </c>
      <c r="K1057" s="3194">
        <v>12.37</v>
      </c>
      <c r="L1057" s="3196"/>
    </row>
    <row r="1058" spans="1:12">
      <c r="A1058" s="3190">
        <v>1057</v>
      </c>
      <c r="B1058" s="3191" t="s">
        <v>4583</v>
      </c>
      <c r="C1058" s="3191" t="s">
        <v>5169</v>
      </c>
      <c r="D1058" s="3192" t="s">
        <v>5747</v>
      </c>
      <c r="E1058" s="3191" t="s">
        <v>4844</v>
      </c>
      <c r="F1058" s="3193" t="s">
        <v>5487</v>
      </c>
      <c r="G1058" s="3197">
        <v>1065</v>
      </c>
      <c r="H1058" s="3191" t="s">
        <v>5074</v>
      </c>
      <c r="I1058" s="3191" t="s">
        <v>6240</v>
      </c>
      <c r="J1058" s="3194">
        <v>35.07</v>
      </c>
      <c r="K1058" s="3194">
        <v>11.64</v>
      </c>
      <c r="L1058" s="3196"/>
    </row>
    <row r="1059" spans="1:12">
      <c r="A1059" s="3190">
        <v>1058</v>
      </c>
      <c r="B1059" s="3191" t="s">
        <v>5749</v>
      </c>
      <c r="C1059" s="3191" t="s">
        <v>4007</v>
      </c>
      <c r="D1059" s="3192" t="s">
        <v>5786</v>
      </c>
      <c r="E1059" s="3191" t="s">
        <v>6010</v>
      </c>
      <c r="F1059" s="3207" t="s">
        <v>4330</v>
      </c>
      <c r="G1059" s="3197">
        <v>1072</v>
      </c>
      <c r="H1059" s="3191" t="s">
        <v>6241</v>
      </c>
      <c r="I1059" s="3191" t="s">
        <v>5075</v>
      </c>
      <c r="J1059" s="3194">
        <v>37.270000000000003</v>
      </c>
      <c r="K1059" s="3194">
        <v>12.37</v>
      </c>
      <c r="L1059" s="3196"/>
    </row>
    <row r="1060" spans="1:12">
      <c r="A1060" s="3190">
        <v>1059</v>
      </c>
      <c r="B1060" s="3191" t="s">
        <v>4583</v>
      </c>
      <c r="C1060" s="3191" t="s">
        <v>5169</v>
      </c>
      <c r="D1060" s="3192" t="s">
        <v>5786</v>
      </c>
      <c r="E1060" s="3191" t="s">
        <v>4844</v>
      </c>
      <c r="F1060" s="3193" t="s">
        <v>5487</v>
      </c>
      <c r="G1060" s="3197">
        <v>1073</v>
      </c>
      <c r="H1060" s="3191" t="s">
        <v>5076</v>
      </c>
      <c r="I1060" s="3191" t="s">
        <v>6242</v>
      </c>
      <c r="J1060" s="3194">
        <v>37.270000000000003</v>
      </c>
      <c r="K1060" s="3194">
        <v>12.37</v>
      </c>
      <c r="L1060" s="3196"/>
    </row>
    <row r="1061" spans="1:12">
      <c r="A1061" s="3190">
        <v>1060</v>
      </c>
      <c r="B1061" s="3191" t="s">
        <v>5749</v>
      </c>
      <c r="C1061" s="3191" t="s">
        <v>4007</v>
      </c>
      <c r="D1061" s="3192" t="s">
        <v>5786</v>
      </c>
      <c r="E1061" s="3191" t="s">
        <v>6010</v>
      </c>
      <c r="F1061" s="3207" t="s">
        <v>4330</v>
      </c>
      <c r="G1061" s="3197">
        <v>1074</v>
      </c>
      <c r="H1061" s="3191" t="s">
        <v>6243</v>
      </c>
      <c r="I1061" s="3191" t="s">
        <v>5077</v>
      </c>
      <c r="J1061" s="3194">
        <v>37.270000000000003</v>
      </c>
      <c r="K1061" s="3194">
        <v>12.37</v>
      </c>
      <c r="L1061" s="3196"/>
    </row>
    <row r="1062" spans="1:12">
      <c r="A1062" s="3190">
        <v>1061</v>
      </c>
      <c r="B1062" s="3191" t="s">
        <v>4583</v>
      </c>
      <c r="C1062" s="3191" t="s">
        <v>5169</v>
      </c>
      <c r="D1062" s="3192" t="s">
        <v>5786</v>
      </c>
      <c r="E1062" s="3191" t="s">
        <v>4844</v>
      </c>
      <c r="F1062" s="3193" t="s">
        <v>5487</v>
      </c>
      <c r="G1062" s="3197">
        <v>1075</v>
      </c>
      <c r="H1062" s="3191" t="s">
        <v>5078</v>
      </c>
      <c r="I1062" s="3191" t="s">
        <v>6244</v>
      </c>
      <c r="J1062" s="3194">
        <v>37.270000000000003</v>
      </c>
      <c r="K1062" s="3194">
        <v>12.37</v>
      </c>
      <c r="L1062" s="3196"/>
    </row>
    <row r="1063" spans="1:12">
      <c r="A1063" s="3190">
        <v>1062</v>
      </c>
      <c r="B1063" s="3191" t="s">
        <v>5749</v>
      </c>
      <c r="C1063" s="3191" t="s">
        <v>4007</v>
      </c>
      <c r="D1063" s="3192" t="s">
        <v>5786</v>
      </c>
      <c r="E1063" s="3191" t="s">
        <v>6010</v>
      </c>
      <c r="F1063" s="3193" t="s">
        <v>4322</v>
      </c>
      <c r="G1063" s="3197">
        <v>1076</v>
      </c>
      <c r="H1063" s="3191" t="s">
        <v>6245</v>
      </c>
      <c r="I1063" s="3191" t="s">
        <v>5079</v>
      </c>
      <c r="J1063" s="3194">
        <v>37.270000000000003</v>
      </c>
      <c r="K1063" s="3194">
        <v>12.37</v>
      </c>
      <c r="L1063" s="3196"/>
    </row>
    <row r="1064" spans="1:12">
      <c r="A1064" s="3190">
        <v>1063</v>
      </c>
      <c r="B1064" s="3191" t="s">
        <v>4583</v>
      </c>
      <c r="C1064" s="3191" t="s">
        <v>5169</v>
      </c>
      <c r="D1064" s="3192" t="s">
        <v>5786</v>
      </c>
      <c r="E1064" s="3191" t="s">
        <v>4844</v>
      </c>
      <c r="F1064" s="3193" t="s">
        <v>5487</v>
      </c>
      <c r="G1064" s="3197">
        <v>1077</v>
      </c>
      <c r="H1064" s="3191" t="s">
        <v>5080</v>
      </c>
      <c r="I1064" s="3191" t="s">
        <v>6246</v>
      </c>
      <c r="J1064" s="3194">
        <v>37.270000000000003</v>
      </c>
      <c r="K1064" s="3194">
        <v>12.37</v>
      </c>
      <c r="L1064" s="3196"/>
    </row>
    <row r="1065" spans="1:12">
      <c r="A1065" s="3190">
        <v>1064</v>
      </c>
      <c r="B1065" s="3191" t="s">
        <v>5749</v>
      </c>
      <c r="C1065" s="3191" t="s">
        <v>4007</v>
      </c>
      <c r="D1065" s="3192" t="s">
        <v>5786</v>
      </c>
      <c r="E1065" s="3191" t="s">
        <v>6010</v>
      </c>
      <c r="F1065" s="3193" t="s">
        <v>4322</v>
      </c>
      <c r="G1065" s="3197">
        <v>1078</v>
      </c>
      <c r="H1065" s="3191" t="s">
        <v>6247</v>
      </c>
      <c r="I1065" s="3191" t="s">
        <v>5081</v>
      </c>
      <c r="J1065" s="3194">
        <v>37.270000000000003</v>
      </c>
      <c r="K1065" s="3194">
        <v>12.37</v>
      </c>
      <c r="L1065" s="3196"/>
    </row>
    <row r="1066" spans="1:12">
      <c r="A1066" s="3190">
        <v>1065</v>
      </c>
      <c r="B1066" s="3191" t="s">
        <v>4583</v>
      </c>
      <c r="C1066" s="3191" t="s">
        <v>5169</v>
      </c>
      <c r="D1066" s="3192" t="s">
        <v>5786</v>
      </c>
      <c r="E1066" s="3191" t="s">
        <v>4844</v>
      </c>
      <c r="F1066" s="3193" t="s">
        <v>5487</v>
      </c>
      <c r="G1066" s="3197">
        <v>1079</v>
      </c>
      <c r="H1066" s="3191" t="s">
        <v>5082</v>
      </c>
      <c r="I1066" s="3191" t="s">
        <v>6248</v>
      </c>
      <c r="J1066" s="3194">
        <v>37.270000000000003</v>
      </c>
      <c r="K1066" s="3194">
        <v>12.37</v>
      </c>
      <c r="L1066" s="3196"/>
    </row>
    <row r="1067" spans="1:12">
      <c r="A1067" s="3190">
        <v>1066</v>
      </c>
      <c r="B1067" s="3191" t="s">
        <v>5749</v>
      </c>
      <c r="C1067" s="3191" t="s">
        <v>4007</v>
      </c>
      <c r="D1067" s="3192" t="s">
        <v>5786</v>
      </c>
      <c r="E1067" s="3191" t="s">
        <v>6010</v>
      </c>
      <c r="F1067" s="3193" t="s">
        <v>4322</v>
      </c>
      <c r="G1067" s="3197">
        <v>1080</v>
      </c>
      <c r="H1067" s="3191" t="s">
        <v>6249</v>
      </c>
      <c r="I1067" s="3191" t="s">
        <v>5083</v>
      </c>
      <c r="J1067" s="3194">
        <v>37.270000000000003</v>
      </c>
      <c r="K1067" s="3194">
        <v>12.37</v>
      </c>
      <c r="L1067" s="3196"/>
    </row>
    <row r="1068" spans="1:12">
      <c r="A1068" s="3190">
        <v>1067</v>
      </c>
      <c r="B1068" s="3191" t="s">
        <v>4583</v>
      </c>
      <c r="C1068" s="3191" t="s">
        <v>5169</v>
      </c>
      <c r="D1068" s="3192" t="s">
        <v>5786</v>
      </c>
      <c r="E1068" s="3191" t="s">
        <v>4844</v>
      </c>
      <c r="F1068" s="3193" t="s">
        <v>5487</v>
      </c>
      <c r="G1068" s="3197">
        <v>1081</v>
      </c>
      <c r="H1068" s="3191" t="s">
        <v>5084</v>
      </c>
      <c r="I1068" s="3191" t="s">
        <v>6250</v>
      </c>
      <c r="J1068" s="3194">
        <v>37.270000000000003</v>
      </c>
      <c r="K1068" s="3194">
        <v>12.37</v>
      </c>
      <c r="L1068" s="3196"/>
    </row>
    <row r="1069" spans="1:12">
      <c r="A1069" s="3190">
        <v>1068</v>
      </c>
      <c r="B1069" s="3191" t="s">
        <v>5749</v>
      </c>
      <c r="C1069" s="3191" t="s">
        <v>4007</v>
      </c>
      <c r="D1069" s="3192" t="s">
        <v>5747</v>
      </c>
      <c r="E1069" s="3191" t="s">
        <v>6010</v>
      </c>
      <c r="F1069" s="3193" t="s">
        <v>4322</v>
      </c>
      <c r="G1069" s="3197">
        <v>1084</v>
      </c>
      <c r="H1069" s="3191" t="s">
        <v>6251</v>
      </c>
      <c r="I1069" s="3191" t="s">
        <v>5085</v>
      </c>
      <c r="J1069" s="3194">
        <v>35.07</v>
      </c>
      <c r="K1069" s="3194">
        <v>11.64</v>
      </c>
      <c r="L1069" s="3196"/>
    </row>
    <row r="1070" spans="1:12">
      <c r="A1070" s="3190">
        <v>1069</v>
      </c>
      <c r="B1070" s="3191" t="s">
        <v>4583</v>
      </c>
      <c r="C1070" s="3191" t="s">
        <v>5169</v>
      </c>
      <c r="D1070" s="3192" t="s">
        <v>5747</v>
      </c>
      <c r="E1070" s="3191" t="s">
        <v>4844</v>
      </c>
      <c r="F1070" s="3193" t="s">
        <v>5487</v>
      </c>
      <c r="G1070" s="3197">
        <v>1085</v>
      </c>
      <c r="H1070" s="3191" t="s">
        <v>5086</v>
      </c>
      <c r="I1070" s="3191" t="s">
        <v>6252</v>
      </c>
      <c r="J1070" s="3194">
        <v>35.07</v>
      </c>
      <c r="K1070" s="3194">
        <v>11.64</v>
      </c>
      <c r="L1070" s="3196"/>
    </row>
    <row r="1071" spans="1:12">
      <c r="A1071" s="3190">
        <v>1070</v>
      </c>
      <c r="B1071" s="3191" t="s">
        <v>5749</v>
      </c>
      <c r="C1071" s="3191" t="s">
        <v>4007</v>
      </c>
      <c r="D1071" s="3192" t="s">
        <v>5747</v>
      </c>
      <c r="E1071" s="3191" t="s">
        <v>6010</v>
      </c>
      <c r="F1071" s="3193" t="s">
        <v>4322</v>
      </c>
      <c r="G1071" s="3197">
        <v>1086</v>
      </c>
      <c r="H1071" s="3191" t="s">
        <v>6253</v>
      </c>
      <c r="I1071" s="3191" t="s">
        <v>5087</v>
      </c>
      <c r="J1071" s="3194">
        <v>35.07</v>
      </c>
      <c r="K1071" s="3194">
        <v>11.64</v>
      </c>
      <c r="L1071" s="3196"/>
    </row>
    <row r="1072" spans="1:12">
      <c r="A1072" s="3190">
        <v>1071</v>
      </c>
      <c r="B1072" s="3198" t="s">
        <v>4833</v>
      </c>
      <c r="C1072" s="3191" t="s">
        <v>5169</v>
      </c>
      <c r="D1072" s="3192" t="s">
        <v>5786</v>
      </c>
      <c r="E1072" s="3191" t="s">
        <v>4844</v>
      </c>
      <c r="F1072" s="3207" t="s">
        <v>5494</v>
      </c>
      <c r="G1072" s="3197">
        <v>1095</v>
      </c>
      <c r="H1072" s="3191" t="s">
        <v>5088</v>
      </c>
      <c r="I1072" s="3191" t="s">
        <v>6254</v>
      </c>
      <c r="J1072" s="3194">
        <v>37.270000000000003</v>
      </c>
      <c r="K1072" s="3194">
        <v>12.37</v>
      </c>
      <c r="L1072" s="3196"/>
    </row>
    <row r="1073" spans="1:12">
      <c r="A1073" s="3190">
        <v>1072</v>
      </c>
      <c r="B1073" s="3191" t="s">
        <v>5749</v>
      </c>
      <c r="C1073" s="3191" t="s">
        <v>4007</v>
      </c>
      <c r="D1073" s="3192" t="s">
        <v>5786</v>
      </c>
      <c r="E1073" s="3191" t="s">
        <v>6010</v>
      </c>
      <c r="F1073" s="3207" t="s">
        <v>4330</v>
      </c>
      <c r="G1073" s="3197">
        <v>1096</v>
      </c>
      <c r="H1073" s="3191" t="s">
        <v>6255</v>
      </c>
      <c r="I1073" s="3191" t="s">
        <v>5089</v>
      </c>
      <c r="J1073" s="3194">
        <v>37.270000000000003</v>
      </c>
      <c r="K1073" s="3194">
        <v>12.37</v>
      </c>
      <c r="L1073" s="3196"/>
    </row>
    <row r="1074" spans="1:12">
      <c r="A1074" s="3190">
        <v>1073</v>
      </c>
      <c r="B1074" s="3191" t="s">
        <v>4583</v>
      </c>
      <c r="C1074" s="3191" t="s">
        <v>5169</v>
      </c>
      <c r="D1074" s="3192" t="s">
        <v>5786</v>
      </c>
      <c r="E1074" s="3191" t="s">
        <v>4844</v>
      </c>
      <c r="F1074" s="3207" t="s">
        <v>5494</v>
      </c>
      <c r="G1074" s="3197">
        <v>1101</v>
      </c>
      <c r="H1074" s="3191" t="s">
        <v>5090</v>
      </c>
      <c r="I1074" s="3191" t="s">
        <v>6256</v>
      </c>
      <c r="J1074" s="3203">
        <v>35.799999999999997</v>
      </c>
      <c r="K1074" s="3194">
        <v>11.88</v>
      </c>
      <c r="L1074" s="3196"/>
    </row>
    <row r="1075" spans="1:12">
      <c r="A1075" s="3190">
        <v>1074</v>
      </c>
      <c r="B1075" s="3191" t="s">
        <v>5749</v>
      </c>
      <c r="C1075" s="3191" t="s">
        <v>4007</v>
      </c>
      <c r="D1075" s="3192" t="s">
        <v>5786</v>
      </c>
      <c r="E1075" s="3191" t="s">
        <v>6010</v>
      </c>
      <c r="F1075" s="3193" t="s">
        <v>4322</v>
      </c>
      <c r="G1075" s="3197">
        <v>1102</v>
      </c>
      <c r="H1075" s="3191" t="s">
        <v>6257</v>
      </c>
      <c r="I1075" s="3191" t="s">
        <v>5091</v>
      </c>
      <c r="J1075" s="3203">
        <v>35.799999999999997</v>
      </c>
      <c r="K1075" s="3194">
        <v>11.88</v>
      </c>
      <c r="L1075" s="3196"/>
    </row>
    <row r="1076" spans="1:12">
      <c r="A1076" s="3190">
        <v>1075</v>
      </c>
      <c r="B1076" s="3191" t="s">
        <v>4583</v>
      </c>
      <c r="C1076" s="3191" t="s">
        <v>5169</v>
      </c>
      <c r="D1076" s="3192" t="s">
        <v>5786</v>
      </c>
      <c r="E1076" s="3191" t="s">
        <v>4844</v>
      </c>
      <c r="F1076" s="3193" t="s">
        <v>5487</v>
      </c>
      <c r="G1076" s="3197">
        <v>1103</v>
      </c>
      <c r="H1076" s="3191" t="s">
        <v>5092</v>
      </c>
      <c r="I1076" s="3191" t="s">
        <v>6258</v>
      </c>
      <c r="J1076" s="3203">
        <v>35.799999999999997</v>
      </c>
      <c r="K1076" s="3194">
        <v>11.88</v>
      </c>
      <c r="L1076" s="3196"/>
    </row>
    <row r="1077" spans="1:12">
      <c r="A1077" s="3190">
        <v>1076</v>
      </c>
      <c r="B1077" s="3191" t="s">
        <v>5749</v>
      </c>
      <c r="C1077" s="3191" t="s">
        <v>4007</v>
      </c>
      <c r="D1077" s="3192" t="s">
        <v>5786</v>
      </c>
      <c r="E1077" s="3191" t="s">
        <v>6010</v>
      </c>
      <c r="F1077" s="3193" t="s">
        <v>4322</v>
      </c>
      <c r="G1077" s="3197">
        <v>1104</v>
      </c>
      <c r="H1077" s="3191" t="s">
        <v>6259</v>
      </c>
      <c r="I1077" s="3191" t="s">
        <v>5093</v>
      </c>
      <c r="J1077" s="3203">
        <v>35.799999999999997</v>
      </c>
      <c r="K1077" s="3194">
        <v>11.88</v>
      </c>
      <c r="L1077" s="3196"/>
    </row>
    <row r="1078" spans="1:12">
      <c r="A1078" s="3190">
        <v>1077</v>
      </c>
      <c r="B1078" s="3191" t="s">
        <v>4583</v>
      </c>
      <c r="C1078" s="3191" t="s">
        <v>5169</v>
      </c>
      <c r="D1078" s="3192" t="s">
        <v>5786</v>
      </c>
      <c r="E1078" s="3191" t="s">
        <v>4844</v>
      </c>
      <c r="F1078" s="3207" t="s">
        <v>5494</v>
      </c>
      <c r="G1078" s="3197">
        <v>1105</v>
      </c>
      <c r="H1078" s="3191" t="s">
        <v>5094</v>
      </c>
      <c r="I1078" s="3191" t="s">
        <v>6260</v>
      </c>
      <c r="J1078" s="3203">
        <v>35.799999999999997</v>
      </c>
      <c r="K1078" s="3194">
        <v>11.88</v>
      </c>
      <c r="L1078" s="3196"/>
    </row>
    <row r="1079" spans="1:12">
      <c r="A1079" s="3190">
        <v>1078</v>
      </c>
      <c r="B1079" s="3191" t="s">
        <v>5749</v>
      </c>
      <c r="C1079" s="3191" t="s">
        <v>4007</v>
      </c>
      <c r="D1079" s="3192" t="s">
        <v>5786</v>
      </c>
      <c r="E1079" s="3191" t="s">
        <v>6010</v>
      </c>
      <c r="F1079" s="3207" t="s">
        <v>4330</v>
      </c>
      <c r="G1079" s="3197">
        <v>1106</v>
      </c>
      <c r="H1079" s="3191" t="s">
        <v>6261</v>
      </c>
      <c r="I1079" s="3191" t="s">
        <v>5095</v>
      </c>
      <c r="J1079" s="3203">
        <v>35.799999999999997</v>
      </c>
      <c r="K1079" s="3194">
        <v>11.88</v>
      </c>
      <c r="L1079" s="3196"/>
    </row>
    <row r="1080" spans="1:12">
      <c r="A1080" s="3190">
        <v>1079</v>
      </c>
      <c r="B1080" s="3191" t="s">
        <v>4583</v>
      </c>
      <c r="C1080" s="3191" t="s">
        <v>5169</v>
      </c>
      <c r="D1080" s="3192" t="s">
        <v>5786</v>
      </c>
      <c r="E1080" s="3191" t="s">
        <v>4844</v>
      </c>
      <c r="F1080" s="3193" t="s">
        <v>5487</v>
      </c>
      <c r="G1080" s="3197">
        <v>1107</v>
      </c>
      <c r="H1080" s="3191" t="s">
        <v>5096</v>
      </c>
      <c r="I1080" s="3191" t="s">
        <v>6262</v>
      </c>
      <c r="J1080" s="3203">
        <v>35.799999999999997</v>
      </c>
      <c r="K1080" s="3194">
        <v>11.88</v>
      </c>
      <c r="L1080" s="3196"/>
    </row>
    <row r="1081" spans="1:12">
      <c r="A1081" s="3190">
        <v>1080</v>
      </c>
      <c r="B1081" s="3191" t="s">
        <v>5749</v>
      </c>
      <c r="C1081" s="3191" t="s">
        <v>4007</v>
      </c>
      <c r="D1081" s="3192" t="s">
        <v>5786</v>
      </c>
      <c r="E1081" s="3191" t="s">
        <v>6010</v>
      </c>
      <c r="F1081" s="3193" t="s">
        <v>4322</v>
      </c>
      <c r="G1081" s="3197">
        <v>1108</v>
      </c>
      <c r="H1081" s="3191" t="s">
        <v>6263</v>
      </c>
      <c r="I1081" s="3191" t="s">
        <v>5097</v>
      </c>
      <c r="J1081" s="3203">
        <v>35.799999999999997</v>
      </c>
      <c r="K1081" s="3194">
        <v>11.88</v>
      </c>
      <c r="L1081" s="3196"/>
    </row>
    <row r="1082" spans="1:12">
      <c r="A1082" s="3190">
        <v>1081</v>
      </c>
      <c r="B1082" s="3191" t="s">
        <v>4583</v>
      </c>
      <c r="C1082" s="3191" t="s">
        <v>5169</v>
      </c>
      <c r="D1082" s="3192" t="s">
        <v>5786</v>
      </c>
      <c r="E1082" s="3191" t="s">
        <v>4844</v>
      </c>
      <c r="F1082" s="3193" t="s">
        <v>5487</v>
      </c>
      <c r="G1082" s="3197">
        <v>1109</v>
      </c>
      <c r="H1082" s="3191" t="s">
        <v>5098</v>
      </c>
      <c r="I1082" s="3191" t="s">
        <v>6264</v>
      </c>
      <c r="J1082" s="3203">
        <v>35.799999999999997</v>
      </c>
      <c r="K1082" s="3194">
        <v>11.88</v>
      </c>
      <c r="L1082" s="3196"/>
    </row>
    <row r="1083" spans="1:12">
      <c r="A1083" s="3190">
        <v>1082</v>
      </c>
      <c r="B1083" s="3191" t="s">
        <v>5749</v>
      </c>
      <c r="C1083" s="3191" t="s">
        <v>4007</v>
      </c>
      <c r="D1083" s="3192" t="s">
        <v>5786</v>
      </c>
      <c r="E1083" s="3191" t="s">
        <v>6010</v>
      </c>
      <c r="F1083" s="3193" t="s">
        <v>4322</v>
      </c>
      <c r="G1083" s="3197">
        <v>1110</v>
      </c>
      <c r="H1083" s="3191" t="s">
        <v>6265</v>
      </c>
      <c r="I1083" s="3191" t="s">
        <v>5099</v>
      </c>
      <c r="J1083" s="3203">
        <v>35.799999999999997</v>
      </c>
      <c r="K1083" s="3194">
        <v>11.88</v>
      </c>
      <c r="L1083" s="3196"/>
    </row>
    <row r="1084" spans="1:12">
      <c r="A1084" s="3190">
        <v>1083</v>
      </c>
      <c r="B1084" s="3191" t="s">
        <v>4583</v>
      </c>
      <c r="C1084" s="3191" t="s">
        <v>5169</v>
      </c>
      <c r="D1084" s="3192" t="s">
        <v>5786</v>
      </c>
      <c r="E1084" s="3191" t="s">
        <v>4844</v>
      </c>
      <c r="F1084" s="3193" t="s">
        <v>5487</v>
      </c>
      <c r="G1084" s="3197">
        <v>1111</v>
      </c>
      <c r="H1084" s="3191" t="s">
        <v>5100</v>
      </c>
      <c r="I1084" s="3191" t="s">
        <v>6266</v>
      </c>
      <c r="J1084" s="3203">
        <v>35.799999999999997</v>
      </c>
      <c r="K1084" s="3194">
        <v>11.88</v>
      </c>
      <c r="L1084" s="3196"/>
    </row>
    <row r="1085" spans="1:12">
      <c r="A1085" s="3190">
        <v>1084</v>
      </c>
      <c r="B1085" s="3191" t="s">
        <v>5749</v>
      </c>
      <c r="C1085" s="3191" t="s">
        <v>4007</v>
      </c>
      <c r="D1085" s="3192" t="s">
        <v>5786</v>
      </c>
      <c r="E1085" s="3191" t="s">
        <v>6010</v>
      </c>
      <c r="F1085" s="3193" t="s">
        <v>4322</v>
      </c>
      <c r="G1085" s="3197">
        <v>1112</v>
      </c>
      <c r="H1085" s="3191" t="s">
        <v>6267</v>
      </c>
      <c r="I1085" s="3191" t="s">
        <v>5101</v>
      </c>
      <c r="J1085" s="3203">
        <v>35.799999999999997</v>
      </c>
      <c r="K1085" s="3194">
        <v>11.88</v>
      </c>
      <c r="L1085" s="3196"/>
    </row>
    <row r="1086" spans="1:12">
      <c r="A1086" s="3190">
        <v>1085</v>
      </c>
      <c r="B1086" s="3191" t="s">
        <v>4583</v>
      </c>
      <c r="C1086" s="3191" t="s">
        <v>5169</v>
      </c>
      <c r="D1086" s="3192" t="s">
        <v>5747</v>
      </c>
      <c r="E1086" s="3191" t="s">
        <v>4844</v>
      </c>
      <c r="F1086" s="3193" t="s">
        <v>5487</v>
      </c>
      <c r="G1086" s="3197">
        <v>1113</v>
      </c>
      <c r="H1086" s="3191" t="s">
        <v>5102</v>
      </c>
      <c r="I1086" s="3191" t="s">
        <v>6268</v>
      </c>
      <c r="J1086" s="3194">
        <v>35.07</v>
      </c>
      <c r="K1086" s="3194">
        <v>11.64</v>
      </c>
      <c r="L1086" s="3196"/>
    </row>
    <row r="1087" spans="1:12">
      <c r="A1087" s="3190">
        <v>1086</v>
      </c>
      <c r="B1087" s="3191" t="s">
        <v>5749</v>
      </c>
      <c r="C1087" s="3191" t="s">
        <v>4007</v>
      </c>
      <c r="D1087" s="3192" t="s">
        <v>5747</v>
      </c>
      <c r="E1087" s="3191" t="s">
        <v>6010</v>
      </c>
      <c r="F1087" s="3193" t="s">
        <v>4322</v>
      </c>
      <c r="G1087" s="3197">
        <v>1114</v>
      </c>
      <c r="H1087" s="3191" t="s">
        <v>6269</v>
      </c>
      <c r="I1087" s="3191" t="s">
        <v>5103</v>
      </c>
      <c r="J1087" s="3194">
        <v>35.07</v>
      </c>
      <c r="K1087" s="3194">
        <v>11.64</v>
      </c>
      <c r="L1087" s="3196"/>
    </row>
    <row r="1088" spans="1:12">
      <c r="A1088" s="3190">
        <v>1087</v>
      </c>
      <c r="B1088" s="3191" t="s">
        <v>4583</v>
      </c>
      <c r="C1088" s="3191" t="s">
        <v>5169</v>
      </c>
      <c r="D1088" s="3192" t="s">
        <v>5747</v>
      </c>
      <c r="E1088" s="3191" t="s">
        <v>4844</v>
      </c>
      <c r="F1088" s="3193" t="s">
        <v>5487</v>
      </c>
      <c r="G1088" s="3197">
        <v>1115</v>
      </c>
      <c r="H1088" s="3191" t="s">
        <v>5104</v>
      </c>
      <c r="I1088" s="3191" t="s">
        <v>6270</v>
      </c>
      <c r="J1088" s="3194">
        <v>35.07</v>
      </c>
      <c r="K1088" s="3194">
        <v>11.64</v>
      </c>
      <c r="L1088" s="3196"/>
    </row>
    <row r="1089" spans="1:12">
      <c r="A1089" s="3190">
        <v>1088</v>
      </c>
      <c r="B1089" s="3191" t="s">
        <v>5749</v>
      </c>
      <c r="C1089" s="3191" t="s">
        <v>4007</v>
      </c>
      <c r="D1089" s="3192" t="s">
        <v>5747</v>
      </c>
      <c r="E1089" s="3191" t="s">
        <v>6010</v>
      </c>
      <c r="F1089" s="3193" t="s">
        <v>4322</v>
      </c>
      <c r="G1089" s="3197">
        <v>1116</v>
      </c>
      <c r="H1089" s="3191" t="s">
        <v>6271</v>
      </c>
      <c r="I1089" s="3191" t="s">
        <v>5105</v>
      </c>
      <c r="J1089" s="3194">
        <v>33.630000000000003</v>
      </c>
      <c r="K1089" s="3194">
        <v>11.16</v>
      </c>
      <c r="L1089" s="3196"/>
    </row>
    <row r="1090" spans="1:12">
      <c r="A1090" s="3190">
        <v>1089</v>
      </c>
      <c r="B1090" s="3191" t="s">
        <v>4583</v>
      </c>
      <c r="C1090" s="3191" t="s">
        <v>5169</v>
      </c>
      <c r="D1090" s="3192" t="s">
        <v>5747</v>
      </c>
      <c r="E1090" s="3191" t="s">
        <v>4844</v>
      </c>
      <c r="F1090" s="3207" t="s">
        <v>5494</v>
      </c>
      <c r="G1090" s="3197">
        <v>1117</v>
      </c>
      <c r="H1090" s="3191" t="s">
        <v>5106</v>
      </c>
      <c r="I1090" s="3191" t="s">
        <v>6272</v>
      </c>
      <c r="J1090" s="3194">
        <v>33.630000000000003</v>
      </c>
      <c r="K1090" s="3194">
        <v>11.16</v>
      </c>
      <c r="L1090" s="3196"/>
    </row>
    <row r="1091" spans="1:12">
      <c r="A1091" s="3190">
        <v>1090</v>
      </c>
      <c r="B1091" s="3191" t="s">
        <v>5749</v>
      </c>
      <c r="C1091" s="3191" t="s">
        <v>4007</v>
      </c>
      <c r="D1091" s="3192" t="s">
        <v>5747</v>
      </c>
      <c r="E1091" s="3191" t="s">
        <v>6010</v>
      </c>
      <c r="F1091" s="3193" t="s">
        <v>4322</v>
      </c>
      <c r="G1091" s="3197">
        <v>1118</v>
      </c>
      <c r="H1091" s="3191" t="s">
        <v>6273</v>
      </c>
      <c r="I1091" s="3191" t="s">
        <v>5107</v>
      </c>
      <c r="J1091" s="3194">
        <v>33.630000000000003</v>
      </c>
      <c r="K1091" s="3194">
        <v>11.16</v>
      </c>
      <c r="L1091" s="3196"/>
    </row>
    <row r="1092" spans="1:12">
      <c r="A1092" s="3190">
        <v>1091</v>
      </c>
      <c r="B1092" s="3191" t="s">
        <v>4583</v>
      </c>
      <c r="C1092" s="3191" t="s">
        <v>5169</v>
      </c>
      <c r="D1092" s="3192" t="s">
        <v>5747</v>
      </c>
      <c r="E1092" s="3191" t="s">
        <v>4844</v>
      </c>
      <c r="F1092" s="3193" t="s">
        <v>5487</v>
      </c>
      <c r="G1092" s="3197">
        <v>1119</v>
      </c>
      <c r="H1092" s="3191" t="s">
        <v>5108</v>
      </c>
      <c r="I1092" s="3191" t="s">
        <v>6274</v>
      </c>
      <c r="J1092" s="3194">
        <v>33.630000000000003</v>
      </c>
      <c r="K1092" s="3194">
        <v>11.16</v>
      </c>
      <c r="L1092" s="3196"/>
    </row>
    <row r="1093" spans="1:12">
      <c r="A1093" s="3190">
        <v>1092</v>
      </c>
      <c r="B1093" s="3191" t="s">
        <v>5749</v>
      </c>
      <c r="C1093" s="3191" t="s">
        <v>4007</v>
      </c>
      <c r="D1093" s="3192" t="s">
        <v>5747</v>
      </c>
      <c r="E1093" s="3191" t="s">
        <v>6010</v>
      </c>
      <c r="F1093" s="3193" t="s">
        <v>4322</v>
      </c>
      <c r="G1093" s="3197">
        <v>1120</v>
      </c>
      <c r="H1093" s="3191" t="s">
        <v>6275</v>
      </c>
      <c r="I1093" s="3191" t="s">
        <v>5109</v>
      </c>
      <c r="J1093" s="3194">
        <v>33.630000000000003</v>
      </c>
      <c r="K1093" s="3194">
        <v>11.16</v>
      </c>
      <c r="L1093" s="3196"/>
    </row>
    <row r="1094" spans="1:12">
      <c r="A1094" s="3190">
        <v>1093</v>
      </c>
      <c r="B1094" s="3191" t="s">
        <v>4583</v>
      </c>
      <c r="C1094" s="3191" t="s">
        <v>5169</v>
      </c>
      <c r="D1094" s="3192" t="s">
        <v>5747</v>
      </c>
      <c r="E1094" s="3191" t="s">
        <v>4844</v>
      </c>
      <c r="F1094" s="3193" t="s">
        <v>5487</v>
      </c>
      <c r="G1094" s="3197">
        <v>1121</v>
      </c>
      <c r="H1094" s="3191" t="s">
        <v>5110</v>
      </c>
      <c r="I1094" s="3191" t="s">
        <v>6276</v>
      </c>
      <c r="J1094" s="3194">
        <v>33.630000000000003</v>
      </c>
      <c r="K1094" s="3194">
        <v>11.16</v>
      </c>
      <c r="L1094" s="3196"/>
    </row>
    <row r="1095" spans="1:12">
      <c r="A1095" s="3190">
        <v>1094</v>
      </c>
      <c r="B1095" s="3191" t="s">
        <v>5749</v>
      </c>
      <c r="C1095" s="3191" t="s">
        <v>4007</v>
      </c>
      <c r="D1095" s="3192" t="s">
        <v>5747</v>
      </c>
      <c r="E1095" s="3191" t="s">
        <v>6010</v>
      </c>
      <c r="F1095" s="3207" t="s">
        <v>4330</v>
      </c>
      <c r="G1095" s="3197">
        <v>1122</v>
      </c>
      <c r="H1095" s="3191" t="s">
        <v>6277</v>
      </c>
      <c r="I1095" s="3191" t="s">
        <v>5111</v>
      </c>
      <c r="J1095" s="3194">
        <v>33.630000000000003</v>
      </c>
      <c r="K1095" s="3194">
        <v>11.16</v>
      </c>
      <c r="L1095" s="3196"/>
    </row>
    <row r="1096" spans="1:12">
      <c r="A1096" s="3190">
        <v>1095</v>
      </c>
      <c r="B1096" s="3191" t="s">
        <v>4583</v>
      </c>
      <c r="C1096" s="3191" t="s">
        <v>5169</v>
      </c>
      <c r="D1096" s="3192" t="s">
        <v>5747</v>
      </c>
      <c r="E1096" s="3191" t="s">
        <v>4844</v>
      </c>
      <c r="F1096" s="3207" t="s">
        <v>5494</v>
      </c>
      <c r="G1096" s="3197">
        <v>1123</v>
      </c>
      <c r="H1096" s="3191" t="s">
        <v>5112</v>
      </c>
      <c r="I1096" s="3191" t="s">
        <v>6278</v>
      </c>
      <c r="J1096" s="3194">
        <v>33.630000000000003</v>
      </c>
      <c r="K1096" s="3194">
        <v>11.16</v>
      </c>
      <c r="L1096" s="3196"/>
    </row>
    <row r="1097" spans="1:12">
      <c r="A1097" s="3190">
        <v>1096</v>
      </c>
      <c r="B1097" s="3191" t="s">
        <v>5749</v>
      </c>
      <c r="C1097" s="3191" t="s">
        <v>4007</v>
      </c>
      <c r="D1097" s="3192" t="s">
        <v>5747</v>
      </c>
      <c r="E1097" s="3191" t="s">
        <v>6010</v>
      </c>
      <c r="F1097" s="3207" t="s">
        <v>4330</v>
      </c>
      <c r="G1097" s="3197">
        <v>1124</v>
      </c>
      <c r="H1097" s="3191" t="s">
        <v>6279</v>
      </c>
      <c r="I1097" s="3191" t="s">
        <v>5113</v>
      </c>
      <c r="J1097" s="3211">
        <v>33.630000000000003</v>
      </c>
      <c r="K1097" s="3194">
        <v>11.16</v>
      </c>
      <c r="L1097" s="3196"/>
    </row>
    <row r="1098" spans="1:12">
      <c r="A1098" s="3190">
        <v>1097</v>
      </c>
      <c r="B1098" s="3191" t="s">
        <v>4583</v>
      </c>
      <c r="C1098" s="3191" t="s">
        <v>5169</v>
      </c>
      <c r="D1098" s="3192" t="s">
        <v>5747</v>
      </c>
      <c r="E1098" s="3191" t="s">
        <v>4844</v>
      </c>
      <c r="F1098" s="3207" t="s">
        <v>5494</v>
      </c>
      <c r="G1098" s="3197">
        <v>1126</v>
      </c>
      <c r="H1098" s="3191" t="s">
        <v>5114</v>
      </c>
      <c r="I1098" s="3191" t="s">
        <v>6280</v>
      </c>
      <c r="J1098" s="3194">
        <v>35.07</v>
      </c>
      <c r="K1098" s="3194">
        <v>11.64</v>
      </c>
      <c r="L1098" s="3196"/>
    </row>
    <row r="1099" spans="1:12">
      <c r="A1099" s="3190">
        <v>1098</v>
      </c>
      <c r="B1099" s="3191" t="s">
        <v>5749</v>
      </c>
      <c r="C1099" s="3191" t="s">
        <v>4007</v>
      </c>
      <c r="D1099" s="3192" t="s">
        <v>5747</v>
      </c>
      <c r="E1099" s="3191" t="s">
        <v>6010</v>
      </c>
      <c r="F1099" s="3193" t="s">
        <v>4322</v>
      </c>
      <c r="G1099" s="3197">
        <v>1140</v>
      </c>
      <c r="H1099" s="3191" t="s">
        <v>6281</v>
      </c>
      <c r="I1099" s="3191" t="s">
        <v>5115</v>
      </c>
      <c r="J1099" s="3194">
        <v>33.630000000000003</v>
      </c>
      <c r="K1099" s="3194">
        <v>11.16</v>
      </c>
      <c r="L1099" s="3196"/>
    </row>
    <row r="1100" spans="1:12">
      <c r="A1100" s="3190">
        <v>1099</v>
      </c>
      <c r="B1100" s="3191" t="s">
        <v>4583</v>
      </c>
      <c r="C1100" s="3191" t="s">
        <v>5169</v>
      </c>
      <c r="D1100" s="3192" t="s">
        <v>5747</v>
      </c>
      <c r="E1100" s="3191" t="s">
        <v>4844</v>
      </c>
      <c r="F1100" s="3193" t="s">
        <v>5487</v>
      </c>
      <c r="G1100" s="3197">
        <v>1141</v>
      </c>
      <c r="H1100" s="3191" t="s">
        <v>5116</v>
      </c>
      <c r="I1100" s="3191" t="s">
        <v>6282</v>
      </c>
      <c r="J1100" s="3194">
        <v>33.630000000000003</v>
      </c>
      <c r="K1100" s="3194">
        <v>11.16</v>
      </c>
      <c r="L1100" s="3196"/>
    </row>
    <row r="1101" spans="1:12">
      <c r="A1101" s="3190">
        <v>1100</v>
      </c>
      <c r="B1101" s="3191" t="s">
        <v>5749</v>
      </c>
      <c r="C1101" s="3191" t="s">
        <v>4007</v>
      </c>
      <c r="D1101" s="3192" t="s">
        <v>5747</v>
      </c>
      <c r="E1101" s="3191" t="s">
        <v>6010</v>
      </c>
      <c r="F1101" s="3193" t="s">
        <v>4322</v>
      </c>
      <c r="G1101" s="3197">
        <v>1142</v>
      </c>
      <c r="H1101" s="3191" t="s">
        <v>6283</v>
      </c>
      <c r="I1101" s="3191" t="s">
        <v>5117</v>
      </c>
      <c r="J1101" s="3203">
        <v>35.799999999999997</v>
      </c>
      <c r="K1101" s="3194">
        <v>11.88</v>
      </c>
      <c r="L1101" s="3196"/>
    </row>
    <row r="1102" spans="1:12">
      <c r="A1102" s="3190">
        <v>1101</v>
      </c>
      <c r="B1102" s="3191" t="s">
        <v>4583</v>
      </c>
      <c r="C1102" s="3191" t="s">
        <v>5169</v>
      </c>
      <c r="D1102" s="3192" t="s">
        <v>5747</v>
      </c>
      <c r="E1102" s="3191" t="s">
        <v>4844</v>
      </c>
      <c r="F1102" s="3193" t="s">
        <v>5487</v>
      </c>
      <c r="G1102" s="3197">
        <v>1143</v>
      </c>
      <c r="H1102" s="3191" t="s">
        <v>5118</v>
      </c>
      <c r="I1102" s="3191" t="s">
        <v>6284</v>
      </c>
      <c r="J1102" s="3203">
        <v>35.799999999999997</v>
      </c>
      <c r="K1102" s="3194">
        <v>11.88</v>
      </c>
      <c r="L1102" s="3196"/>
    </row>
    <row r="1103" spans="1:12">
      <c r="A1103" s="3190">
        <v>1102</v>
      </c>
      <c r="B1103" s="3191" t="s">
        <v>5749</v>
      </c>
      <c r="C1103" s="3191" t="s">
        <v>4007</v>
      </c>
      <c r="D1103" s="3192" t="s">
        <v>5786</v>
      </c>
      <c r="E1103" s="3191" t="s">
        <v>6010</v>
      </c>
      <c r="F1103" s="3193" t="s">
        <v>4322</v>
      </c>
      <c r="G1103" s="3197">
        <v>1144</v>
      </c>
      <c r="H1103" s="3191" t="s">
        <v>6285</v>
      </c>
      <c r="I1103" s="3191" t="s">
        <v>5119</v>
      </c>
      <c r="J1103" s="3203">
        <v>35.799999999999997</v>
      </c>
      <c r="K1103" s="3194">
        <v>11.88</v>
      </c>
      <c r="L1103" s="3196"/>
    </row>
    <row r="1104" spans="1:12">
      <c r="A1104" s="3190">
        <v>1103</v>
      </c>
      <c r="B1104" s="3191" t="s">
        <v>4583</v>
      </c>
      <c r="C1104" s="3191" t="s">
        <v>5169</v>
      </c>
      <c r="D1104" s="3192" t="s">
        <v>5786</v>
      </c>
      <c r="E1104" s="3191" t="s">
        <v>4844</v>
      </c>
      <c r="F1104" s="3207" t="s">
        <v>5494</v>
      </c>
      <c r="G1104" s="3197">
        <v>1145</v>
      </c>
      <c r="H1104" s="3191" t="s">
        <v>5120</v>
      </c>
      <c r="I1104" s="3191" t="s">
        <v>6286</v>
      </c>
      <c r="J1104" s="3203">
        <v>35.799999999999997</v>
      </c>
      <c r="K1104" s="3194">
        <v>11.88</v>
      </c>
      <c r="L1104" s="3196"/>
    </row>
    <row r="1105" spans="1:12">
      <c r="A1105" s="3190">
        <v>1104</v>
      </c>
      <c r="B1105" s="3191" t="s">
        <v>5749</v>
      </c>
      <c r="C1105" s="3191" t="s">
        <v>4007</v>
      </c>
      <c r="D1105" s="3192" t="s">
        <v>5786</v>
      </c>
      <c r="E1105" s="3191" t="s">
        <v>6010</v>
      </c>
      <c r="F1105" s="3207" t="s">
        <v>4330</v>
      </c>
      <c r="G1105" s="3197">
        <v>1146</v>
      </c>
      <c r="H1105" s="3191" t="s">
        <v>6287</v>
      </c>
      <c r="I1105" s="3191" t="s">
        <v>5121</v>
      </c>
      <c r="J1105" s="3203">
        <v>35.799999999999997</v>
      </c>
      <c r="K1105" s="3194">
        <v>11.88</v>
      </c>
      <c r="L1105" s="3196"/>
    </row>
    <row r="1106" spans="1:12">
      <c r="A1106" s="3190">
        <v>1105</v>
      </c>
      <c r="B1106" s="3191" t="s">
        <v>4583</v>
      </c>
      <c r="C1106" s="3191" t="s">
        <v>5169</v>
      </c>
      <c r="D1106" s="3192" t="s">
        <v>5786</v>
      </c>
      <c r="E1106" s="3191" t="s">
        <v>4844</v>
      </c>
      <c r="F1106" s="3207" t="s">
        <v>5494</v>
      </c>
      <c r="G1106" s="3197">
        <v>1147</v>
      </c>
      <c r="H1106" s="3191" t="s">
        <v>5122</v>
      </c>
      <c r="I1106" s="3191" t="s">
        <v>6288</v>
      </c>
      <c r="J1106" s="3203">
        <v>35.799999999999997</v>
      </c>
      <c r="K1106" s="3194">
        <v>11.88</v>
      </c>
      <c r="L1106" s="3196"/>
    </row>
    <row r="1107" spans="1:12">
      <c r="A1107" s="3190">
        <v>1106</v>
      </c>
      <c r="B1107" s="3191" t="s">
        <v>5749</v>
      </c>
      <c r="C1107" s="3191" t="s">
        <v>4007</v>
      </c>
      <c r="D1107" s="3218" t="s">
        <v>5786</v>
      </c>
      <c r="E1107" s="3191" t="s">
        <v>6010</v>
      </c>
      <c r="F1107" s="3193" t="s">
        <v>4322</v>
      </c>
      <c r="G1107" s="3197">
        <v>1148</v>
      </c>
      <c r="H1107" s="3191" t="s">
        <v>6289</v>
      </c>
      <c r="I1107" s="3191" t="s">
        <v>5123</v>
      </c>
      <c r="J1107" s="3203">
        <v>35.799999999999997</v>
      </c>
      <c r="K1107" s="3194">
        <v>11.88</v>
      </c>
      <c r="L1107" s="3196"/>
    </row>
    <row r="1108" spans="1:12">
      <c r="A1108" s="3190">
        <v>1107</v>
      </c>
      <c r="B1108" s="3191" t="s">
        <v>4583</v>
      </c>
      <c r="C1108" s="3191" t="s">
        <v>5169</v>
      </c>
      <c r="D1108" s="3192" t="s">
        <v>5786</v>
      </c>
      <c r="E1108" s="3191" t="s">
        <v>4844</v>
      </c>
      <c r="F1108" s="3193" t="s">
        <v>5487</v>
      </c>
      <c r="G1108" s="3197">
        <v>1149</v>
      </c>
      <c r="H1108" s="3191" t="s">
        <v>5124</v>
      </c>
      <c r="I1108" s="3191" t="s">
        <v>6290</v>
      </c>
      <c r="J1108" s="3203">
        <v>35.799999999999997</v>
      </c>
      <c r="K1108" s="3194">
        <v>11.88</v>
      </c>
      <c r="L1108" s="3196"/>
    </row>
    <row r="1109" spans="1:12">
      <c r="A1109" s="3190">
        <v>1108</v>
      </c>
      <c r="B1109" s="3191" t="s">
        <v>5749</v>
      </c>
      <c r="C1109" s="3191" t="s">
        <v>4007</v>
      </c>
      <c r="D1109" s="3192" t="s">
        <v>5786</v>
      </c>
      <c r="E1109" s="3191" t="s">
        <v>6010</v>
      </c>
      <c r="F1109" s="3193" t="s">
        <v>4322</v>
      </c>
      <c r="G1109" s="3197">
        <v>1150</v>
      </c>
      <c r="H1109" s="3191" t="s">
        <v>6291</v>
      </c>
      <c r="I1109" s="3191" t="s">
        <v>5125</v>
      </c>
      <c r="J1109" s="3203">
        <v>35.799999999999997</v>
      </c>
      <c r="K1109" s="3194">
        <v>11.88</v>
      </c>
      <c r="L1109" s="3196"/>
    </row>
    <row r="1110" spans="1:12">
      <c r="A1110" s="3190">
        <v>1109</v>
      </c>
      <c r="B1110" s="3191" t="s">
        <v>4583</v>
      </c>
      <c r="C1110" s="3191" t="s">
        <v>5169</v>
      </c>
      <c r="D1110" s="3192" t="s">
        <v>5786</v>
      </c>
      <c r="E1110" s="3191" t="s">
        <v>4844</v>
      </c>
      <c r="F1110" s="3193" t="s">
        <v>5487</v>
      </c>
      <c r="G1110" s="3197">
        <v>1151</v>
      </c>
      <c r="H1110" s="3191" t="s">
        <v>5126</v>
      </c>
      <c r="I1110" s="3191" t="s">
        <v>6292</v>
      </c>
      <c r="J1110" s="3203">
        <v>35.799999999999997</v>
      </c>
      <c r="K1110" s="3194">
        <v>11.88</v>
      </c>
      <c r="L1110" s="3196"/>
    </row>
    <row r="1111" spans="1:12">
      <c r="A1111" s="3190">
        <v>1110</v>
      </c>
      <c r="B1111" s="3191" t="s">
        <v>5749</v>
      </c>
      <c r="C1111" s="3191" t="s">
        <v>4007</v>
      </c>
      <c r="D1111" s="3192" t="s">
        <v>5786</v>
      </c>
      <c r="E1111" s="3191" t="s">
        <v>6010</v>
      </c>
      <c r="F1111" s="3193" t="s">
        <v>4322</v>
      </c>
      <c r="G1111" s="3197">
        <v>1152</v>
      </c>
      <c r="H1111" s="3191" t="s">
        <v>6293</v>
      </c>
      <c r="I1111" s="3191" t="s">
        <v>5127</v>
      </c>
      <c r="J1111" s="3203">
        <v>35.799999999999997</v>
      </c>
      <c r="K1111" s="3194">
        <v>11.88</v>
      </c>
      <c r="L1111" s="3196"/>
    </row>
    <row r="1112" spans="1:12">
      <c r="A1112" s="3190">
        <v>1111</v>
      </c>
      <c r="B1112" s="3191" t="s">
        <v>4583</v>
      </c>
      <c r="C1112" s="3191" t="s">
        <v>5169</v>
      </c>
      <c r="D1112" s="3192" t="s">
        <v>5786</v>
      </c>
      <c r="E1112" s="3191" t="s">
        <v>4844</v>
      </c>
      <c r="F1112" s="3193" t="s">
        <v>5487</v>
      </c>
      <c r="G1112" s="3197">
        <v>1153</v>
      </c>
      <c r="H1112" s="3191" t="s">
        <v>5128</v>
      </c>
      <c r="I1112" s="3191" t="s">
        <v>6294</v>
      </c>
      <c r="J1112" s="3203">
        <v>35.799999999999997</v>
      </c>
      <c r="K1112" s="3194">
        <v>11.88</v>
      </c>
      <c r="L1112" s="3196"/>
    </row>
    <row r="1113" spans="1:12">
      <c r="A1113" s="3190">
        <v>1112</v>
      </c>
      <c r="B1113" s="3191" t="s">
        <v>5749</v>
      </c>
      <c r="C1113" s="3191" t="s">
        <v>4007</v>
      </c>
      <c r="D1113" s="3192" t="s">
        <v>5786</v>
      </c>
      <c r="E1113" s="3191" t="s">
        <v>6010</v>
      </c>
      <c r="F1113" s="3193" t="s">
        <v>4322</v>
      </c>
      <c r="G1113" s="3197">
        <v>1154</v>
      </c>
      <c r="H1113" s="3191" t="s">
        <v>6295</v>
      </c>
      <c r="I1113" s="3191" t="s">
        <v>5129</v>
      </c>
      <c r="J1113" s="3203">
        <v>35.799999999999997</v>
      </c>
      <c r="K1113" s="3194">
        <v>11.88</v>
      </c>
      <c r="L1113" s="3196"/>
    </row>
    <row r="1114" spans="1:12">
      <c r="A1114" s="3190">
        <v>1113</v>
      </c>
      <c r="B1114" s="3191" t="s">
        <v>4583</v>
      </c>
      <c r="C1114" s="3191" t="s">
        <v>5169</v>
      </c>
      <c r="D1114" s="3192" t="s">
        <v>5786</v>
      </c>
      <c r="E1114" s="3191" t="s">
        <v>4844</v>
      </c>
      <c r="F1114" s="3193" t="s">
        <v>5487</v>
      </c>
      <c r="G1114" s="3197">
        <v>1155</v>
      </c>
      <c r="H1114" s="3191" t="s">
        <v>5130</v>
      </c>
      <c r="I1114" s="3191" t="s">
        <v>6296</v>
      </c>
      <c r="J1114" s="3203">
        <v>35.799999999999997</v>
      </c>
      <c r="K1114" s="3194">
        <v>11.88</v>
      </c>
      <c r="L1114" s="3196"/>
    </row>
    <row r="1115" spans="1:12">
      <c r="A1115" s="3190">
        <v>1114</v>
      </c>
      <c r="B1115" s="3191" t="s">
        <v>5749</v>
      </c>
      <c r="C1115" s="3191" t="s">
        <v>4007</v>
      </c>
      <c r="D1115" s="3192" t="s">
        <v>5747</v>
      </c>
      <c r="E1115" s="3191" t="s">
        <v>6010</v>
      </c>
      <c r="F1115" s="3193" t="s">
        <v>4322</v>
      </c>
      <c r="G1115" s="3197">
        <v>1156</v>
      </c>
      <c r="H1115" s="3191" t="s">
        <v>6297</v>
      </c>
      <c r="I1115" s="3191" t="s">
        <v>5131</v>
      </c>
      <c r="J1115" s="3203">
        <v>35.799999999999997</v>
      </c>
      <c r="K1115" s="3194">
        <v>11.88</v>
      </c>
      <c r="L1115" s="3196"/>
    </row>
    <row r="1116" spans="1:12">
      <c r="A1116" s="3190">
        <v>1115</v>
      </c>
      <c r="B1116" s="3191" t="s">
        <v>4583</v>
      </c>
      <c r="C1116" s="3191" t="s">
        <v>5169</v>
      </c>
      <c r="D1116" s="3192" t="s">
        <v>5747</v>
      </c>
      <c r="E1116" s="3191" t="s">
        <v>4844</v>
      </c>
      <c r="F1116" s="3193" t="s">
        <v>5487</v>
      </c>
      <c r="G1116" s="3197">
        <v>1157</v>
      </c>
      <c r="H1116" s="3191" t="s">
        <v>5132</v>
      </c>
      <c r="I1116" s="3191" t="s">
        <v>6298</v>
      </c>
      <c r="J1116" s="3203">
        <v>35.799999999999997</v>
      </c>
      <c r="K1116" s="3194">
        <v>11.88</v>
      </c>
      <c r="L1116" s="3196"/>
    </row>
    <row r="1117" spans="1:12">
      <c r="A1117" s="3190">
        <v>1116</v>
      </c>
      <c r="B1117" s="3191" t="s">
        <v>5749</v>
      </c>
      <c r="C1117" s="3191" t="s">
        <v>4007</v>
      </c>
      <c r="D1117" s="3192" t="s">
        <v>5747</v>
      </c>
      <c r="E1117" s="3191" t="s">
        <v>6010</v>
      </c>
      <c r="F1117" s="3193" t="s">
        <v>4322</v>
      </c>
      <c r="G1117" s="3197">
        <v>1158</v>
      </c>
      <c r="H1117" s="3191" t="s">
        <v>6299</v>
      </c>
      <c r="I1117" s="3191" t="s">
        <v>5133</v>
      </c>
      <c r="J1117" s="3194">
        <v>36.549999999999997</v>
      </c>
      <c r="K1117" s="3194">
        <v>12.13</v>
      </c>
      <c r="L1117" s="3196"/>
    </row>
    <row r="1118" spans="1:12">
      <c r="A1118" s="3190">
        <v>1117</v>
      </c>
      <c r="B1118" s="3191" t="s">
        <v>4583</v>
      </c>
      <c r="C1118" s="3191" t="s">
        <v>5169</v>
      </c>
      <c r="D1118" s="3192" t="s">
        <v>5747</v>
      </c>
      <c r="E1118" s="3191" t="s">
        <v>4844</v>
      </c>
      <c r="F1118" s="3193" t="s">
        <v>5487</v>
      </c>
      <c r="G1118" s="3197">
        <v>1159</v>
      </c>
      <c r="H1118" s="3191" t="s">
        <v>5134</v>
      </c>
      <c r="I1118" s="3191" t="s">
        <v>6300</v>
      </c>
      <c r="J1118" s="3194">
        <v>36.549999999999997</v>
      </c>
      <c r="K1118" s="3194">
        <v>12.13</v>
      </c>
      <c r="L1118" s="3196"/>
    </row>
    <row r="1119" spans="1:12">
      <c r="A1119" s="3190">
        <v>1118</v>
      </c>
      <c r="B1119" s="3191" t="s">
        <v>5749</v>
      </c>
      <c r="C1119" s="3191" t="s">
        <v>4007</v>
      </c>
      <c r="D1119" s="3192" t="s">
        <v>5786</v>
      </c>
      <c r="E1119" s="3191" t="s">
        <v>6010</v>
      </c>
      <c r="F1119" s="3193" t="s">
        <v>4322</v>
      </c>
      <c r="G1119" s="3197">
        <v>1160</v>
      </c>
      <c r="H1119" s="3191" t="s">
        <v>6301</v>
      </c>
      <c r="I1119" s="3191" t="s">
        <v>5135</v>
      </c>
      <c r="J1119" s="3194">
        <v>37.270000000000003</v>
      </c>
      <c r="K1119" s="3194">
        <v>12.37</v>
      </c>
      <c r="L1119" s="3196"/>
    </row>
    <row r="1120" spans="1:12">
      <c r="A1120" s="3190">
        <v>1119</v>
      </c>
      <c r="B1120" s="3191" t="s">
        <v>4583</v>
      </c>
      <c r="C1120" s="3191" t="s">
        <v>5169</v>
      </c>
      <c r="D1120" s="3192" t="s">
        <v>5786</v>
      </c>
      <c r="E1120" s="3191" t="s">
        <v>4844</v>
      </c>
      <c r="F1120" s="3207" t="s">
        <v>5494</v>
      </c>
      <c r="G1120" s="3197">
        <v>1161</v>
      </c>
      <c r="H1120" s="3191" t="s">
        <v>5136</v>
      </c>
      <c r="I1120" s="3191" t="s">
        <v>6302</v>
      </c>
      <c r="J1120" s="3194">
        <v>37.270000000000003</v>
      </c>
      <c r="K1120" s="3194">
        <v>12.37</v>
      </c>
      <c r="L1120" s="3196"/>
    </row>
    <row r="1121" spans="1:12">
      <c r="A1121" s="3190">
        <v>1120</v>
      </c>
      <c r="B1121" s="3191" t="s">
        <v>5749</v>
      </c>
      <c r="C1121" s="3191" t="s">
        <v>4007</v>
      </c>
      <c r="D1121" s="3192" t="s">
        <v>5786</v>
      </c>
      <c r="E1121" s="3191" t="s">
        <v>6010</v>
      </c>
      <c r="F1121" s="3193" t="s">
        <v>4322</v>
      </c>
      <c r="G1121" s="3197">
        <v>1162</v>
      </c>
      <c r="H1121" s="3191" t="s">
        <v>6303</v>
      </c>
      <c r="I1121" s="3191" t="s">
        <v>5137</v>
      </c>
      <c r="J1121" s="3194">
        <v>37.270000000000003</v>
      </c>
      <c r="K1121" s="3194">
        <v>12.37</v>
      </c>
      <c r="L1121" s="3196"/>
    </row>
    <row r="1122" spans="1:12">
      <c r="A1122" s="3190">
        <v>1121</v>
      </c>
      <c r="B1122" s="3191" t="s">
        <v>4583</v>
      </c>
      <c r="C1122" s="3191" t="s">
        <v>5169</v>
      </c>
      <c r="D1122" s="3192" t="s">
        <v>5786</v>
      </c>
      <c r="E1122" s="3191" t="s">
        <v>4844</v>
      </c>
      <c r="F1122" s="3193" t="s">
        <v>5487</v>
      </c>
      <c r="G1122" s="3197">
        <v>1163</v>
      </c>
      <c r="H1122" s="3191" t="s">
        <v>5138</v>
      </c>
      <c r="I1122" s="3191" t="s">
        <v>6304</v>
      </c>
      <c r="J1122" s="3194">
        <v>37.270000000000003</v>
      </c>
      <c r="K1122" s="3194">
        <v>12.37</v>
      </c>
      <c r="L1122" s="3196"/>
    </row>
    <row r="1123" spans="1:12">
      <c r="A1123" s="3190">
        <v>1122</v>
      </c>
      <c r="B1123" s="3191" t="s">
        <v>5749</v>
      </c>
      <c r="C1123" s="3191" t="s">
        <v>4007</v>
      </c>
      <c r="D1123" s="3192" t="s">
        <v>5786</v>
      </c>
      <c r="E1123" s="3191" t="s">
        <v>6010</v>
      </c>
      <c r="F1123" s="3207" t="s">
        <v>4330</v>
      </c>
      <c r="G1123" s="3197">
        <v>1164</v>
      </c>
      <c r="H1123" s="3191" t="s">
        <v>6305</v>
      </c>
      <c r="I1123" s="3191" t="s">
        <v>5139</v>
      </c>
      <c r="J1123" s="3194">
        <v>37.270000000000003</v>
      </c>
      <c r="K1123" s="3194">
        <v>12.37</v>
      </c>
      <c r="L1123" s="3196"/>
    </row>
    <row r="1124" spans="1:12">
      <c r="A1124" s="3190">
        <v>1123</v>
      </c>
      <c r="B1124" s="3191" t="s">
        <v>4583</v>
      </c>
      <c r="C1124" s="3191" t="s">
        <v>5169</v>
      </c>
      <c r="D1124" s="3218" t="s">
        <v>5786</v>
      </c>
      <c r="E1124" s="3191" t="s">
        <v>4844</v>
      </c>
      <c r="F1124" s="3193" t="s">
        <v>5487</v>
      </c>
      <c r="G1124" s="3197">
        <v>1165</v>
      </c>
      <c r="H1124" s="3191" t="s">
        <v>5140</v>
      </c>
      <c r="I1124" s="3191" t="s">
        <v>6306</v>
      </c>
      <c r="J1124" s="3194">
        <v>37.270000000000003</v>
      </c>
      <c r="K1124" s="3194">
        <v>12.37</v>
      </c>
      <c r="L1124" s="3196"/>
    </row>
    <row r="1125" spans="1:12">
      <c r="A1125" s="3190">
        <v>1124</v>
      </c>
      <c r="B1125" s="3191" t="s">
        <v>5749</v>
      </c>
      <c r="C1125" s="3191" t="s">
        <v>4007</v>
      </c>
      <c r="D1125" s="3192" t="s">
        <v>5786</v>
      </c>
      <c r="E1125" s="3191" t="s">
        <v>6010</v>
      </c>
      <c r="F1125" s="3207" t="s">
        <v>4330</v>
      </c>
      <c r="G1125" s="3197">
        <v>1170</v>
      </c>
      <c r="H1125" s="3191" t="s">
        <v>6307</v>
      </c>
      <c r="I1125" s="3191" t="s">
        <v>5141</v>
      </c>
      <c r="J1125" s="3194">
        <v>37.270000000000003</v>
      </c>
      <c r="K1125" s="3194">
        <v>12.37</v>
      </c>
      <c r="L1125" s="3196"/>
    </row>
    <row r="1126" spans="1:12">
      <c r="A1126" s="3190">
        <v>1125</v>
      </c>
      <c r="B1126" s="3191" t="s">
        <v>4583</v>
      </c>
      <c r="C1126" s="3191" t="s">
        <v>5169</v>
      </c>
      <c r="D1126" s="3192" t="s">
        <v>5786</v>
      </c>
      <c r="E1126" s="3191" t="s">
        <v>4844</v>
      </c>
      <c r="F1126" s="3207" t="s">
        <v>5494</v>
      </c>
      <c r="G1126" s="3197">
        <v>1171</v>
      </c>
      <c r="H1126" s="3191" t="s">
        <v>5142</v>
      </c>
      <c r="I1126" s="3191" t="s">
        <v>6308</v>
      </c>
      <c r="J1126" s="3194">
        <v>37.270000000000003</v>
      </c>
      <c r="K1126" s="3211">
        <v>12.37</v>
      </c>
      <c r="L1126" s="3196"/>
    </row>
    <row r="1127" spans="1:12">
      <c r="A1127" s="3190">
        <v>1126</v>
      </c>
      <c r="B1127" s="3191" t="s">
        <v>5749</v>
      </c>
      <c r="C1127" s="3191" t="s">
        <v>4007</v>
      </c>
      <c r="D1127" s="3192" t="s">
        <v>5747</v>
      </c>
      <c r="E1127" s="3191" t="s">
        <v>6010</v>
      </c>
      <c r="F1127" s="3193" t="s">
        <v>4322</v>
      </c>
      <c r="G1127" s="3197">
        <v>1173</v>
      </c>
      <c r="H1127" s="3191" t="s">
        <v>6309</v>
      </c>
      <c r="I1127" s="3191" t="s">
        <v>5143</v>
      </c>
      <c r="J1127" s="3194">
        <v>37.270000000000003</v>
      </c>
      <c r="K1127" s="3194">
        <v>12.37</v>
      </c>
      <c r="L1127" s="3196"/>
    </row>
    <row r="1128" spans="1:12">
      <c r="A1128" s="3190">
        <v>1127</v>
      </c>
      <c r="B1128" s="3191" t="s">
        <v>4583</v>
      </c>
      <c r="C1128" s="3191" t="s">
        <v>5169</v>
      </c>
      <c r="D1128" s="3192" t="s">
        <v>5747</v>
      </c>
      <c r="E1128" s="3191" t="s">
        <v>4844</v>
      </c>
      <c r="F1128" s="3193" t="s">
        <v>5487</v>
      </c>
      <c r="G1128" s="3197">
        <v>1174</v>
      </c>
      <c r="H1128" s="3191" t="s">
        <v>5144</v>
      </c>
      <c r="I1128" s="3191" t="s">
        <v>6310</v>
      </c>
      <c r="J1128" s="3194">
        <v>35.07</v>
      </c>
      <c r="K1128" s="3194">
        <v>11.64</v>
      </c>
      <c r="L1128" s="3196"/>
    </row>
    <row r="1129" spans="1:12">
      <c r="A1129" s="3190">
        <v>1128</v>
      </c>
      <c r="B1129" s="3191" t="s">
        <v>5749</v>
      </c>
      <c r="C1129" s="3191" t="s">
        <v>4007</v>
      </c>
      <c r="D1129" s="3192" t="s">
        <v>5747</v>
      </c>
      <c r="E1129" s="3191" t="s">
        <v>6010</v>
      </c>
      <c r="F1129" s="3193" t="s">
        <v>4322</v>
      </c>
      <c r="G1129" s="3197">
        <v>1175</v>
      </c>
      <c r="H1129" s="3191" t="s">
        <v>6311</v>
      </c>
      <c r="I1129" s="3191" t="s">
        <v>5145</v>
      </c>
      <c r="J1129" s="3194">
        <v>35.07</v>
      </c>
      <c r="K1129" s="3194">
        <v>11.64</v>
      </c>
      <c r="L1129" s="3196"/>
    </row>
    <row r="1130" spans="1:12">
      <c r="A1130" s="3190">
        <v>1129</v>
      </c>
      <c r="B1130" s="3191" t="s">
        <v>4583</v>
      </c>
      <c r="C1130" s="3191" t="s">
        <v>5169</v>
      </c>
      <c r="D1130" s="3192" t="s">
        <v>5747</v>
      </c>
      <c r="E1130" s="3191" t="s">
        <v>4844</v>
      </c>
      <c r="F1130" s="3193" t="s">
        <v>5487</v>
      </c>
      <c r="G1130" s="3197">
        <v>1176</v>
      </c>
      <c r="H1130" s="3191" t="s">
        <v>5146</v>
      </c>
      <c r="I1130" s="3191" t="s">
        <v>6312</v>
      </c>
      <c r="J1130" s="3194">
        <v>35.07</v>
      </c>
      <c r="K1130" s="3194">
        <v>11.64</v>
      </c>
      <c r="L1130" s="3196"/>
    </row>
    <row r="1131" spans="1:12">
      <c r="A1131" s="3190">
        <v>1130</v>
      </c>
      <c r="B1131" s="3191" t="s">
        <v>5749</v>
      </c>
      <c r="C1131" s="3191" t="s">
        <v>4007</v>
      </c>
      <c r="D1131" s="3192" t="s">
        <v>5786</v>
      </c>
      <c r="E1131" s="3191" t="s">
        <v>6010</v>
      </c>
      <c r="F1131" s="3193" t="s">
        <v>4322</v>
      </c>
      <c r="G1131" s="3197">
        <v>1181</v>
      </c>
      <c r="H1131" s="3191" t="s">
        <v>6313</v>
      </c>
      <c r="I1131" s="3191" t="s">
        <v>5147</v>
      </c>
      <c r="J1131" s="3194">
        <v>37.270000000000003</v>
      </c>
      <c r="K1131" s="3194">
        <v>12.37</v>
      </c>
      <c r="L1131" s="3196"/>
    </row>
    <row r="1132" spans="1:12">
      <c r="A1132" s="3190">
        <v>1131</v>
      </c>
      <c r="B1132" s="3191" t="s">
        <v>4583</v>
      </c>
      <c r="C1132" s="3191" t="s">
        <v>5169</v>
      </c>
      <c r="D1132" s="3192" t="s">
        <v>5786</v>
      </c>
      <c r="E1132" s="3191" t="s">
        <v>4844</v>
      </c>
      <c r="F1132" s="3193" t="s">
        <v>5487</v>
      </c>
      <c r="G1132" s="3197">
        <v>1182</v>
      </c>
      <c r="H1132" s="3191" t="s">
        <v>5148</v>
      </c>
      <c r="I1132" s="3191" t="s">
        <v>6314</v>
      </c>
      <c r="J1132" s="3194">
        <v>37.270000000000003</v>
      </c>
      <c r="K1132" s="3194">
        <v>12.37</v>
      </c>
      <c r="L1132" s="3196"/>
    </row>
    <row r="1133" spans="1:12">
      <c r="A1133" s="3190">
        <v>1132</v>
      </c>
      <c r="B1133" s="3191" t="s">
        <v>5749</v>
      </c>
      <c r="C1133" s="3191" t="s">
        <v>4007</v>
      </c>
      <c r="D1133" s="3192" t="s">
        <v>5786</v>
      </c>
      <c r="E1133" s="3191" t="s">
        <v>6010</v>
      </c>
      <c r="F1133" s="3193" t="s">
        <v>4322</v>
      </c>
      <c r="G1133" s="3197">
        <v>1195</v>
      </c>
      <c r="H1133" s="3191" t="s">
        <v>6315</v>
      </c>
      <c r="I1133" s="3191" t="s">
        <v>5149</v>
      </c>
      <c r="J1133" s="3203">
        <v>35.799999999999997</v>
      </c>
      <c r="K1133" s="3194">
        <v>11.88</v>
      </c>
      <c r="L1133" s="3196"/>
    </row>
    <row r="1134" spans="1:12">
      <c r="A1134" s="3190">
        <v>1133</v>
      </c>
      <c r="B1134" s="3191" t="s">
        <v>4583</v>
      </c>
      <c r="C1134" s="3191" t="s">
        <v>5169</v>
      </c>
      <c r="D1134" s="3192" t="s">
        <v>5786</v>
      </c>
      <c r="E1134" s="3191" t="s">
        <v>4844</v>
      </c>
      <c r="F1134" s="3207" t="s">
        <v>5494</v>
      </c>
      <c r="G1134" s="3197">
        <v>1196</v>
      </c>
      <c r="H1134" s="3191" t="s">
        <v>5150</v>
      </c>
      <c r="I1134" s="3191" t="s">
        <v>6316</v>
      </c>
      <c r="J1134" s="3203">
        <v>35.799999999999997</v>
      </c>
      <c r="K1134" s="3194">
        <v>11.88</v>
      </c>
      <c r="L1134" s="3196"/>
    </row>
    <row r="1135" spans="1:12">
      <c r="A1135" s="3190">
        <v>1134</v>
      </c>
      <c r="B1135" s="3191" t="s">
        <v>5749</v>
      </c>
      <c r="C1135" s="3191" t="s">
        <v>4007</v>
      </c>
      <c r="D1135" s="3192" t="s">
        <v>5786</v>
      </c>
      <c r="E1135" s="3191" t="s">
        <v>6010</v>
      </c>
      <c r="F1135" s="3193" t="s">
        <v>4322</v>
      </c>
      <c r="G1135" s="3197">
        <v>1197</v>
      </c>
      <c r="H1135" s="3191" t="s">
        <v>6317</v>
      </c>
      <c r="I1135" s="3191" t="s">
        <v>5151</v>
      </c>
      <c r="J1135" s="3203">
        <v>35.799999999999997</v>
      </c>
      <c r="K1135" s="3194">
        <v>11.88</v>
      </c>
      <c r="L1135" s="3196"/>
    </row>
    <row r="1136" spans="1:12">
      <c r="A1136" s="3190">
        <v>1135</v>
      </c>
      <c r="B1136" s="3191" t="s">
        <v>4583</v>
      </c>
      <c r="C1136" s="3191" t="s">
        <v>5169</v>
      </c>
      <c r="D1136" s="3192" t="s">
        <v>5786</v>
      </c>
      <c r="E1136" s="3191" t="s">
        <v>4844</v>
      </c>
      <c r="F1136" s="3193" t="s">
        <v>5487</v>
      </c>
      <c r="G1136" s="3197">
        <v>1198</v>
      </c>
      <c r="H1136" s="3191" t="s">
        <v>5152</v>
      </c>
      <c r="I1136" s="3191" t="s">
        <v>6318</v>
      </c>
      <c r="J1136" s="3203">
        <v>35.799999999999997</v>
      </c>
      <c r="K1136" s="3194">
        <v>11.88</v>
      </c>
      <c r="L1136" s="3196"/>
    </row>
    <row r="1137" spans="1:12">
      <c r="A1137" s="3190">
        <v>1136</v>
      </c>
      <c r="B1137" s="3191" t="s">
        <v>5749</v>
      </c>
      <c r="C1137" s="3191" t="s">
        <v>4007</v>
      </c>
      <c r="D1137" s="3192" t="s">
        <v>5786</v>
      </c>
      <c r="E1137" s="3191" t="s">
        <v>6010</v>
      </c>
      <c r="F1137" s="3193" t="s">
        <v>4322</v>
      </c>
      <c r="G1137" s="3197">
        <v>1199</v>
      </c>
      <c r="H1137" s="3191" t="s">
        <v>6319</v>
      </c>
      <c r="I1137" s="3191" t="s">
        <v>5153</v>
      </c>
      <c r="J1137" s="3203">
        <v>35.799999999999997</v>
      </c>
      <c r="K1137" s="3194">
        <v>11.88</v>
      </c>
      <c r="L1137" s="3196"/>
    </row>
    <row r="1138" spans="1:12">
      <c r="A1138" s="3190">
        <v>1137</v>
      </c>
      <c r="B1138" s="3191" t="s">
        <v>4583</v>
      </c>
      <c r="C1138" s="3191" t="s">
        <v>5169</v>
      </c>
      <c r="D1138" s="3192" t="s">
        <v>5786</v>
      </c>
      <c r="E1138" s="3191" t="s">
        <v>4844</v>
      </c>
      <c r="F1138" s="3193" t="s">
        <v>5487</v>
      </c>
      <c r="G1138" s="3197">
        <v>1200</v>
      </c>
      <c r="H1138" s="3191" t="s">
        <v>5154</v>
      </c>
      <c r="I1138" s="3191" t="s">
        <v>6320</v>
      </c>
      <c r="J1138" s="3203">
        <v>35.799999999999997</v>
      </c>
      <c r="K1138" s="3194">
        <v>11.88</v>
      </c>
      <c r="L1138" s="3196"/>
    </row>
    <row r="1139" spans="1:12">
      <c r="A1139" s="3190">
        <v>1138</v>
      </c>
      <c r="B1139" s="3191" t="s">
        <v>5749</v>
      </c>
      <c r="C1139" s="3191" t="s">
        <v>4007</v>
      </c>
      <c r="D1139" s="3192" t="s">
        <v>5786</v>
      </c>
      <c r="E1139" s="3191" t="s">
        <v>6010</v>
      </c>
      <c r="F1139" s="3193" t="s">
        <v>4322</v>
      </c>
      <c r="G1139" s="3197">
        <v>1201</v>
      </c>
      <c r="H1139" s="3191" t="s">
        <v>6321</v>
      </c>
      <c r="I1139" s="3191" t="s">
        <v>5155</v>
      </c>
      <c r="J1139" s="3203">
        <v>35.799999999999997</v>
      </c>
      <c r="K1139" s="3194">
        <v>11.88</v>
      </c>
      <c r="L1139" s="3196"/>
    </row>
    <row r="1140" spans="1:12">
      <c r="A1140" s="3190">
        <v>1139</v>
      </c>
      <c r="B1140" s="3191" t="s">
        <v>4583</v>
      </c>
      <c r="C1140" s="3191" t="s">
        <v>5169</v>
      </c>
      <c r="D1140" s="3192" t="s">
        <v>5786</v>
      </c>
      <c r="E1140" s="3191" t="s">
        <v>4844</v>
      </c>
      <c r="F1140" s="3193" t="s">
        <v>5487</v>
      </c>
      <c r="G1140" s="3197">
        <v>1202</v>
      </c>
      <c r="H1140" s="3191" t="s">
        <v>5156</v>
      </c>
      <c r="I1140" s="3191" t="s">
        <v>6322</v>
      </c>
      <c r="J1140" s="3203">
        <v>35.799999999999997</v>
      </c>
      <c r="K1140" s="3194">
        <v>11.88</v>
      </c>
      <c r="L1140" s="3196"/>
    </row>
    <row r="1141" spans="1:12">
      <c r="A1141" s="3190">
        <v>1140</v>
      </c>
      <c r="B1141" s="3191" t="s">
        <v>5749</v>
      </c>
      <c r="C1141" s="3191" t="s">
        <v>4007</v>
      </c>
      <c r="D1141" s="3192" t="s">
        <v>5786</v>
      </c>
      <c r="E1141" s="3191" t="s">
        <v>6010</v>
      </c>
      <c r="F1141" s="3193" t="s">
        <v>4322</v>
      </c>
      <c r="G1141" s="3197">
        <v>1203</v>
      </c>
      <c r="H1141" s="3191" t="s">
        <v>6323</v>
      </c>
      <c r="I1141" s="3191" t="s">
        <v>5157</v>
      </c>
      <c r="J1141" s="3203">
        <v>35.799999999999997</v>
      </c>
      <c r="K1141" s="3194">
        <v>11.88</v>
      </c>
      <c r="L1141" s="3196"/>
    </row>
    <row r="1142" spans="1:12">
      <c r="A1142" s="3190">
        <v>1141</v>
      </c>
      <c r="B1142" s="3191" t="s">
        <v>4583</v>
      </c>
      <c r="C1142" s="3191" t="s">
        <v>5169</v>
      </c>
      <c r="D1142" s="3192" t="s">
        <v>5786</v>
      </c>
      <c r="E1142" s="3191" t="s">
        <v>4844</v>
      </c>
      <c r="F1142" s="3193" t="s">
        <v>5487</v>
      </c>
      <c r="G1142" s="3197">
        <v>1204</v>
      </c>
      <c r="H1142" s="3191" t="s">
        <v>5158</v>
      </c>
      <c r="I1142" s="3191" t="s">
        <v>6324</v>
      </c>
      <c r="J1142" s="3203">
        <v>35.799999999999997</v>
      </c>
      <c r="K1142" s="3194">
        <v>11.88</v>
      </c>
      <c r="L1142" s="3196"/>
    </row>
    <row r="1143" spans="1:12">
      <c r="A1143" s="3190">
        <v>1142</v>
      </c>
      <c r="B1143" s="3191" t="s">
        <v>5749</v>
      </c>
      <c r="C1143" s="3191" t="s">
        <v>4007</v>
      </c>
      <c r="D1143" s="3192" t="s">
        <v>5786</v>
      </c>
      <c r="E1143" s="3191" t="s">
        <v>6010</v>
      </c>
      <c r="F1143" s="3207" t="s">
        <v>4330</v>
      </c>
      <c r="G1143" s="3197">
        <v>1205</v>
      </c>
      <c r="H1143" s="3191" t="s">
        <v>6325</v>
      </c>
      <c r="I1143" s="3191" t="s">
        <v>5159</v>
      </c>
      <c r="J1143" s="3203">
        <v>35.799999999999997</v>
      </c>
      <c r="K1143" s="3194">
        <v>11.88</v>
      </c>
      <c r="L1143" s="3196"/>
    </row>
    <row r="1144" spans="1:12">
      <c r="A1144" s="3190">
        <v>1143</v>
      </c>
      <c r="B1144" s="3191" t="s">
        <v>4583</v>
      </c>
      <c r="C1144" s="3191" t="s">
        <v>5169</v>
      </c>
      <c r="D1144" s="3192" t="s">
        <v>5786</v>
      </c>
      <c r="E1144" s="3191" t="s">
        <v>4844</v>
      </c>
      <c r="F1144" s="3193" t="s">
        <v>5487</v>
      </c>
      <c r="G1144" s="3197">
        <v>1206</v>
      </c>
      <c r="H1144" s="3191" t="s">
        <v>5160</v>
      </c>
      <c r="I1144" s="3191" t="s">
        <v>6326</v>
      </c>
      <c r="J1144" s="3203">
        <v>35.799999999999997</v>
      </c>
      <c r="K1144" s="3194">
        <v>11.88</v>
      </c>
      <c r="L1144" s="3196"/>
    </row>
    <row r="1145" spans="1:12">
      <c r="A1145" s="3190">
        <v>1144</v>
      </c>
      <c r="B1145" s="3191" t="s">
        <v>5749</v>
      </c>
      <c r="C1145" s="3191" t="s">
        <v>4007</v>
      </c>
      <c r="D1145" s="3192" t="s">
        <v>5747</v>
      </c>
      <c r="E1145" s="3191" t="s">
        <v>6010</v>
      </c>
      <c r="F1145" s="3207" t="s">
        <v>4330</v>
      </c>
      <c r="G1145" s="3197">
        <v>1207</v>
      </c>
      <c r="H1145" s="3191" t="s">
        <v>6327</v>
      </c>
      <c r="I1145" s="3191" t="s">
        <v>5161</v>
      </c>
      <c r="J1145" s="3194">
        <v>36.549999999999997</v>
      </c>
      <c r="K1145" s="3194">
        <v>12.13</v>
      </c>
      <c r="L1145" s="3196"/>
    </row>
    <row r="1146" spans="1:12">
      <c r="A1146" s="3190">
        <v>1145</v>
      </c>
      <c r="B1146" s="3191" t="s">
        <v>4583</v>
      </c>
      <c r="C1146" s="3191" t="s">
        <v>5169</v>
      </c>
      <c r="D1146" s="3192" t="s">
        <v>5747</v>
      </c>
      <c r="E1146" s="3191" t="s">
        <v>4844</v>
      </c>
      <c r="F1146" s="3207" t="s">
        <v>5494</v>
      </c>
      <c r="G1146" s="3197">
        <v>1224</v>
      </c>
      <c r="H1146" s="3191" t="s">
        <v>5162</v>
      </c>
      <c r="I1146" s="3191" t="s">
        <v>6328</v>
      </c>
      <c r="J1146" s="3194">
        <v>35.07</v>
      </c>
      <c r="K1146" s="3194">
        <v>11.64</v>
      </c>
      <c r="L1146" s="3196"/>
    </row>
    <row r="1147" spans="1:12">
      <c r="A1147" s="3190">
        <v>1146</v>
      </c>
      <c r="B1147" s="3191" t="s">
        <v>5749</v>
      </c>
      <c r="C1147" s="3191" t="s">
        <v>4007</v>
      </c>
      <c r="D1147" s="3192" t="s">
        <v>5747</v>
      </c>
      <c r="E1147" s="3191" t="s">
        <v>6010</v>
      </c>
      <c r="F1147" s="3193" t="s">
        <v>4322</v>
      </c>
      <c r="G1147" s="3197">
        <v>1225</v>
      </c>
      <c r="H1147" s="3191" t="s">
        <v>6329</v>
      </c>
      <c r="I1147" s="3191" t="s">
        <v>5163</v>
      </c>
      <c r="J1147" s="3194">
        <v>35.07</v>
      </c>
      <c r="K1147" s="3194">
        <v>11.64</v>
      </c>
      <c r="L1147" s="3196"/>
    </row>
    <row r="1148" spans="1:12">
      <c r="A1148" s="3190">
        <v>1147</v>
      </c>
      <c r="B1148" s="3191" t="s">
        <v>4583</v>
      </c>
      <c r="C1148" s="3191" t="s">
        <v>5169</v>
      </c>
      <c r="D1148" s="3192" t="s">
        <v>5747</v>
      </c>
      <c r="E1148" s="3191" t="s">
        <v>4844</v>
      </c>
      <c r="F1148" s="3193" t="s">
        <v>5487</v>
      </c>
      <c r="G1148" s="3197">
        <v>1226</v>
      </c>
      <c r="H1148" s="3191" t="s">
        <v>5164</v>
      </c>
      <c r="I1148" s="3191" t="s">
        <v>6330</v>
      </c>
      <c r="J1148" s="3194">
        <v>35.07</v>
      </c>
      <c r="K1148" s="3194">
        <v>11.64</v>
      </c>
      <c r="L1148" s="3196"/>
    </row>
    <row r="1149" spans="1:12">
      <c r="A1149" s="3196"/>
      <c r="B1149" s="3196"/>
      <c r="C1149" s="3196"/>
      <c r="D1149" s="3212"/>
      <c r="E1149" s="3196"/>
      <c r="F1149" s="3196"/>
      <c r="G1149" s="3196"/>
      <c r="H1149" s="3196"/>
      <c r="I1149" s="3216" t="s">
        <v>2589</v>
      </c>
      <c r="J1149" s="3224">
        <v>37717.379999999997</v>
      </c>
      <c r="K1149" s="3225"/>
      <c r="L1149" s="3225"/>
    </row>
  </sheetData>
  <autoFilter ref="A1:L1149" xr:uid="{866F2C1B-843D-4BFB-94C2-5901520ADF2D}"/>
  <phoneticPr fontId="137"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030A0"/>
  </sheetPr>
  <dimension ref="A1"/>
  <sheetViews>
    <sheetView topLeftCell="A64" zoomScale="80" zoomScaleNormal="80" workbookViewId="0">
      <selection activeCell="N100" sqref="N100"/>
    </sheetView>
  </sheetViews>
  <sheetFormatPr defaultRowHeight="14.4"/>
  <sheetData/>
  <phoneticPr fontId="137"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7030A0"/>
  </sheetPr>
  <dimension ref="P1:T13"/>
  <sheetViews>
    <sheetView topLeftCell="D1" workbookViewId="0">
      <selection activeCell="T4" sqref="T4"/>
    </sheetView>
  </sheetViews>
  <sheetFormatPr defaultRowHeight="14.4"/>
  <sheetData>
    <row r="1" spans="16:20">
      <c r="Q1" s="1404" t="s">
        <v>3496</v>
      </c>
    </row>
    <row r="2" spans="16:20">
      <c r="Q2" s="1404" t="s">
        <v>3491</v>
      </c>
    </row>
    <row r="3" spans="16:20">
      <c r="P3" s="1404" t="s">
        <v>3495</v>
      </c>
      <c r="R3" s="1404" t="s">
        <v>3385</v>
      </c>
      <c r="S3" s="1404" t="s">
        <v>3494</v>
      </c>
      <c r="T3" s="1404" t="s">
        <v>3386</v>
      </c>
    </row>
    <row r="4" spans="16:20">
      <c r="Q4" s="1404" t="s">
        <v>3492</v>
      </c>
      <c r="R4">
        <v>185</v>
      </c>
      <c r="S4">
        <v>709</v>
      </c>
      <c r="T4">
        <f>ROUND(S4*10000/R4,0)</f>
        <v>38324</v>
      </c>
    </row>
    <row r="5" spans="16:20">
      <c r="Q5" s="1404" t="s">
        <v>3493</v>
      </c>
      <c r="R5">
        <v>199</v>
      </c>
      <c r="S5">
        <v>799</v>
      </c>
      <c r="T5">
        <f>ROUND(S5*10000/R5,0)</f>
        <v>40151</v>
      </c>
    </row>
    <row r="6" spans="16:20">
      <c r="Q6" s="1404" t="s">
        <v>3492</v>
      </c>
      <c r="R6">
        <v>185</v>
      </c>
      <c r="S6">
        <v>699</v>
      </c>
      <c r="T6">
        <f>ROUND(S6*10000/R6,0)</f>
        <v>37784</v>
      </c>
    </row>
    <row r="7" spans="16:20">
      <c r="Q7" s="1404" t="s">
        <v>3504</v>
      </c>
    </row>
    <row r="8" spans="16:20">
      <c r="Q8" s="1404" t="s">
        <v>3505</v>
      </c>
    </row>
    <row r="10" spans="16:20">
      <c r="Q10" s="1404" t="s">
        <v>3499</v>
      </c>
      <c r="R10">
        <v>350</v>
      </c>
      <c r="S10" s="1404" t="s">
        <v>3497</v>
      </c>
      <c r="T10" s="1404" t="s">
        <v>3498</v>
      </c>
    </row>
    <row r="11" spans="16:20">
      <c r="R11">
        <v>450</v>
      </c>
      <c r="S11" s="1404" t="s">
        <v>3497</v>
      </c>
      <c r="T11" s="1404" t="s">
        <v>3503</v>
      </c>
    </row>
    <row r="13" spans="16:20">
      <c r="Q13" s="1404" t="s">
        <v>3501</v>
      </c>
      <c r="R13">
        <v>27</v>
      </c>
      <c r="S13" s="1404" t="s">
        <v>3502</v>
      </c>
    </row>
  </sheetData>
  <phoneticPr fontId="137"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7030A0"/>
  </sheetPr>
  <dimension ref="A1"/>
  <sheetViews>
    <sheetView topLeftCell="A94" workbookViewId="0">
      <selection activeCell="B56" sqref="B56"/>
    </sheetView>
  </sheetViews>
  <sheetFormatPr defaultRowHeight="14.4"/>
  <sheetData/>
  <phoneticPr fontId="137"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workbookViewId="0"/>
  </sheetViews>
  <sheetFormatPr defaultRowHeight="14.4"/>
  <sheetData/>
  <phoneticPr fontId="137"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zoomScaleSheetLayoutView="100" workbookViewId="0">
      <selection activeCell="D33" sqref="D33"/>
    </sheetView>
  </sheetViews>
  <sheetFormatPr defaultColWidth="12" defaultRowHeight="13.2"/>
  <cols>
    <col min="1" max="1" width="9.77734375" style="1891" customWidth="1"/>
    <col min="2" max="2" width="22.44140625" style="1979" customWidth="1"/>
    <col min="3" max="3" width="12" style="1841"/>
    <col min="4" max="4" width="14.88671875" style="1841" customWidth="1"/>
    <col min="5" max="5" width="14.6640625" style="1841" customWidth="1"/>
    <col min="6" max="8" width="12" style="1841"/>
    <col min="9" max="9" width="12.21875" style="1841" bestFit="1" customWidth="1"/>
    <col min="10" max="10" width="12" style="1841"/>
    <col min="11" max="11" width="8.109375" style="1887" customWidth="1"/>
    <col min="12" max="12" width="19.44140625" style="1841" customWidth="1"/>
    <col min="13" max="13" width="8.44140625" style="1841" customWidth="1"/>
    <col min="14" max="14" width="9.77734375" style="1841" customWidth="1"/>
    <col min="15" max="25" width="12" style="1841"/>
    <col min="26" max="26" width="9.33203125" style="1891" customWidth="1"/>
    <col min="27" max="32" width="9.33203125" style="1058" customWidth="1"/>
    <col min="33" max="36" width="9.33203125" style="1891" customWidth="1"/>
    <col min="37" max="38" width="9.33203125" style="1841" customWidth="1"/>
    <col min="39" max="16384" width="12" style="1841"/>
  </cols>
  <sheetData>
    <row r="1" spans="1:36" ht="31.2">
      <c r="A1" s="188" t="s">
        <v>1926</v>
      </c>
      <c r="B1" s="189"/>
      <c r="C1" s="193" t="s">
        <v>1927</v>
      </c>
      <c r="D1" s="333">
        <f>SUM(D33:D34,D37:D42)</f>
        <v>185.94</v>
      </c>
      <c r="E1" s="1838"/>
      <c r="F1" s="1838"/>
      <c r="G1" s="1838"/>
      <c r="H1" s="1838"/>
      <c r="I1" s="1838"/>
      <c r="J1" s="1838"/>
      <c r="K1" s="1056"/>
      <c r="L1" s="1839" t="s">
        <v>1928</v>
      </c>
      <c r="M1" s="810">
        <f>SUMPRODUCT((区片价!B5:B9=I2)*(区片价!C3:G3=E2)*(区片价!C5:G9))</f>
        <v>0</v>
      </c>
      <c r="N1" s="813">
        <f>SUMPRODUCT((因素修正幅度!B5:B9=I2)*(因素修正幅度!C3:G3=E2)*(因素修正幅度!C5:G9))</f>
        <v>0</v>
      </c>
      <c r="O1" s="1840"/>
      <c r="P1" s="1840"/>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260</v>
      </c>
      <c r="C2" s="1842" t="s">
        <v>1935</v>
      </c>
      <c r="D2" s="162" t="s">
        <v>1936</v>
      </c>
      <c r="E2" s="3116" t="s">
        <v>3402</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Ⅶ-房1</v>
      </c>
      <c r="J2" s="1838"/>
      <c r="K2" s="1056"/>
      <c r="L2" s="1843" t="s">
        <v>1939</v>
      </c>
      <c r="M2" s="811">
        <f>SUMPRODUCT((区片价!B10:B29=I2)*(区片价!C3:G3=E2)*(区片价!C10:G29))</f>
        <v>0</v>
      </c>
      <c r="N2" s="813">
        <f>SUMPRODUCT((因素修正幅度!B10:B29=I2)*(因素修正幅度!C3:G3=E2)*(因素修正幅度!C10:G29))</f>
        <v>0</v>
      </c>
      <c r="O2" s="1056"/>
      <c r="P2" s="1056"/>
      <c r="Q2" s="1056"/>
      <c r="R2" s="1128">
        <v>1</v>
      </c>
      <c r="S2" s="3059">
        <f>ROUND(SUMPRODUCT((B106:B110=R2)*(C105:N105=G2)*(C106:N110)),4)</f>
        <v>1.5019</v>
      </c>
      <c r="T2" s="3059">
        <f t="shared" ref="T2:T16" si="0">ROUND($C$5*$C$22*$C$23*$C$24*S2*$C$28,0)</f>
        <v>20417</v>
      </c>
      <c r="U2" s="1129"/>
      <c r="V2" s="3059">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13983</v>
      </c>
      <c r="C3" s="1842" t="s">
        <v>1941</v>
      </c>
      <c r="D3" s="162" t="s">
        <v>1942</v>
      </c>
      <c r="E3" s="3114" t="s">
        <v>3558</v>
      </c>
      <c r="F3" s="1844" t="s">
        <v>3559</v>
      </c>
      <c r="G3" s="708">
        <f>IF(F3="宗地容积率",'数据-汇总表'!I4,IF(F3="估价对象容积率",'数据-汇总表'!I6,'数据-汇总表'!I7))</f>
        <v>2.2000000000000002</v>
      </c>
      <c r="H3" s="162" t="s">
        <v>1943</v>
      </c>
      <c r="I3" s="729"/>
      <c r="J3" s="1838" t="s">
        <v>1944</v>
      </c>
      <c r="K3" s="1056"/>
      <c r="L3" s="1843" t="s">
        <v>1945</v>
      </c>
      <c r="M3" s="811">
        <f>SUMPRODUCT((区片价!B30:B54=I2)*(区片价!C3:G3=E2)*(区片价!C30:G54))</f>
        <v>0</v>
      </c>
      <c r="N3" s="813">
        <f>SUMPRODUCT((因素修正幅度!B30:B54=I2)*(因素修正幅度!C3:G3=E2)*(因素修正幅度!C30:G54))</f>
        <v>0</v>
      </c>
      <c r="O3" s="1056"/>
      <c r="P3" s="1056"/>
      <c r="Q3" s="1056"/>
      <c r="R3" s="1128">
        <v>2</v>
      </c>
      <c r="S3" s="3059">
        <f>ROUND(SUMPRODUCT((B106:B110=R3)*(C105:N105=G2)*(C106:N110)),4)</f>
        <v>1.1838</v>
      </c>
      <c r="T3" s="3059">
        <f t="shared" si="0"/>
        <v>16093</v>
      </c>
      <c r="U3" s="1129"/>
      <c r="V3" s="3059">
        <f t="shared" ref="V3:V16" si="1">ROUND(T3*U3/10000,0)</f>
        <v>0</v>
      </c>
      <c r="W3" s="1132"/>
      <c r="X3" s="1132"/>
      <c r="Y3" s="1132"/>
      <c r="Z3" s="1132"/>
      <c r="AA3" s="1132"/>
      <c r="AB3" s="1132"/>
      <c r="AC3" s="1133"/>
      <c r="AD3" s="1134"/>
      <c r="AE3" s="1134"/>
      <c r="AF3" s="1134"/>
      <c r="AG3" s="1134"/>
      <c r="AH3" s="1134"/>
      <c r="AI3" s="1134"/>
      <c r="AJ3" s="1135"/>
    </row>
    <row r="4" spans="1:36" ht="15.6">
      <c r="A4" s="3537"/>
      <c r="B4" s="3538"/>
      <c r="C4" s="3538"/>
      <c r="D4" s="3539"/>
      <c r="E4" s="3539"/>
      <c r="F4" s="3539"/>
      <c r="G4" s="3539"/>
      <c r="H4" s="3539"/>
      <c r="I4" s="3539"/>
      <c r="J4" s="3540"/>
      <c r="K4" s="1056"/>
      <c r="L4" s="1843" t="s">
        <v>1946</v>
      </c>
      <c r="M4" s="811">
        <f>SUMPRODUCT((区片价!B55:B86=I2)*(区片价!C3:G3=E2)*(区片价!C55:G86))</f>
        <v>0</v>
      </c>
      <c r="N4" s="813">
        <f>SUMPRODUCT((因素修正幅度!B55:B86=I2)*(因素修正幅度!C3:G3=E2)*(因素修正幅度!C55:G86))</f>
        <v>0</v>
      </c>
      <c r="O4" s="1056"/>
      <c r="P4" s="1056"/>
      <c r="Q4" s="1056"/>
      <c r="R4" s="1128">
        <v>3</v>
      </c>
      <c r="S4" s="3059">
        <f>ROUND(SUMPRODUCT((B106:B110=R4)*(C105:N105=G2)*(C106:N110)),4)</f>
        <v>1.0004999999999999</v>
      </c>
      <c r="T4" s="3059">
        <f t="shared" si="0"/>
        <v>13601</v>
      </c>
      <c r="U4" s="1129"/>
      <c r="V4" s="3059">
        <f t="shared" si="1"/>
        <v>0</v>
      </c>
      <c r="W4" s="1132"/>
      <c r="X4" s="1132"/>
      <c r="Y4" s="1132"/>
      <c r="Z4" s="1132"/>
      <c r="AA4" s="1132"/>
      <c r="AB4" s="1132"/>
      <c r="AC4" s="1133"/>
      <c r="AD4" s="1134"/>
      <c r="AE4" s="1134"/>
      <c r="AF4" s="1134"/>
      <c r="AG4" s="1134"/>
      <c r="AH4" s="1134"/>
      <c r="AI4" s="1134"/>
      <c r="AJ4" s="1135"/>
    </row>
    <row r="5" spans="1:36" s="1854" customFormat="1" ht="15.6" thickBot="1">
      <c r="A5" s="1845" t="s">
        <v>362</v>
      </c>
      <c r="B5" s="1846" t="s">
        <v>1947</v>
      </c>
      <c r="C5" s="709">
        <f>ROUND(IF(E2="商业",C6*C7*C17+C20,(IF(E2="住宅",C6*C13*C17+C20,IF(E2="办公",C6*C12*C17+C20,C6+C20)))),0)</f>
        <v>12624</v>
      </c>
      <c r="D5" s="1251">
        <f>ROUND(C6*C17+C20,0)</f>
        <v>10930</v>
      </c>
      <c r="E5" s="1251"/>
      <c r="F5" s="1847"/>
      <c r="G5" s="1848"/>
      <c r="H5" s="1848"/>
      <c r="I5" s="1848"/>
      <c r="J5" s="1849"/>
      <c r="K5" s="1850"/>
      <c r="L5" s="1843" t="s">
        <v>1948</v>
      </c>
      <c r="M5" s="811">
        <f>SUMPRODUCT((区片价!B87:B126=I2)*(区片价!C3:G3=E2)*(区片价!C87:G126))</f>
        <v>0</v>
      </c>
      <c r="N5" s="813">
        <f>SUMPRODUCT((因素修正幅度!B87:B126=I2)*(因素修正幅度!C3:G3=E2)*(因素修正幅度!C87:G126))</f>
        <v>0</v>
      </c>
      <c r="O5" s="1056"/>
      <c r="P5" s="1056"/>
      <c r="Q5" s="1056"/>
      <c r="R5" s="1128">
        <v>4</v>
      </c>
      <c r="S5" s="3059">
        <f>ROUND(SUMPRODUCT((B106:B110=R5)*(C105:N105=G2)*(C106:N110)),4)</f>
        <v>0.88239999999999996</v>
      </c>
      <c r="T5" s="3059">
        <f t="shared" si="0"/>
        <v>11996</v>
      </c>
      <c r="U5" s="1129"/>
      <c r="V5" s="3059">
        <f t="shared" si="1"/>
        <v>0</v>
      </c>
      <c r="W5" s="1132"/>
      <c r="X5" s="1132"/>
      <c r="Y5" s="1132"/>
      <c r="Z5" s="1132"/>
      <c r="AA5" s="1132"/>
      <c r="AB5" s="1132"/>
      <c r="AC5" s="1851"/>
      <c r="AD5" s="1852"/>
      <c r="AE5" s="1852"/>
      <c r="AF5" s="1852"/>
      <c r="AG5" s="1852"/>
      <c r="AH5" s="1852"/>
      <c r="AI5" s="1852"/>
      <c r="AJ5" s="1853"/>
    </row>
    <row r="6" spans="1:36" ht="15.6" thickBot="1">
      <c r="A6" s="1855" t="s">
        <v>1949</v>
      </c>
      <c r="B6" s="1856" t="s">
        <v>1950</v>
      </c>
      <c r="C6" s="710">
        <f>SUMIF(L1:L12,G2,M1:M12)</f>
        <v>10930</v>
      </c>
      <c r="D6" s="1857"/>
      <c r="E6" s="1858"/>
      <c r="F6" s="1858"/>
      <c r="G6" s="1859"/>
      <c r="H6" s="1859"/>
      <c r="I6" s="1859"/>
      <c r="J6" s="1860"/>
      <c r="K6" s="1291"/>
      <c r="L6" s="1843" t="s">
        <v>1951</v>
      </c>
      <c r="M6" s="811">
        <f>SUMPRODUCT((区片价!B127:B189=I2)*(区片价!C3:G3=E2)*(区片价!C127:G189))</f>
        <v>0</v>
      </c>
      <c r="N6" s="813">
        <f>SUMPRODUCT((因素修正幅度!B127:B189=I2)*(因素修正幅度!C3:G3=E2)*(因素修正幅度!C127:G189))</f>
        <v>0</v>
      </c>
      <c r="O6" s="1056"/>
      <c r="P6" s="1056"/>
      <c r="Q6" s="1056"/>
      <c r="R6" s="1128">
        <v>5</v>
      </c>
      <c r="S6" s="3059">
        <f>ROUND(SUMPRODUCT((B106:B110=R6)*(C105:N105=G2)*(C106:N110)),4)</f>
        <v>0.84799999999999998</v>
      </c>
      <c r="T6" s="3059">
        <f t="shared" si="0"/>
        <v>11528</v>
      </c>
      <c r="U6" s="1129"/>
      <c r="V6" s="3059">
        <f t="shared" si="1"/>
        <v>0</v>
      </c>
      <c r="W6" s="1132"/>
      <c r="X6" s="1132"/>
      <c r="Y6" s="1132"/>
      <c r="Z6" s="1132"/>
      <c r="AA6" s="1132"/>
      <c r="AB6" s="1132"/>
      <c r="AC6" s="1851"/>
      <c r="AD6" s="1852"/>
      <c r="AE6" s="1852"/>
      <c r="AF6" s="1852"/>
      <c r="AG6" s="1852"/>
      <c r="AH6" s="1852"/>
      <c r="AI6" s="1852"/>
      <c r="AJ6" s="1853"/>
    </row>
    <row r="7" spans="1:36" ht="24.6" thickBot="1">
      <c r="A7" s="3008" t="s">
        <v>3234</v>
      </c>
      <c r="B7" s="1861" t="s">
        <v>1952</v>
      </c>
      <c r="C7" s="711" t="e">
        <f>IF(C8="不临65条商业街",1,ROUND(1+(1.6*E8+1.2*E9+0.8*E10+0.4*E11)*C9,4))</f>
        <v>#DIV/0!</v>
      </c>
      <c r="D7" s="1862" t="s">
        <v>1953</v>
      </c>
      <c r="E7" s="730"/>
      <c r="F7" s="1863"/>
      <c r="G7" s="1864"/>
      <c r="H7" s="1864"/>
      <c r="I7" s="1864"/>
      <c r="J7" s="1865"/>
      <c r="K7" s="1291"/>
      <c r="L7" s="1843" t="s">
        <v>1954</v>
      </c>
      <c r="M7" s="811">
        <f>SUMPRODUCT((区片价!B190:B233=I2)*(区片价!C3:G3=E2)*(区片价!C190:G233))</f>
        <v>10930</v>
      </c>
      <c r="N7" s="813">
        <f>SUMPRODUCT((因素修正幅度!B190:B233=I2)*(因素修正幅度!C3:G3=E2)*(因素修正幅度!C190:G233))</f>
        <v>0.13</v>
      </c>
      <c r="O7" s="1056"/>
      <c r="P7" s="1056"/>
      <c r="Q7" s="1056"/>
      <c r="R7" s="1128">
        <v>6</v>
      </c>
      <c r="S7" s="3113"/>
      <c r="T7" s="3059">
        <f t="shared" si="0"/>
        <v>0</v>
      </c>
      <c r="U7" s="1129"/>
      <c r="V7" s="3059">
        <f t="shared" si="1"/>
        <v>0</v>
      </c>
      <c r="W7" s="1266" t="s">
        <v>1955</v>
      </c>
      <c r="X7" s="1130" t="str">
        <f>G2</f>
        <v>七级</v>
      </c>
      <c r="Y7" s="1130" t="s">
        <v>1956</v>
      </c>
      <c r="Z7" s="1131">
        <f>G3</f>
        <v>2.2000000000000002</v>
      </c>
      <c r="AA7" s="1132"/>
      <c r="AB7" s="1132"/>
      <c r="AC7" s="1133"/>
      <c r="AD7" s="1134"/>
      <c r="AE7" s="1134"/>
      <c r="AF7" s="1134"/>
      <c r="AG7" s="1134"/>
      <c r="AH7" s="1134"/>
      <c r="AI7" s="1134"/>
      <c r="AJ7" s="1135"/>
    </row>
    <row r="8" spans="1:36" ht="15">
      <c r="A8" s="3005"/>
      <c r="B8" s="162" t="s">
        <v>1957</v>
      </c>
      <c r="C8" s="1866"/>
      <c r="D8" s="712" t="s">
        <v>112</v>
      </c>
      <c r="E8" s="713" t="e">
        <f>ROUND(C11/E7,4)</f>
        <v>#DIV/0!</v>
      </c>
      <c r="F8" s="1867" t="s">
        <v>1958</v>
      </c>
      <c r="G8" s="1868"/>
      <c r="H8" s="1868"/>
      <c r="I8" s="1868"/>
      <c r="J8" s="1869"/>
      <c r="K8" s="1056"/>
      <c r="L8" s="1843" t="s">
        <v>1959</v>
      </c>
      <c r="M8" s="811">
        <f>SUMPRODUCT((区片价!B234:B276=I2)*(区片价!C3:G3=E2)*(区片价!C234:G276))</f>
        <v>0</v>
      </c>
      <c r="N8" s="813">
        <f>SUMPRODUCT((因素修正幅度!B234:B276=I2)*(因素修正幅度!C3:G3=E2)*(因素修正幅度!C234:G276))</f>
        <v>0</v>
      </c>
      <c r="O8" s="1056"/>
      <c r="P8" s="1056"/>
      <c r="Q8" s="1056"/>
      <c r="R8" s="1128">
        <v>7</v>
      </c>
      <c r="S8" s="1129"/>
      <c r="T8" s="3059">
        <f t="shared" si="0"/>
        <v>0</v>
      </c>
      <c r="U8" s="1129"/>
      <c r="V8" s="3059">
        <f t="shared" si="1"/>
        <v>0</v>
      </c>
      <c r="W8" s="3534" t="s">
        <v>1960</v>
      </c>
      <c r="X8" s="353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5"/>
      <c r="B9" s="162" t="s">
        <v>1973</v>
      </c>
      <c r="C9" s="714">
        <f>SUMIF(修正!C71:C138,C8,修正!E71:E138)</f>
        <v>0</v>
      </c>
      <c r="D9" s="163" t="s">
        <v>113</v>
      </c>
      <c r="E9" s="163" t="e">
        <f>ROUND(C11/E7,4)</f>
        <v>#DIV/0!</v>
      </c>
      <c r="F9" s="1867" t="s">
        <v>1974</v>
      </c>
      <c r="G9" s="1868"/>
      <c r="H9" s="1868"/>
      <c r="I9" s="1868"/>
      <c r="J9" s="1869"/>
      <c r="K9" s="1056"/>
      <c r="L9" s="1843" t="s">
        <v>1975</v>
      </c>
      <c r="M9" s="811">
        <f>SUMPRODUCT((区片价!B277:B326=I2)*(区片价!C3:G3=E2)*(区片价!C277:G326))</f>
        <v>0</v>
      </c>
      <c r="N9" s="813">
        <f>SUMPRODUCT((因素修正幅度!B277:B326=I2)*(因素修正幅度!C3:G3=E2)*(因素修正幅度!C277:G326))</f>
        <v>0</v>
      </c>
      <c r="O9" s="1056"/>
      <c r="P9" s="1056"/>
      <c r="Q9" s="1056"/>
      <c r="R9" s="1128">
        <v>8</v>
      </c>
      <c r="S9" s="1129"/>
      <c r="T9" s="3059">
        <f t="shared" si="0"/>
        <v>0</v>
      </c>
      <c r="U9" s="1129"/>
      <c r="V9" s="3059">
        <f t="shared" si="1"/>
        <v>0</v>
      </c>
      <c r="W9" s="3536"/>
      <c r="X9" s="3060" t="s">
        <v>3264</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67" t="s">
        <v>1977</v>
      </c>
      <c r="G10" s="1868"/>
      <c r="H10" s="1868"/>
      <c r="I10" s="1868"/>
      <c r="J10" s="1869"/>
      <c r="K10" s="1056"/>
      <c r="L10" s="1843"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59">
        <f t="shared" si="0"/>
        <v>0</v>
      </c>
      <c r="U10" s="1129"/>
      <c r="V10" s="3059">
        <f t="shared" si="1"/>
        <v>0</v>
      </c>
      <c r="W10" s="3536"/>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0" t="s">
        <v>1979</v>
      </c>
      <c r="C11" s="715">
        <f>C10/4</f>
        <v>0</v>
      </c>
      <c r="D11" s="715" t="s">
        <v>115</v>
      </c>
      <c r="E11" s="715" t="e">
        <f>ROUND(C11/E7,4)</f>
        <v>#DIV/0!</v>
      </c>
      <c r="F11" s="1871" t="s">
        <v>1980</v>
      </c>
      <c r="G11" s="1872"/>
      <c r="H11" s="1872"/>
      <c r="I11" s="1872"/>
      <c r="J11" s="1873"/>
      <c r="K11" s="1056"/>
      <c r="L11" s="1843"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8" thickBot="1">
      <c r="A12" s="3008" t="s">
        <v>3235</v>
      </c>
      <c r="B12" s="3009" t="s">
        <v>3236</v>
      </c>
      <c r="C12" s="3010"/>
      <c r="D12" s="3011" t="s">
        <v>3237</v>
      </c>
      <c r="E12" s="3012" t="s">
        <v>3238</v>
      </c>
      <c r="F12" s="3013"/>
      <c r="G12" s="3014"/>
      <c r="H12" s="3014"/>
      <c r="I12" s="3014"/>
      <c r="J12" s="3015"/>
      <c r="K12" s="1056"/>
      <c r="L12" s="1792"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24.6" thickBot="1">
      <c r="A13" s="3008" t="s">
        <v>3239</v>
      </c>
      <c r="B13" s="1874" t="s">
        <v>1982</v>
      </c>
      <c r="C13" s="711">
        <f>ROUND(C16*D16*E16*F16*G16*H16*I16*J16,4)</f>
        <v>1.155</v>
      </c>
      <c r="D13" s="1875" t="s">
        <v>1983</v>
      </c>
      <c r="E13" s="1876"/>
      <c r="F13" s="1876"/>
      <c r="G13" s="1877"/>
      <c r="H13" s="1877"/>
      <c r="I13" s="1877"/>
      <c r="J13" s="1878"/>
      <c r="K13" s="1056"/>
      <c r="L13" s="3"/>
      <c r="M13" s="4"/>
      <c r="N13" s="3006"/>
      <c r="O13" s="1056"/>
      <c r="P13" s="1056"/>
      <c r="Q13" s="1056"/>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24">
      <c r="A14" s="3004"/>
      <c r="B14" s="1879" t="s">
        <v>1985</v>
      </c>
      <c r="C14" s="1880" t="s">
        <v>1986</v>
      </c>
      <c r="D14" s="1260" t="s">
        <v>1987</v>
      </c>
      <c r="E14" s="27" t="s">
        <v>1988</v>
      </c>
      <c r="F14" s="3016" t="s">
        <v>3240</v>
      </c>
      <c r="G14" s="3016" t="s">
        <v>3240</v>
      </c>
      <c r="H14" s="3016" t="s">
        <v>3240</v>
      </c>
      <c r="I14" s="3016" t="s">
        <v>3240</v>
      </c>
      <c r="J14" s="3016" t="s">
        <v>3240</v>
      </c>
      <c r="K14" s="1056"/>
      <c r="L14" s="1056"/>
      <c r="M14" s="1056"/>
      <c r="N14" s="1056"/>
      <c r="O14" s="1056"/>
      <c r="P14" s="1056"/>
      <c r="Q14" s="1056"/>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1"/>
      <c r="C15" s="1882" t="s">
        <v>3561</v>
      </c>
      <c r="D15" s="1883" t="s">
        <v>3562</v>
      </c>
      <c r="E15" s="1884" t="s">
        <v>3563</v>
      </c>
      <c r="F15" s="1469" t="s">
        <v>3241</v>
      </c>
      <c r="G15" s="1924"/>
      <c r="H15" s="3017"/>
      <c r="I15" s="3018"/>
      <c r="J15" s="3019"/>
      <c r="K15" s="1056"/>
      <c r="L15" s="1056"/>
      <c r="M15" s="1056"/>
      <c r="N15" s="1056"/>
      <c r="O15" s="1056"/>
      <c r="P15" s="1056"/>
      <c r="Q15" s="1056"/>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6" thickBot="1">
      <c r="A16" s="3004"/>
      <c r="B16" s="3022" t="s">
        <v>1989</v>
      </c>
      <c r="C16" s="3020">
        <v>1.1000000000000001</v>
      </c>
      <c r="D16" s="3020">
        <v>1</v>
      </c>
      <c r="E16" s="3020">
        <v>1.05</v>
      </c>
      <c r="F16" s="3020">
        <v>1</v>
      </c>
      <c r="G16" s="3020">
        <v>1</v>
      </c>
      <c r="H16" s="3020">
        <v>1</v>
      </c>
      <c r="I16" s="3020">
        <v>1</v>
      </c>
      <c r="J16" s="3021">
        <v>1</v>
      </c>
      <c r="K16" s="1056"/>
      <c r="L16" s="1840"/>
      <c r="M16" s="1840"/>
      <c r="N16" s="1840"/>
      <c r="O16" s="1840"/>
      <c r="P16" s="1840"/>
      <c r="Q16" s="1056"/>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ht="24">
      <c r="A17" s="3031" t="s">
        <v>3242</v>
      </c>
      <c r="B17" s="3023" t="s">
        <v>3243</v>
      </c>
      <c r="C17" s="3032">
        <f>ROUND(IF(OR(E2="工业",E2="公共服务"),1,IF(AND(E18=0,E19=0),1,IF(AND(E18=J24,E19=G19),0.8,IF(E19=0,1+E17*(-0.2),1+E17*G17*(-0.2))))),4)</f>
        <v>1</v>
      </c>
      <c r="D17" s="3024" t="s">
        <v>3244</v>
      </c>
      <c r="E17" s="3032">
        <f>ROUND(G18/I18,2)</f>
        <v>0</v>
      </c>
      <c r="F17" s="3024" t="s">
        <v>3247</v>
      </c>
      <c r="G17" s="3032" t="e">
        <f>ROUND(E19/G19,2)</f>
        <v>#DIV/0!</v>
      </c>
      <c r="H17" s="3032"/>
      <c r="I17" s="3032"/>
      <c r="J17" s="3033"/>
      <c r="K17" s="1056"/>
      <c r="L17" s="1840"/>
      <c r="M17" s="1840"/>
      <c r="N17" s="1840"/>
      <c r="O17" s="1840"/>
      <c r="P17" s="1840"/>
      <c r="Q17" s="1056"/>
      <c r="R17" s="1056"/>
      <c r="S17" s="1056"/>
      <c r="T17" s="1056"/>
      <c r="U17" s="1056"/>
      <c r="V17" s="1056"/>
      <c r="W17" s="1056"/>
      <c r="X17" s="1056"/>
      <c r="Y17" s="1056"/>
      <c r="Z17" s="1057"/>
      <c r="AA17" s="1057"/>
      <c r="AB17" s="1057"/>
      <c r="AC17" s="1057"/>
      <c r="AD17" s="1057"/>
      <c r="AE17" s="1056"/>
      <c r="AF17" s="1056"/>
      <c r="AG17" s="1840"/>
      <c r="AH17" s="1840"/>
      <c r="AI17" s="1840"/>
      <c r="AJ17" s="1840"/>
    </row>
    <row r="18" spans="1:37" s="1854" customFormat="1" ht="13.8">
      <c r="A18" s="3034"/>
      <c r="B18" s="2306"/>
      <c r="C18" s="3030"/>
      <c r="D18" s="3025" t="s">
        <v>3245</v>
      </c>
      <c r="E18" s="2353"/>
      <c r="F18" s="3026" t="s">
        <v>3248</v>
      </c>
      <c r="G18" s="3030">
        <f>ROUND(1-(1/(POWER(1+G24,E18))),4)</f>
        <v>0</v>
      </c>
      <c r="H18" s="3026" t="s">
        <v>3250</v>
      </c>
      <c r="I18" s="3030">
        <f>ROUND(1-(1/(POWER(1+G24,J24))),4)</f>
        <v>0.96709999999999996</v>
      </c>
      <c r="J18" s="3035"/>
      <c r="K18" s="1056"/>
      <c r="L18" s="1840"/>
      <c r="M18" s="1840"/>
      <c r="N18" s="1840"/>
      <c r="O18" s="1840"/>
      <c r="P18" s="1840"/>
      <c r="Q18" s="1056"/>
      <c r="R18" s="1060"/>
      <c r="S18" s="1060"/>
      <c r="T18" s="1057"/>
      <c r="U18" s="1057"/>
      <c r="V18" s="1057"/>
      <c r="W18" s="1056"/>
      <c r="X18" s="1056"/>
      <c r="Y18" s="1056"/>
      <c r="Z18" s="1061"/>
      <c r="AA18" s="1061"/>
      <c r="AB18" s="1061"/>
      <c r="AC18" s="1061"/>
      <c r="AD18" s="1061"/>
      <c r="AE18" s="1057"/>
      <c r="AF18" s="1057"/>
      <c r="AG18" s="1976"/>
      <c r="AH18" s="1976"/>
      <c r="AI18" s="1976"/>
      <c r="AJ18" s="2548"/>
    </row>
    <row r="19" spans="1:37" s="1854" customFormat="1" ht="14.4" thickBot="1">
      <c r="A19" s="3036"/>
      <c r="B19" s="3037"/>
      <c r="C19" s="3038"/>
      <c r="D19" s="3038" t="s">
        <v>3246</v>
      </c>
      <c r="E19" s="3039"/>
      <c r="F19" s="3040" t="s">
        <v>3249</v>
      </c>
      <c r="G19" s="3039"/>
      <c r="H19" s="3038"/>
      <c r="I19" s="3038"/>
      <c r="J19" s="3041"/>
      <c r="K19" s="1056"/>
      <c r="L19" s="1840"/>
      <c r="M19" s="1840"/>
      <c r="N19" s="1840"/>
      <c r="O19" s="1840"/>
      <c r="P19" s="1840"/>
      <c r="Q19" s="1060"/>
      <c r="R19" s="1060"/>
      <c r="S19" s="1060"/>
      <c r="T19" s="1057"/>
      <c r="U19" s="1057"/>
      <c r="V19" s="1057"/>
      <c r="W19" s="1056"/>
      <c r="X19" s="1056"/>
      <c r="Y19" s="1056"/>
      <c r="Z19" s="1061"/>
      <c r="AA19" s="1061"/>
      <c r="AB19" s="1061"/>
      <c r="AC19" s="1061"/>
      <c r="AD19" s="1061"/>
      <c r="AE19" s="1061"/>
      <c r="AF19" s="1060"/>
      <c r="AG19" s="2551"/>
      <c r="AH19" s="1976"/>
      <c r="AI19" s="561"/>
      <c r="AJ19" s="561"/>
      <c r="AK19" s="1895"/>
    </row>
    <row r="20" spans="1:37" s="1854" customFormat="1" ht="13.8">
      <c r="A20" s="3541" t="s">
        <v>3251</v>
      </c>
      <c r="B20" s="159" t="s">
        <v>1994</v>
      </c>
      <c r="C20" s="3027">
        <f>ROUND(IF(F21="与级别开发程度一致",0,(G21-E21)/C21),0)</f>
        <v>0</v>
      </c>
      <c r="D20" s="3042" t="s">
        <v>1998</v>
      </c>
      <c r="E20" s="3043"/>
      <c r="F20" s="3547" t="s">
        <v>1995</v>
      </c>
      <c r="G20" s="3548"/>
      <c r="H20" s="3028"/>
      <c r="I20" s="3028"/>
      <c r="J20" s="3029"/>
      <c r="K20" s="1885"/>
      <c r="L20" s="1885"/>
      <c r="M20" s="1885"/>
      <c r="N20" s="1885"/>
      <c r="O20" s="1886"/>
      <c r="P20" s="1840"/>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4" customFormat="1" ht="27" thickBot="1">
      <c r="A21" s="3542"/>
      <c r="B21" s="1998" t="s">
        <v>1997</v>
      </c>
      <c r="C21" s="1999">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315</v>
      </c>
      <c r="F21" s="1990" t="s">
        <v>3564</v>
      </c>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4" customFormat="1" ht="15" thickBot="1">
      <c r="A22" s="1992" t="s">
        <v>363</v>
      </c>
      <c r="B22" s="1993" t="s">
        <v>2000</v>
      </c>
      <c r="C22" s="1994">
        <f>SUMIF(修正!C20:C51,E3,修正!E20:E51)</f>
        <v>1</v>
      </c>
      <c r="D22" s="1995"/>
      <c r="E22" s="1996"/>
      <c r="F22" s="1996"/>
      <c r="G22" s="1996"/>
      <c r="H22" s="1996"/>
      <c r="I22" s="1996"/>
      <c r="J22" s="1997"/>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7" thickBot="1">
      <c r="A23" s="1888" t="s">
        <v>364</v>
      </c>
      <c r="B23" s="1889"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1.0335000000000001</v>
      </c>
      <c r="D23" s="1892" t="s">
        <v>2002</v>
      </c>
      <c r="E23" s="717">
        <v>44197</v>
      </c>
      <c r="F23" s="1892" t="s">
        <v>2003</v>
      </c>
      <c r="G23" s="718">
        <f>'数据-取费表'!B2</f>
        <v>45826</v>
      </c>
      <c r="H23" s="3044" t="s">
        <v>3252</v>
      </c>
      <c r="I23" s="3045" t="str">
        <f>IF(H23="季度增幅（自定义）",SUMIF(N25:N28,E2,O25:O28),"")</f>
        <v/>
      </c>
      <c r="J23" s="3137" t="s">
        <v>3565</v>
      </c>
      <c r="K23" s="1061"/>
      <c r="L23" s="1893" t="s">
        <v>2004</v>
      </c>
      <c r="M23" s="1240">
        <f>ROUND(SUMIF(地价!B2:G2,E2,地价!B16:G16),0)</f>
        <v>687</v>
      </c>
      <c r="N23" s="1894" t="s">
        <v>2005</v>
      </c>
      <c r="O23" s="719">
        <f>ROUNDDOWN(DATEDIF(E23,G23,"M")/3,0)</f>
        <v>17</v>
      </c>
      <c r="P23" s="1057"/>
      <c r="Q23" s="2548"/>
      <c r="R23" s="1060"/>
      <c r="S23" s="1060"/>
      <c r="T23" s="1057"/>
      <c r="U23" s="1057"/>
      <c r="V23" s="1057"/>
      <c r="W23" s="1056"/>
      <c r="X23" s="1056"/>
      <c r="Y23" s="1056"/>
      <c r="Z23" s="1061"/>
      <c r="AA23" s="1061"/>
      <c r="AB23" s="1061"/>
      <c r="AC23" s="1061"/>
      <c r="AD23" s="1061"/>
      <c r="AE23" s="1057"/>
      <c r="AF23" s="1057"/>
      <c r="AG23" s="1976"/>
      <c r="AH23" s="1976"/>
      <c r="AI23" s="1976"/>
      <c r="AJ23" s="1976"/>
      <c r="AK23" s="1891"/>
    </row>
    <row r="24" spans="1:37" s="1854" customFormat="1" ht="24.6" thickBot="1">
      <c r="A24" s="1896" t="s">
        <v>365</v>
      </c>
      <c r="B24" s="1897" t="s">
        <v>2006</v>
      </c>
      <c r="C24" s="720">
        <f>ROUND(POWER(1+G24,J24-I24)*(POWER(1+G24,I24)-1)/(POWER(1+G24,J24)-1),4)</f>
        <v>0.97909999999999997</v>
      </c>
      <c r="D24" s="1898" t="s">
        <v>2007</v>
      </c>
      <c r="E24" s="1247">
        <f>存贷款利率!E28/100</f>
        <v>4.3499999999999997E-2</v>
      </c>
      <c r="F24" s="1898" t="s">
        <v>1999</v>
      </c>
      <c r="G24" s="724">
        <f>SUMIF(M30:Q30,E2,M33:Q33)</f>
        <v>0.05</v>
      </c>
      <c r="H24" s="1898" t="s">
        <v>2008</v>
      </c>
      <c r="I24" s="725">
        <f>SUMIF('数据-取费表'!C6:C15,E2,'数据-取费表'!F6:F15)/COUNTIF('数据-取费表'!C6:C15,E2)</f>
        <v>60.17</v>
      </c>
      <c r="J24" s="726">
        <f>IF(E2="住宅",70,IF(E2="商业",40,50))</f>
        <v>70</v>
      </c>
      <c r="K24" s="1061"/>
      <c r="L24" s="1899" t="s">
        <v>2009</v>
      </c>
      <c r="M24" s="1241">
        <f>ROUND(SUMPRODUCT((地价!A4:A16=YEAR(G23)&amp;"-"&amp;ROUNDUP(MONTH(G23)/3,0))*(地价!B2:G2=E2)*(地价!B4:G16)),0)</f>
        <v>0</v>
      </c>
      <c r="N24" s="1900" t="s">
        <v>2010</v>
      </c>
      <c r="O24" s="1901" t="s">
        <v>2011</v>
      </c>
      <c r="P24" s="1902" t="s">
        <v>2012</v>
      </c>
      <c r="Q24" s="1840"/>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4.4">
      <c r="A25" s="1903" t="s">
        <v>366</v>
      </c>
      <c r="B25" s="1904" t="s">
        <v>3331</v>
      </c>
      <c r="C25" s="461">
        <f>IF(B25="容积率修正",IF(G3&lt;10,D26,J26),C27)</f>
        <v>1.0296000000000001</v>
      </c>
      <c r="D25" s="1905"/>
      <c r="E25" s="1905"/>
      <c r="F25" s="1905"/>
      <c r="G25" s="1905"/>
      <c r="H25" s="1905"/>
      <c r="I25" s="1905"/>
      <c r="J25" s="1906"/>
      <c r="K25" s="1061"/>
      <c r="L25" s="2548"/>
      <c r="M25" s="2548"/>
      <c r="N25" s="1907" t="s">
        <v>2013</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6"/>
      <c r="AH25" s="1976"/>
      <c r="AI25" s="1976"/>
      <c r="AJ25" s="1976"/>
    </row>
    <row r="26" spans="1:37" ht="14.4">
      <c r="A26" s="1802" t="s">
        <v>2014</v>
      </c>
      <c r="B26" s="1908" t="s">
        <v>2015</v>
      </c>
      <c r="C26" s="1908" t="s">
        <v>3253</v>
      </c>
      <c r="D26" s="1262">
        <f>IF(E26=G26,F26,IF(G3&lt;10,ROUND(F26+(H26-F26)*(G3-E26)/(G26-E26),4),"——"))</f>
        <v>1.0296000000000001</v>
      </c>
      <c r="E26" s="708">
        <f>ROUNDDOWN(G3,1)</f>
        <v>2.2000000000000002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1.0296000000000001</v>
      </c>
      <c r="G26" s="708">
        <f>ROUNDUP(G3,1)</f>
        <v>2.2000000000000002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1.0296000000000001</v>
      </c>
      <c r="I26" s="1908" t="s">
        <v>3254</v>
      </c>
      <c r="J26" s="374" t="str">
        <f>IF(G3&gt;=10,D115,"——")</f>
        <v>——</v>
      </c>
      <c r="K26" s="1061"/>
      <c r="L26" s="2548"/>
      <c r="M26" s="2548"/>
      <c r="N26" s="1907" t="s">
        <v>2016</v>
      </c>
      <c r="O26" s="1093"/>
      <c r="P26" s="1094">
        <f>SUMPRODUCT((地价!A3:A40=YEAR(G23)&amp;"-"&amp;ROUNDUP(MONTH(G23)/3,0))*(地价!AD2:AH2=N26)*(地价!AD3:AH40))</f>
        <v>0</v>
      </c>
      <c r="Q26" s="1840"/>
      <c r="R26" s="1060"/>
      <c r="S26" s="1060"/>
      <c r="T26" s="1057"/>
      <c r="U26" s="1057"/>
      <c r="V26" s="1057"/>
      <c r="W26" s="1056"/>
      <c r="X26" s="1056"/>
      <c r="Y26" s="1056"/>
      <c r="Z26" s="1061"/>
      <c r="AA26" s="1061"/>
      <c r="AB26" s="1061"/>
      <c r="AC26" s="1061"/>
      <c r="AD26" s="1061"/>
      <c r="AE26" s="1057"/>
      <c r="AF26" s="1057"/>
      <c r="AG26" s="1976"/>
      <c r="AH26" s="1976"/>
      <c r="AI26" s="1976"/>
      <c r="AJ26" s="1976"/>
    </row>
    <row r="27" spans="1:37" ht="15" thickBot="1">
      <c r="A27" s="1802" t="s">
        <v>2017</v>
      </c>
      <c r="B27" s="1909" t="s">
        <v>2018</v>
      </c>
      <c r="C27" s="791">
        <f>ROUND(IF(I3&lt;6,SUMPRODUCT((B106:B110=I3)*(C105:N105=G2)*(C106:N110)),SUMIF(C105:N105,G2,C112:N112)),4)</f>
        <v>0</v>
      </c>
      <c r="D27" s="1838"/>
      <c r="E27" s="1838"/>
      <c r="F27" s="1910"/>
      <c r="G27" s="1911"/>
      <c r="H27" s="1912"/>
      <c r="I27" s="1913"/>
      <c r="J27" s="1914"/>
      <c r="K27" s="1056"/>
      <c r="L27" s="1840"/>
      <c r="M27" s="1840"/>
      <c r="N27" s="1907" t="s">
        <v>2019</v>
      </c>
      <c r="O27" s="1093"/>
      <c r="P27" s="1094">
        <f>SUMPRODUCT((地价!A3:A40=YEAR(G23)&amp;"-"&amp;ROUNDUP(MONTH(G23)/3,0))*(地价!AD2:AH2=N27)*(地价!AD3:AH40))</f>
        <v>0</v>
      </c>
      <c r="Q27" s="1840"/>
      <c r="R27" s="1060"/>
      <c r="S27" s="1060"/>
      <c r="T27" s="1057"/>
      <c r="U27" s="1057"/>
      <c r="V27" s="1057"/>
      <c r="W27" s="1056"/>
      <c r="X27" s="1056"/>
      <c r="Y27" s="1056"/>
      <c r="Z27" s="1061"/>
      <c r="AA27" s="1061"/>
      <c r="AB27" s="1061"/>
      <c r="AC27" s="1061"/>
      <c r="AD27" s="1061"/>
      <c r="AE27" s="1057"/>
      <c r="AF27" s="1057"/>
      <c r="AG27" s="1976"/>
      <c r="AH27" s="1976"/>
      <c r="AI27" s="1976"/>
      <c r="AJ27" s="1976"/>
    </row>
    <row r="28" spans="1:37" ht="15" thickBot="1">
      <c r="A28" s="1896" t="s">
        <v>367</v>
      </c>
      <c r="B28" s="1889" t="s">
        <v>2020</v>
      </c>
      <c r="C28" s="716">
        <f>SUMIF(A47:A101,E2,B47:B101)</f>
        <v>1.0642</v>
      </c>
      <c r="D28" s="1890"/>
      <c r="E28" s="1915"/>
      <c r="F28" s="1915"/>
      <c r="G28" s="1915"/>
      <c r="H28" s="1915"/>
      <c r="I28" s="1915"/>
      <c r="J28" s="1916"/>
      <c r="K28" s="1061"/>
      <c r="L28" s="2548"/>
      <c r="M28" s="2548"/>
      <c r="N28" s="1917"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6"/>
      <c r="AH28" s="1976"/>
      <c r="AI28" s="1976"/>
      <c r="AJ28" s="1976"/>
    </row>
    <row r="29" spans="1:37" ht="15" thickBot="1">
      <c r="A29" s="1896" t="s">
        <v>368</v>
      </c>
      <c r="B29" s="1918" t="s">
        <v>2022</v>
      </c>
      <c r="C29" s="721"/>
      <c r="D29" s="1864"/>
      <c r="E29" s="1864"/>
      <c r="F29" s="1919"/>
      <c r="G29" s="1864"/>
      <c r="H29" s="1864"/>
      <c r="I29" s="1864"/>
      <c r="J29" s="1865"/>
      <c r="K29" s="1056"/>
      <c r="L29" s="1840"/>
      <c r="M29" s="1840"/>
      <c r="N29" s="2545" t="s">
        <v>2023</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0"/>
      <c r="AH29" s="1840"/>
      <c r="AI29" s="1840"/>
      <c r="AJ29" s="1840"/>
    </row>
    <row r="30" spans="1:37" ht="14.4">
      <c r="A30" s="1920"/>
      <c r="B30" s="1908" t="s">
        <v>2024</v>
      </c>
      <c r="C30" s="2141">
        <f>IF(B25="容积率修正",E33+SUM(E37:E42),SUM(V2:V16)+SUM(E37:E42))</f>
        <v>260</v>
      </c>
      <c r="D30" s="1921"/>
      <c r="E30" s="1838"/>
      <c r="F30" s="1922"/>
      <c r="G30" s="1838"/>
      <c r="H30" s="1838"/>
      <c r="I30" s="1838"/>
      <c r="J30" s="1923"/>
      <c r="K30" s="1056"/>
      <c r="L30" s="3051" t="s">
        <v>1936</v>
      </c>
      <c r="M30" s="3052" t="s">
        <v>1990</v>
      </c>
      <c r="N30" s="3052" t="s">
        <v>1991</v>
      </c>
      <c r="O30" s="3052" t="s">
        <v>1992</v>
      </c>
      <c r="P30" s="3052" t="s">
        <v>1993</v>
      </c>
      <c r="Q30" s="3055" t="s">
        <v>3258</v>
      </c>
      <c r="R30" s="1060"/>
      <c r="S30" s="1060"/>
      <c r="T30" s="1057"/>
      <c r="U30" s="1057"/>
      <c r="V30" s="1057"/>
      <c r="W30" s="1056"/>
      <c r="X30" s="1056"/>
      <c r="Y30" s="1056"/>
      <c r="Z30" s="1061"/>
      <c r="AA30" s="1061"/>
      <c r="AB30" s="1061"/>
      <c r="AC30" s="1061"/>
      <c r="AD30" s="1061"/>
      <c r="AE30" s="1056"/>
      <c r="AF30" s="1056"/>
      <c r="AG30" s="1840"/>
      <c r="AH30" s="1840"/>
      <c r="AI30" s="1840"/>
      <c r="AJ30" s="1840"/>
    </row>
    <row r="31" spans="1:37" ht="15" thickBot="1">
      <c r="A31" s="1920"/>
      <c r="B31" s="1924" t="s">
        <v>2025</v>
      </c>
      <c r="C31" s="722">
        <f>E34+SUM(I37:I42)</f>
        <v>0</v>
      </c>
      <c r="D31" s="1925"/>
      <c r="E31" s="1926"/>
      <c r="F31" s="1927"/>
      <c r="G31" s="1926"/>
      <c r="H31" s="1926"/>
      <c r="I31" s="1926"/>
      <c r="J31" s="1928"/>
      <c r="K31" s="1056"/>
      <c r="L31" s="3053" t="s">
        <v>1996</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0"/>
      <c r="AH31" s="1840"/>
      <c r="AI31" s="1840"/>
      <c r="AJ31" s="1840"/>
    </row>
    <row r="32" spans="1:37" ht="15" thickBot="1">
      <c r="A32" s="1929"/>
      <c r="B32" s="1930" t="s">
        <v>2026</v>
      </c>
      <c r="C32" s="1931" t="s">
        <v>2027</v>
      </c>
      <c r="D32" s="1931" t="s">
        <v>2028</v>
      </c>
      <c r="E32" s="1932" t="s">
        <v>2029</v>
      </c>
      <c r="F32" s="1933"/>
      <c r="G32" s="1877"/>
      <c r="H32" s="1877"/>
      <c r="I32" s="1877"/>
      <c r="J32" s="1878"/>
      <c r="K32" s="1056"/>
      <c r="L32" s="3054" t="s">
        <v>1999</v>
      </c>
      <c r="M32" s="2352">
        <f>ROUND($E$24*(1+M31),3)</f>
        <v>5.3999999999999999E-2</v>
      </c>
      <c r="N32" s="2352">
        <f>ROUND($E$24*(1+N31),3)</f>
        <v>5.1999999999999998E-2</v>
      </c>
      <c r="O32" s="2352">
        <f>ROUND($E$24*(1+O31),3)</f>
        <v>0.05</v>
      </c>
      <c r="P32" s="2352">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0"/>
      <c r="AH32" s="1840"/>
      <c r="AI32" s="1840"/>
      <c r="AJ32" s="1840"/>
    </row>
    <row r="33" spans="1:37" ht="13.8">
      <c r="A33" s="1934"/>
      <c r="B33" s="1935" t="s">
        <v>2030</v>
      </c>
      <c r="C33" s="167">
        <f>ROUND(C5*C22*C23*C24*C25*C28,0)</f>
        <v>13997</v>
      </c>
      <c r="D33" s="1936">
        <f>'数据-汇总表'!E19</f>
        <v>185.94</v>
      </c>
      <c r="E33" s="727">
        <f>ROUND(C33*D33/10000,0)</f>
        <v>260</v>
      </c>
      <c r="F33" s="3046" t="s">
        <v>3256</v>
      </c>
      <c r="G33" s="1937"/>
      <c r="H33" s="1937"/>
      <c r="I33" s="1937"/>
      <c r="J33" s="1938"/>
      <c r="K33" s="1056"/>
      <c r="L33" s="3049" t="s">
        <v>3259</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6"/>
      <c r="AH33" s="1976"/>
      <c r="AI33" s="1976"/>
      <c r="AJ33" s="1976"/>
    </row>
    <row r="34" spans="1:37" ht="25.8" thickBot="1">
      <c r="A34" s="1939"/>
      <c r="B34" s="1940" t="s">
        <v>2031</v>
      </c>
      <c r="C34" s="179">
        <f>ROUND(IF(E2="工业",C33*M42,IF(B25="楼层修正",SUM(V2:V16)*M41*10000/D34,C33*M41)),0)</f>
        <v>3499</v>
      </c>
      <c r="D34" s="1941"/>
      <c r="E34" s="727">
        <f>ROUND(IF(B25="楼层修正",SUM(V2:V16)*M40,C34*D34/10000),0)</f>
        <v>0</v>
      </c>
      <c r="F34" s="1942" t="s">
        <v>2032</v>
      </c>
      <c r="G34" s="1943"/>
      <c r="H34" s="1943"/>
      <c r="I34" s="1943"/>
      <c r="J34" s="1944"/>
      <c r="K34" s="1056"/>
      <c r="L34" s="3049" t="s">
        <v>3260</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6"/>
      <c r="AH34" s="1976"/>
      <c r="AI34" s="1976"/>
      <c r="AJ34" s="1976"/>
    </row>
    <row r="35" spans="1:37">
      <c r="A35" s="1945"/>
      <c r="B35" s="1946" t="s">
        <v>2033</v>
      </c>
      <c r="C35" s="3047" t="s">
        <v>3257</v>
      </c>
      <c r="D35" s="1877"/>
      <c r="E35" s="1947"/>
      <c r="F35" s="1947"/>
      <c r="G35" s="1875" t="s">
        <v>2034</v>
      </c>
      <c r="H35" s="1877"/>
      <c r="I35" s="1948"/>
      <c r="J35" s="1878"/>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6"/>
      <c r="AH35" s="1976"/>
      <c r="AI35" s="1976"/>
      <c r="AJ35" s="1976"/>
    </row>
    <row r="36" spans="1:37" ht="36.6" thickBot="1">
      <c r="A36" s="1934"/>
      <c r="B36" s="1949"/>
      <c r="C36" s="436" t="s">
        <v>2027</v>
      </c>
      <c r="D36" s="433" t="s">
        <v>2028</v>
      </c>
      <c r="E36" s="433" t="s">
        <v>2029</v>
      </c>
      <c r="F36" s="333" t="s">
        <v>2035</v>
      </c>
      <c r="G36" s="1950" t="s">
        <v>2027</v>
      </c>
      <c r="H36" s="1950" t="s">
        <v>2028</v>
      </c>
      <c r="I36" s="1950" t="s">
        <v>2029</v>
      </c>
      <c r="J36" s="235"/>
      <c r="K36" s="1960" t="s">
        <v>3261</v>
      </c>
      <c r="L36" s="3138">
        <f ca="1">'数据-取费表'!B40</f>
        <v>0.03</v>
      </c>
      <c r="M36" s="2362">
        <f ca="1">ROUND($L$36*(1+M31),3)</f>
        <v>3.7999999999999999E-2</v>
      </c>
      <c r="N36" s="2362">
        <f ca="1">ROUND($L$36*(1+N31),3)</f>
        <v>3.5999999999999997E-2</v>
      </c>
      <c r="O36" s="2362">
        <f ca="1">ROUND($L$36*(1+O31),3)</f>
        <v>3.5000000000000003E-2</v>
      </c>
      <c r="P36" s="2362">
        <f ca="1">ROUND($L$36*(1+P31),3)</f>
        <v>3.3000000000000002E-2</v>
      </c>
      <c r="Q36" s="2362">
        <f ca="1">ROUND($L$36*(1+Q31),3)</f>
        <v>3.5000000000000003E-2</v>
      </c>
      <c r="R36" s="1056"/>
      <c r="S36" s="1056"/>
      <c r="T36" s="1056"/>
      <c r="U36" s="1056"/>
      <c r="V36" s="1056"/>
      <c r="W36" s="1056"/>
      <c r="X36" s="1056"/>
      <c r="Y36" s="1056"/>
      <c r="Z36" s="1057"/>
      <c r="AA36" s="1057"/>
      <c r="AB36" s="1057"/>
      <c r="AC36" s="1057"/>
      <c r="AD36" s="1057"/>
      <c r="AE36" s="1057"/>
      <c r="AF36" s="1057"/>
      <c r="AG36" s="1976"/>
      <c r="AH36" s="1976"/>
      <c r="AI36" s="1976"/>
      <c r="AJ36" s="1976"/>
    </row>
    <row r="37" spans="1:37" ht="24.6" thickBot="1">
      <c r="A37" s="3545"/>
      <c r="B37" s="1951" t="s">
        <v>2036</v>
      </c>
      <c r="C37" s="167">
        <f>ROUND(D5*C22*C23*C24*C28*F37,0)</f>
        <v>7062</v>
      </c>
      <c r="D37" s="1936"/>
      <c r="E37" s="163">
        <f>ROUND(C37*D37/10000,0)</f>
        <v>0</v>
      </c>
      <c r="F37" s="163">
        <f>SUMIF(修正!A57:A68,G2,修正!B57:B68)</f>
        <v>0.6</v>
      </c>
      <c r="G37" s="163">
        <f>ROUND(IF(E2="工业",C37*$M$42,C37*$M$41),0)</f>
        <v>1766</v>
      </c>
      <c r="H37" s="163">
        <f>D37</f>
        <v>0</v>
      </c>
      <c r="I37" s="163">
        <f>ROUND(G37*H37/10000,0)</f>
        <v>0</v>
      </c>
      <c r="J37" s="2750"/>
      <c r="K37" s="3057" t="s">
        <v>3262</v>
      </c>
      <c r="L37" s="1960">
        <f ca="1">L36+K38</f>
        <v>3.4999999999999996E-2</v>
      </c>
      <c r="M37" s="2362">
        <f ca="1">ROUND($L$37*(1+M31),3)</f>
        <v>4.3999999999999997E-2</v>
      </c>
      <c r="N37" s="2362">
        <f t="shared" ref="N37:Q37" ca="1" si="3">ROUND($L$37*(1+N31),3)</f>
        <v>4.2000000000000003E-2</v>
      </c>
      <c r="O37" s="2362">
        <f t="shared" ca="1" si="3"/>
        <v>0.04</v>
      </c>
      <c r="P37" s="2362">
        <f t="shared" ca="1" si="3"/>
        <v>3.9E-2</v>
      </c>
      <c r="Q37" s="2362">
        <f t="shared" ca="1" si="3"/>
        <v>0.04</v>
      </c>
      <c r="R37" s="1056"/>
      <c r="S37" s="1056"/>
      <c r="T37" s="1056"/>
      <c r="U37" s="1056"/>
      <c r="V37" s="1056"/>
      <c r="W37" s="1056"/>
      <c r="X37" s="1056"/>
      <c r="Y37" s="1056"/>
      <c r="Z37" s="1057"/>
      <c r="AA37" s="1057"/>
      <c r="AB37" s="1057"/>
      <c r="AC37" s="1057"/>
      <c r="AD37" s="1057"/>
      <c r="AE37" s="1057"/>
      <c r="AF37" s="1057"/>
      <c r="AG37" s="1976"/>
      <c r="AH37" s="1976"/>
      <c r="AI37" s="1976"/>
      <c r="AJ37" s="1976"/>
    </row>
    <row r="38" spans="1:37">
      <c r="A38" s="3546"/>
      <c r="B38" s="1880" t="s">
        <v>2037</v>
      </c>
      <c r="C38" s="167">
        <f>ROUND(D5*C22*C23*C24*C28*F38,0)</f>
        <v>3531</v>
      </c>
      <c r="D38" s="1936"/>
      <c r="E38" s="163">
        <f t="shared" ref="E38:E42" si="4">ROUND(C38*D38/10000,0)</f>
        <v>0</v>
      </c>
      <c r="F38" s="163">
        <f>SUMIF(修正!A57:A68,G2,修正!C57:C68)</f>
        <v>0.3</v>
      </c>
      <c r="G38" s="163">
        <f>ROUND(IF(E2="工业",C38*$M$42,C38*$M$41),0)</f>
        <v>883</v>
      </c>
      <c r="H38" s="163">
        <f t="shared" ref="H38:H42" si="5">D38</f>
        <v>0</v>
      </c>
      <c r="I38" s="163">
        <f t="shared" ref="I38:I42" si="6">ROUND(G38*H38/10000,0)</f>
        <v>0</v>
      </c>
      <c r="J38" s="2749"/>
      <c r="K38" s="1960">
        <v>5.0000000000000001E-3</v>
      </c>
      <c r="L38" s="1960"/>
      <c r="M38" s="1960"/>
      <c r="N38" s="1960"/>
      <c r="O38" s="1960"/>
      <c r="P38" s="1960"/>
      <c r="Q38" s="1960"/>
      <c r="R38" s="1056"/>
      <c r="S38" s="1056"/>
      <c r="T38" s="1056"/>
      <c r="U38" s="1056"/>
      <c r="V38" s="1056"/>
      <c r="W38" s="1056"/>
      <c r="X38" s="1056"/>
      <c r="Y38" s="1056"/>
      <c r="Z38" s="1057"/>
      <c r="AA38" s="1057"/>
      <c r="AB38" s="1057"/>
      <c r="AC38" s="1057"/>
      <c r="AD38" s="1057"/>
    </row>
    <row r="39" spans="1:37" ht="13.8" thickBot="1">
      <c r="A39" s="3546"/>
      <c r="B39" s="1880" t="s">
        <v>3255</v>
      </c>
      <c r="C39" s="167">
        <f>ROUND(D5*C22*C23*C24*C28*F39,0)</f>
        <v>2943</v>
      </c>
      <c r="D39" s="1936"/>
      <c r="E39" s="163">
        <f t="shared" si="4"/>
        <v>0</v>
      </c>
      <c r="F39" s="163">
        <f>SUMIF(修正!A57:A68,G2,修正!D57:D68)</f>
        <v>0.25</v>
      </c>
      <c r="G39" s="163">
        <f>ROUND(IF(E2="工业",C39*$M$42,C39*$M$41),0)</f>
        <v>736</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2"/>
      <c r="B40" s="1880" t="s">
        <v>2038</v>
      </c>
      <c r="C40" s="163">
        <f>ROUND(D5*C22*C23*C24*C28*F40,0)</f>
        <v>2943</v>
      </c>
      <c r="D40" s="1936"/>
      <c r="E40" s="163">
        <f t="shared" si="4"/>
        <v>0</v>
      </c>
      <c r="F40" s="167">
        <f>SUMIF(修正!A57:A68,G2,修正!E57:E68)</f>
        <v>0.25</v>
      </c>
      <c r="G40" s="163">
        <f>ROUND(IF(E2="工业",C40*$M$42,C40*$M$41),0)</f>
        <v>736</v>
      </c>
      <c r="H40" s="163">
        <f t="shared" si="5"/>
        <v>0</v>
      </c>
      <c r="I40" s="163">
        <f t="shared" si="6"/>
        <v>0</v>
      </c>
      <c r="J40" s="939"/>
      <c r="L40" s="1953" t="s">
        <v>2039</v>
      </c>
      <c r="M40" s="1954"/>
      <c r="Z40" s="1057"/>
      <c r="AA40" s="1057"/>
      <c r="AB40" s="1057"/>
      <c r="AC40" s="1057"/>
      <c r="AD40" s="1057"/>
      <c r="AE40" s="1057"/>
      <c r="AF40" s="1057"/>
      <c r="AG40" s="1057"/>
      <c r="AH40" s="1057"/>
      <c r="AI40" s="1057"/>
      <c r="AJ40" s="1057"/>
    </row>
    <row r="41" spans="1:37" s="1056" customFormat="1">
      <c r="A41" s="1952"/>
      <c r="B41" s="1880" t="s">
        <v>2040</v>
      </c>
      <c r="C41" s="163">
        <f>ROUND(D5*C22*C23*C44*C28*F41,0)</f>
        <v>0</v>
      </c>
      <c r="D41" s="1936"/>
      <c r="E41" s="163">
        <f t="shared" si="4"/>
        <v>0</v>
      </c>
      <c r="F41" s="167">
        <f>SUMIF(修正!A57:A68,G2,修正!F57:F68)</f>
        <v>0.25</v>
      </c>
      <c r="G41" s="163">
        <f>ROUND(IF(E2="工业",C41*$M$42,C41*$M$41),0)</f>
        <v>0</v>
      </c>
      <c r="H41" s="163">
        <f t="shared" si="5"/>
        <v>0</v>
      </c>
      <c r="I41" s="163">
        <f t="shared" si="6"/>
        <v>0</v>
      </c>
      <c r="J41" s="939"/>
      <c r="L41" s="3058" t="s">
        <v>3263</v>
      </c>
      <c r="M41" s="1955">
        <v>0.25</v>
      </c>
      <c r="Z41" s="1057"/>
      <c r="AA41" s="1057"/>
      <c r="AB41" s="1057"/>
      <c r="AC41" s="1057"/>
      <c r="AD41" s="1057"/>
      <c r="AE41" s="1057"/>
      <c r="AF41" s="1057"/>
      <c r="AG41" s="1057"/>
      <c r="AH41" s="1057"/>
      <c r="AI41" s="1057"/>
      <c r="AJ41" s="1057"/>
    </row>
    <row r="42" spans="1:37" s="1056" customFormat="1" ht="13.8" thickBot="1">
      <c r="A42" s="1939"/>
      <c r="B42" s="1956" t="s">
        <v>2041</v>
      </c>
      <c r="C42" s="179">
        <f>ROUND(D5*C22*C23*C44*C28*F42,0)</f>
        <v>0</v>
      </c>
      <c r="D42" s="1941"/>
      <c r="E42" s="179">
        <f t="shared" si="4"/>
        <v>0</v>
      </c>
      <c r="F42" s="723">
        <f>SUMIF(修正!A57:A68,G2,修正!G57:G68)</f>
        <v>0.15</v>
      </c>
      <c r="G42" s="179">
        <f>ROUND(IF(E2="工业",C42*$M$42,C42*$M$41),0)</f>
        <v>0</v>
      </c>
      <c r="H42" s="179">
        <f t="shared" si="5"/>
        <v>0</v>
      </c>
      <c r="I42" s="179">
        <f t="shared" si="6"/>
        <v>0</v>
      </c>
      <c r="J42" s="1957"/>
      <c r="L42" s="1958" t="s">
        <v>1993</v>
      </c>
      <c r="M42" s="1959">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88" t="s">
        <v>2119</v>
      </c>
      <c r="C44" s="333">
        <f>ROUND(POWER(1+E44,H44-G44)*(POWER(1+E44,G44)-1)/(POWER(1+E44,H44)-1),4)</f>
        <v>0</v>
      </c>
      <c r="D44" s="163" t="s">
        <v>1999</v>
      </c>
      <c r="E44" s="1987">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0"/>
      <c r="Z45" s="1057"/>
      <c r="AA45" s="1057"/>
      <c r="AB45" s="1057"/>
      <c r="AC45" s="1057"/>
      <c r="AD45" s="1057"/>
      <c r="AE45" s="1057"/>
      <c r="AF45" s="1057"/>
      <c r="AG45" s="1057"/>
      <c r="AH45" s="1057"/>
      <c r="AI45" s="1057"/>
      <c r="AJ45" s="1057"/>
    </row>
    <row r="46" spans="1:37" s="1056" customFormat="1">
      <c r="A46" s="1057"/>
      <c r="B46" s="1960"/>
      <c r="AA46" s="1057"/>
      <c r="AB46" s="1057"/>
      <c r="AC46" s="1057"/>
      <c r="AD46" s="1057"/>
      <c r="AE46" s="1057"/>
      <c r="AF46" s="1057"/>
      <c r="AG46" s="1057"/>
      <c r="AH46" s="1057"/>
      <c r="AI46" s="1057"/>
      <c r="AJ46" s="1057"/>
      <c r="AK46" s="1057"/>
    </row>
    <row r="47" spans="1:37" s="1056" customFormat="1" ht="15" thickBot="1">
      <c r="A47" s="1961" t="s">
        <v>2042</v>
      </c>
      <c r="B47" s="1962"/>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4.4">
      <c r="A48" s="1963" t="s">
        <v>2043</v>
      </c>
      <c r="B48" s="1964">
        <f>1+E50</f>
        <v>1</v>
      </c>
      <c r="C48" s="1725"/>
      <c r="D48" s="699"/>
      <c r="E48" s="700"/>
      <c r="F48" s="1965"/>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5.2">
      <c r="A49" s="1966" t="s">
        <v>2044</v>
      </c>
      <c r="B49" s="1261" t="s">
        <v>2045</v>
      </c>
      <c r="C49" s="1261" t="s">
        <v>2046</v>
      </c>
      <c r="D49" s="1261" t="s">
        <v>2047</v>
      </c>
      <c r="E49" s="701" t="s">
        <v>2048</v>
      </c>
      <c r="F49" s="1967" t="s">
        <v>2049</v>
      </c>
      <c r="G49" s="1261" t="s">
        <v>310</v>
      </c>
      <c r="H49" s="1968"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6" t="s">
        <v>2052</v>
      </c>
      <c r="B50" s="1969" t="str">
        <f>估价对象房地状况!C4</f>
        <v>估价对象位于XX商圈，周边商业氛围成熟，人流量大，商业繁华度好</v>
      </c>
      <c r="C50" s="1883"/>
      <c r="D50" s="1002">
        <f t="shared" ref="D50:D58" si="7">SUMIF($J$49:$N$49,C50,J50:N50)</f>
        <v>0</v>
      </c>
      <c r="E50" s="702">
        <f>ROUND(SUM(D50:D58),4)</f>
        <v>0</v>
      </c>
      <c r="F50" s="1674"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6" t="s">
        <v>2053</v>
      </c>
      <c r="B51" s="1261" t="str">
        <f>估价对象房地状况!C18</f>
        <v>估价对象周边道路状况、公共交通通达情况、停车便捷程度，综合评价交通便捷度较好</v>
      </c>
      <c r="C51" s="1883"/>
      <c r="D51" s="1002">
        <f t="shared" si="7"/>
        <v>0</v>
      </c>
      <c r="E51" s="703"/>
      <c r="F51" s="1674"/>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6" t="s">
        <v>3265</v>
      </c>
      <c r="B52" s="1261">
        <f>估价对象房地状况!C19</f>
        <v>0</v>
      </c>
      <c r="C52" s="1883"/>
      <c r="D52" s="1002">
        <f t="shared" si="7"/>
        <v>0</v>
      </c>
      <c r="E52" s="703"/>
      <c r="F52" s="1674"/>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6" t="s">
        <v>2054</v>
      </c>
      <c r="B53" s="1970" t="s">
        <v>2055</v>
      </c>
      <c r="C53" s="1883"/>
      <c r="D53" s="1002">
        <f t="shared" si="7"/>
        <v>0</v>
      </c>
      <c r="E53" s="703"/>
      <c r="F53" s="1674"/>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6" t="s">
        <v>2056</v>
      </c>
      <c r="B54" s="1261">
        <f>估价对象房地状况!C24</f>
        <v>0</v>
      </c>
      <c r="C54" s="1883"/>
      <c r="D54" s="1002">
        <f t="shared" si="7"/>
        <v>0</v>
      </c>
      <c r="E54" s="703"/>
      <c r="F54" s="1674"/>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6" t="s">
        <v>2057</v>
      </c>
      <c r="B55" s="1971" t="s">
        <v>2058</v>
      </c>
      <c r="C55" s="1883"/>
      <c r="D55" s="1002">
        <f t="shared" si="7"/>
        <v>0</v>
      </c>
      <c r="E55" s="703"/>
      <c r="F55" s="1674"/>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2" t="s">
        <v>2059</v>
      </c>
      <c r="B56" s="1239" t="str">
        <f>估价对象房地状况!C21</f>
        <v>估价对象所在区域公共配套设施齐备情况</v>
      </c>
      <c r="C56" s="1883"/>
      <c r="D56" s="1002">
        <f t="shared" si="7"/>
        <v>0</v>
      </c>
      <c r="E56" s="703"/>
      <c r="F56" s="1674"/>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2" t="s">
        <v>2060</v>
      </c>
      <c r="B57" s="1261" t="str">
        <f>估价对象房地状况!C22</f>
        <v>估价对象所在区域基础设施水平</v>
      </c>
      <c r="C57" s="1883"/>
      <c r="D57" s="1002">
        <f t="shared" si="7"/>
        <v>0</v>
      </c>
      <c r="E57" s="703"/>
      <c r="F57" s="1674"/>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3" t="s">
        <v>2061</v>
      </c>
      <c r="B58" s="1974" t="str">
        <f>估价对象房地状况!C20</f>
        <v>区域自然环境：；人文环境；综合评价环境状况一般</v>
      </c>
      <c r="C58" s="1883"/>
      <c r="D58" s="1002">
        <f t="shared" si="7"/>
        <v>0</v>
      </c>
      <c r="E58" s="704"/>
      <c r="F58" s="1674"/>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3" t="s">
        <v>2062</v>
      </c>
      <c r="B59" s="1964">
        <f>1+E61</f>
        <v>1</v>
      </c>
      <c r="C59" s="699"/>
      <c r="D59" s="699"/>
      <c r="E59" s="700"/>
      <c r="F59" s="1965"/>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6" t="s">
        <v>2044</v>
      </c>
      <c r="B60" s="1261"/>
      <c r="C60" s="1261" t="s">
        <v>2046</v>
      </c>
      <c r="D60" s="1261" t="s">
        <v>2047</v>
      </c>
      <c r="E60" s="701" t="s">
        <v>2048</v>
      </c>
      <c r="F60" s="1967" t="s">
        <v>2063</v>
      </c>
      <c r="G60" s="1261" t="s">
        <v>310</v>
      </c>
      <c r="H60" s="1968"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6" t="s">
        <v>2064</v>
      </c>
      <c r="B61" s="1969" t="str">
        <f>估价对象房地状况!C17</f>
        <v>估价对象位于XX商圈，周边办公楼项目较多，入驻率高，办公集聚程度较好</v>
      </c>
      <c r="C61" s="1883"/>
      <c r="D61" s="1002">
        <f t="shared" ref="D61:D69" si="12">SUMIF($J$60:$N$60,C61,J61:N61)</f>
        <v>0</v>
      </c>
      <c r="E61" s="702">
        <f>ROUND(SUM(D61:D69),4)</f>
        <v>0</v>
      </c>
      <c r="F61" s="1674" t="str">
        <f>IF(E2="办公",SUMIF(L1:L12,G2,N1:N12),"——")</f>
        <v>——</v>
      </c>
      <c r="G61" s="1000"/>
      <c r="H61" s="1003" t="str">
        <f t="shared" ref="H61:H69" si="13">IFERROR(ROUNDDOWN($F$61*I61/2,4),"——")</f>
        <v>——</v>
      </c>
      <c r="I61" s="3064">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6" t="s">
        <v>2053</v>
      </c>
      <c r="B62" s="1261" t="str">
        <f>估价对象房地状况!C18</f>
        <v>估价对象周边道路状况、公共交通通达情况、停车便捷程度，综合评价交通便捷度较好</v>
      </c>
      <c r="C62" s="1883"/>
      <c r="D62" s="1002">
        <f t="shared" si="12"/>
        <v>0</v>
      </c>
      <c r="E62" s="703"/>
      <c r="F62" s="1674"/>
      <c r="G62" s="1000"/>
      <c r="H62" s="1003" t="str">
        <f t="shared" si="13"/>
        <v>——</v>
      </c>
      <c r="I62" s="3064">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6" t="s">
        <v>3265</v>
      </c>
      <c r="B63" s="1261">
        <f>估价对象房地状况!C19</f>
        <v>0</v>
      </c>
      <c r="C63" s="1883"/>
      <c r="D63" s="1002">
        <f t="shared" si="12"/>
        <v>0</v>
      </c>
      <c r="E63" s="703"/>
      <c r="F63" s="1674"/>
      <c r="G63" s="1000"/>
      <c r="H63" s="1003" t="str">
        <f t="shared" si="13"/>
        <v>——</v>
      </c>
      <c r="I63" s="3064">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6" t="s">
        <v>2054</v>
      </c>
      <c r="B64" s="1970" t="s">
        <v>2055</v>
      </c>
      <c r="C64" s="1883"/>
      <c r="D64" s="1002">
        <f t="shared" si="12"/>
        <v>0</v>
      </c>
      <c r="E64" s="703"/>
      <c r="F64" s="1674"/>
      <c r="G64" s="1000"/>
      <c r="H64" s="1003" t="str">
        <f t="shared" si="13"/>
        <v>——</v>
      </c>
      <c r="I64" s="3064">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6" t="s">
        <v>2056</v>
      </c>
      <c r="B65" s="1261">
        <f>估价对象房地状况!C24</f>
        <v>0</v>
      </c>
      <c r="C65" s="1883"/>
      <c r="D65" s="1002">
        <f t="shared" si="12"/>
        <v>0</v>
      </c>
      <c r="E65" s="703"/>
      <c r="F65" s="1674"/>
      <c r="G65" s="1000"/>
      <c r="H65" s="1003" t="str">
        <f t="shared" si="13"/>
        <v>——</v>
      </c>
      <c r="I65" s="3064">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6" t="s">
        <v>2057</v>
      </c>
      <c r="B66" s="1971" t="s">
        <v>2058</v>
      </c>
      <c r="C66" s="1883"/>
      <c r="D66" s="1002">
        <f t="shared" si="12"/>
        <v>0</v>
      </c>
      <c r="E66" s="703"/>
      <c r="F66" s="1674"/>
      <c r="G66" s="1000"/>
      <c r="H66" s="1003" t="str">
        <f t="shared" si="13"/>
        <v>——</v>
      </c>
      <c r="I66" s="3064">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6" t="s">
        <v>2059</v>
      </c>
      <c r="B67" s="1239" t="str">
        <f>估价对象房地状况!C21</f>
        <v>估价对象所在区域公共配套设施齐备情况</v>
      </c>
      <c r="C67" s="1883"/>
      <c r="D67" s="1002">
        <f t="shared" si="12"/>
        <v>0</v>
      </c>
      <c r="E67" s="703"/>
      <c r="F67" s="1674"/>
      <c r="G67" s="1000"/>
      <c r="H67" s="1003" t="str">
        <f t="shared" si="13"/>
        <v>——</v>
      </c>
      <c r="I67" s="3064">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6" t="s">
        <v>2060</v>
      </c>
      <c r="B68" s="1239" t="str">
        <f>估价对象房地状况!C22</f>
        <v>估价对象所在区域基础设施水平</v>
      </c>
      <c r="C68" s="1883"/>
      <c r="D68" s="1002">
        <f t="shared" si="12"/>
        <v>0</v>
      </c>
      <c r="E68" s="703"/>
      <c r="F68" s="1674"/>
      <c r="G68" s="1000"/>
      <c r="H68" s="1003" t="str">
        <f t="shared" si="13"/>
        <v>——</v>
      </c>
      <c r="I68" s="3064">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3" t="s">
        <v>2061</v>
      </c>
      <c r="B69" s="1975" t="str">
        <f>估价对象房地状况!C20</f>
        <v>区域自然环境：；人文环境；综合评价环境状况一般</v>
      </c>
      <c r="C69" s="1883"/>
      <c r="D69" s="1002">
        <f t="shared" si="12"/>
        <v>0</v>
      </c>
      <c r="E69" s="704"/>
      <c r="F69" s="1674"/>
      <c r="G69" s="1000"/>
      <c r="H69" s="1003" t="str">
        <f t="shared" si="13"/>
        <v>——</v>
      </c>
      <c r="I69" s="3065">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3" t="s">
        <v>2065</v>
      </c>
      <c r="B70" s="1964">
        <f>1+E72</f>
        <v>1.0642</v>
      </c>
      <c r="C70" s="699"/>
      <c r="D70" s="699"/>
      <c r="E70" s="700"/>
      <c r="F70" s="1965"/>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6" t="s">
        <v>2044</v>
      </c>
      <c r="B71" s="1261"/>
      <c r="C71" s="1261" t="s">
        <v>2046</v>
      </c>
      <c r="D71" s="1261" t="s">
        <v>2047</v>
      </c>
      <c r="E71" s="701" t="s">
        <v>2048</v>
      </c>
      <c r="F71" s="1967" t="s">
        <v>2063</v>
      </c>
      <c r="G71" s="1261" t="s">
        <v>310</v>
      </c>
      <c r="H71" s="1968"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6" t="s">
        <v>2066</v>
      </c>
      <c r="B72" s="1969" t="str">
        <f>估价对象房地状况!C15</f>
        <v>估价对象周边居住用地比例、居住小区规模和社区发展完善程度，综合评价居住社区成熟度一般</v>
      </c>
      <c r="C72" s="1883" t="s">
        <v>3566</v>
      </c>
      <c r="D72" s="1002">
        <f t="shared" ref="D72:D80" si="17">SUMIF($J$71:$N$71,C72,J72:N72)</f>
        <v>1.2999999999999999E-2</v>
      </c>
      <c r="E72" s="702">
        <f>ROUND(SUM(D72:D80),4)</f>
        <v>6.4199999999999993E-2</v>
      </c>
      <c r="F72" s="1674">
        <f>IF(E2="住宅",SUMIF(L1:L12,G2,N1:N12),"——")</f>
        <v>0.13</v>
      </c>
      <c r="G72" s="1000">
        <v>1.2999999999999999E-2</v>
      </c>
      <c r="H72" s="1003">
        <f t="shared" ref="H72:H80" si="18">IFERROR(ROUNDDOWN($F$72*I72/2,4),"——")</f>
        <v>1.2999999999999999E-2</v>
      </c>
      <c r="I72" s="3064">
        <v>0.2</v>
      </c>
      <c r="J72" s="1001">
        <f t="shared" ref="J72:J80" si="19">K72+$G72</f>
        <v>2.5999999999999999E-2</v>
      </c>
      <c r="K72" s="1001">
        <f t="shared" ref="K72:K80" si="20">$L72+$G72</f>
        <v>1.2999999999999999E-2</v>
      </c>
      <c r="L72" s="1001">
        <v>0</v>
      </c>
      <c r="M72" s="1001">
        <f t="shared" ref="M72:N80" si="21">L72-$G72</f>
        <v>-1.2999999999999999E-2</v>
      </c>
      <c r="N72" s="1001">
        <f t="shared" si="21"/>
        <v>-2.5999999999999999E-2</v>
      </c>
      <c r="AA72" s="1057"/>
      <c r="AB72" s="1057"/>
      <c r="AC72" s="1057"/>
      <c r="AD72" s="1057"/>
      <c r="AE72" s="1057"/>
      <c r="AF72" s="1057"/>
      <c r="AG72" s="1057"/>
      <c r="AH72" s="1057"/>
      <c r="AI72" s="1057"/>
      <c r="AJ72" s="1057"/>
      <c r="AK72" s="1057"/>
    </row>
    <row r="73" spans="1:37" s="1056" customFormat="1" ht="52.8">
      <c r="A73" s="1966" t="s">
        <v>2053</v>
      </c>
      <c r="B73" s="1261" t="str">
        <f>估价对象房地状况!C18</f>
        <v>估价对象周边道路状况、公共交通通达情况、停车便捷程度，综合评价交通便捷度较好</v>
      </c>
      <c r="C73" s="1883" t="s">
        <v>3566</v>
      </c>
      <c r="D73" s="1002">
        <f t="shared" si="17"/>
        <v>1.6899999999999998E-2</v>
      </c>
      <c r="E73" s="705"/>
      <c r="F73" s="1674"/>
      <c r="G73" s="1000">
        <v>1.6899999999999998E-2</v>
      </c>
      <c r="H73" s="1003">
        <f t="shared" si="18"/>
        <v>1.6899999999999998E-2</v>
      </c>
      <c r="I73" s="3064">
        <v>0.26</v>
      </c>
      <c r="J73" s="1001">
        <f t="shared" si="19"/>
        <v>3.3799999999999997E-2</v>
      </c>
      <c r="K73" s="1001">
        <f t="shared" si="20"/>
        <v>1.6899999999999998E-2</v>
      </c>
      <c r="L73" s="1001">
        <v>0</v>
      </c>
      <c r="M73" s="1001">
        <f t="shared" si="21"/>
        <v>-1.6899999999999998E-2</v>
      </c>
      <c r="N73" s="1001">
        <f t="shared" si="21"/>
        <v>-3.3799999999999997E-2</v>
      </c>
      <c r="AA73" s="1057"/>
      <c r="AB73" s="1057"/>
      <c r="AC73" s="1057"/>
      <c r="AD73" s="1057"/>
      <c r="AE73" s="1057"/>
      <c r="AF73" s="1057"/>
      <c r="AG73" s="1057"/>
      <c r="AH73" s="1057"/>
      <c r="AI73" s="1057"/>
      <c r="AJ73" s="1057"/>
      <c r="AK73" s="1057"/>
    </row>
    <row r="74" spans="1:37" s="1840" customFormat="1" ht="48">
      <c r="A74" s="3066" t="s">
        <v>3265</v>
      </c>
      <c r="B74" s="1261">
        <f>估价对象房地状况!C19</f>
        <v>0</v>
      </c>
      <c r="C74" s="1883" t="s">
        <v>3566</v>
      </c>
      <c r="D74" s="1002">
        <f t="shared" si="17"/>
        <v>6.4999999999999997E-3</v>
      </c>
      <c r="E74" s="705"/>
      <c r="F74" s="1674"/>
      <c r="G74" s="1000">
        <v>6.4999999999999997E-3</v>
      </c>
      <c r="H74" s="1003">
        <f t="shared" si="18"/>
        <v>6.4999999999999997E-3</v>
      </c>
      <c r="I74" s="3064">
        <v>0.1</v>
      </c>
      <c r="J74" s="1001">
        <f t="shared" si="19"/>
        <v>1.2999999999999999E-2</v>
      </c>
      <c r="K74" s="1001">
        <f t="shared" si="20"/>
        <v>6.4999999999999997E-3</v>
      </c>
      <c r="L74" s="1001">
        <v>0</v>
      </c>
      <c r="M74" s="1001">
        <f t="shared" si="21"/>
        <v>-6.4999999999999997E-3</v>
      </c>
      <c r="N74" s="1001">
        <f t="shared" si="21"/>
        <v>-1.2999999999999999E-2</v>
      </c>
      <c r="O74" s="1056"/>
      <c r="P74" s="1056"/>
      <c r="Q74" s="1056"/>
      <c r="AA74" s="1976"/>
      <c r="AB74" s="1057"/>
      <c r="AC74" s="1057"/>
      <c r="AD74" s="1057"/>
      <c r="AE74" s="1057"/>
      <c r="AF74" s="1057"/>
      <c r="AG74" s="1057"/>
      <c r="AH74" s="1976"/>
      <c r="AI74" s="1976"/>
      <c r="AJ74" s="1976"/>
      <c r="AK74" s="1976"/>
    </row>
    <row r="75" spans="1:37" ht="13.8">
      <c r="A75" s="1966" t="s">
        <v>2067</v>
      </c>
      <c r="B75" s="1261">
        <f>估价对象房地状况!C24</f>
        <v>0</v>
      </c>
      <c r="C75" s="1883" t="s">
        <v>3567</v>
      </c>
      <c r="D75" s="1002">
        <f t="shared" si="17"/>
        <v>-3.2000000000000002E-3</v>
      </c>
      <c r="E75" s="705"/>
      <c r="F75" s="1674"/>
      <c r="G75" s="1000">
        <v>3.2000000000000002E-3</v>
      </c>
      <c r="H75" s="1003">
        <f t="shared" si="18"/>
        <v>3.2000000000000002E-3</v>
      </c>
      <c r="I75" s="3064">
        <v>0.05</v>
      </c>
      <c r="J75" s="1001">
        <f t="shared" si="19"/>
        <v>6.4000000000000003E-3</v>
      </c>
      <c r="K75" s="1001">
        <f t="shared" si="20"/>
        <v>3.2000000000000002E-3</v>
      </c>
      <c r="L75" s="1001">
        <v>0</v>
      </c>
      <c r="M75" s="1001">
        <f t="shared" si="21"/>
        <v>-3.2000000000000002E-3</v>
      </c>
      <c r="N75" s="1001">
        <f t="shared" si="21"/>
        <v>-6.4000000000000003E-3</v>
      </c>
      <c r="O75" s="1056"/>
      <c r="P75" s="1056"/>
      <c r="Q75" s="1840"/>
      <c r="Z75" s="1841"/>
      <c r="AA75" s="1891"/>
      <c r="AG75" s="1058"/>
      <c r="AK75" s="1891"/>
    </row>
    <row r="76" spans="1:37" ht="26.4">
      <c r="A76" s="1966" t="s">
        <v>2059</v>
      </c>
      <c r="B76" s="1239" t="str">
        <f>估价对象房地状况!C21</f>
        <v>估价对象所在区域公共配套设施齐备情况</v>
      </c>
      <c r="C76" s="1883" t="s">
        <v>3566</v>
      </c>
      <c r="D76" s="1002">
        <f t="shared" si="17"/>
        <v>5.1999999999999998E-3</v>
      </c>
      <c r="E76" s="705"/>
      <c r="F76" s="1674"/>
      <c r="G76" s="1000">
        <v>5.1999999999999998E-3</v>
      </c>
      <c r="H76" s="1003">
        <f t="shared" si="18"/>
        <v>5.1999999999999998E-3</v>
      </c>
      <c r="I76" s="3064">
        <v>0.08</v>
      </c>
      <c r="J76" s="1001">
        <f t="shared" si="19"/>
        <v>1.04E-2</v>
      </c>
      <c r="K76" s="1001">
        <f t="shared" si="20"/>
        <v>5.1999999999999998E-3</v>
      </c>
      <c r="L76" s="1001">
        <v>0</v>
      </c>
      <c r="M76" s="1001">
        <f t="shared" si="21"/>
        <v>-5.1999999999999998E-3</v>
      </c>
      <c r="N76" s="1001">
        <f t="shared" si="21"/>
        <v>-1.04E-2</v>
      </c>
      <c r="O76" s="1056"/>
      <c r="P76" s="1056"/>
      <c r="Z76" s="1841"/>
      <c r="AA76" s="1891"/>
      <c r="AG76" s="1058"/>
      <c r="AK76" s="1891"/>
    </row>
    <row r="77" spans="1:37" ht="26.4">
      <c r="A77" s="1966" t="s">
        <v>2060</v>
      </c>
      <c r="B77" s="1239" t="str">
        <f>估价对象房地状况!C22</f>
        <v>估价对象所在区域基础设施水平</v>
      </c>
      <c r="C77" s="1883" t="s">
        <v>3568</v>
      </c>
      <c r="D77" s="1002">
        <f t="shared" si="17"/>
        <v>1.1599999999999999E-2</v>
      </c>
      <c r="E77" s="705"/>
      <c r="F77" s="1674"/>
      <c r="G77" s="1000">
        <v>5.7999999999999996E-3</v>
      </c>
      <c r="H77" s="1003">
        <f t="shared" si="18"/>
        <v>5.7999999999999996E-3</v>
      </c>
      <c r="I77" s="3064">
        <v>0.09</v>
      </c>
      <c r="J77" s="1001">
        <f t="shared" si="19"/>
        <v>1.1599999999999999E-2</v>
      </c>
      <c r="K77" s="1001">
        <f t="shared" si="20"/>
        <v>5.7999999999999996E-3</v>
      </c>
      <c r="L77" s="1001">
        <v>0</v>
      </c>
      <c r="M77" s="1001">
        <f t="shared" si="21"/>
        <v>-5.7999999999999996E-3</v>
      </c>
      <c r="N77" s="1001">
        <f t="shared" si="21"/>
        <v>-1.1599999999999999E-2</v>
      </c>
      <c r="O77" s="1056"/>
      <c r="P77" s="1056"/>
      <c r="Z77" s="1841"/>
      <c r="AA77" s="1891"/>
      <c r="AG77" s="1058"/>
      <c r="AK77" s="1891"/>
    </row>
    <row r="78" spans="1:37" ht="36">
      <c r="A78" s="1966" t="s">
        <v>2057</v>
      </c>
      <c r="B78" s="1971" t="s">
        <v>2058</v>
      </c>
      <c r="C78" s="1883" t="s">
        <v>3566</v>
      </c>
      <c r="D78" s="1002">
        <f t="shared" si="17"/>
        <v>3.2000000000000002E-3</v>
      </c>
      <c r="E78" s="705"/>
      <c r="F78" s="1674"/>
      <c r="G78" s="1000">
        <v>3.2000000000000002E-3</v>
      </c>
      <c r="H78" s="1003">
        <f t="shared" si="18"/>
        <v>3.2000000000000002E-3</v>
      </c>
      <c r="I78" s="3064">
        <v>0.05</v>
      </c>
      <c r="J78" s="1001">
        <f t="shared" si="19"/>
        <v>6.4000000000000003E-3</v>
      </c>
      <c r="K78" s="1001">
        <f t="shared" si="20"/>
        <v>3.2000000000000002E-3</v>
      </c>
      <c r="L78" s="1001">
        <v>0</v>
      </c>
      <c r="M78" s="1001">
        <f t="shared" si="21"/>
        <v>-3.2000000000000002E-3</v>
      </c>
      <c r="N78" s="1001">
        <f t="shared" si="21"/>
        <v>-6.4000000000000003E-3</v>
      </c>
      <c r="O78" s="1840"/>
      <c r="P78" s="1840"/>
      <c r="Z78" s="1841"/>
      <c r="AA78" s="1891"/>
      <c r="AG78" s="1058"/>
      <c r="AK78" s="1891"/>
    </row>
    <row r="79" spans="1:37" ht="39.6">
      <c r="A79" s="1966" t="s">
        <v>2061</v>
      </c>
      <c r="B79" s="1969" t="str">
        <f>估价对象房地状况!C20</f>
        <v>区域自然环境：；人文环境；综合评价环境状况一般</v>
      </c>
      <c r="C79" s="1883" t="s">
        <v>3566</v>
      </c>
      <c r="D79" s="1002">
        <f t="shared" si="17"/>
        <v>7.7999999999999996E-3</v>
      </c>
      <c r="E79" s="705"/>
      <c r="F79" s="1674"/>
      <c r="G79" s="1000">
        <v>7.7999999999999996E-3</v>
      </c>
      <c r="H79" s="1003">
        <f t="shared" si="18"/>
        <v>7.7999999999999996E-3</v>
      </c>
      <c r="I79" s="3064">
        <v>0.12</v>
      </c>
      <c r="J79" s="1001">
        <f t="shared" si="19"/>
        <v>1.5599999999999999E-2</v>
      </c>
      <c r="K79" s="1001">
        <f t="shared" si="20"/>
        <v>7.7999999999999996E-3</v>
      </c>
      <c r="L79" s="1001">
        <v>0</v>
      </c>
      <c r="M79" s="1001">
        <f t="shared" si="21"/>
        <v>-7.7999999999999996E-3</v>
      </c>
      <c r="N79" s="1001">
        <f t="shared" si="21"/>
        <v>-1.5599999999999999E-2</v>
      </c>
      <c r="Z79" s="1841"/>
      <c r="AA79" s="1891"/>
      <c r="AG79" s="1058"/>
      <c r="AK79" s="1891"/>
    </row>
    <row r="80" spans="1:37" ht="36.6" thickBot="1">
      <c r="A80" s="1973" t="s">
        <v>2068</v>
      </c>
      <c r="B80" s="1977"/>
      <c r="C80" s="1883" t="s">
        <v>3566</v>
      </c>
      <c r="D80" s="1002">
        <f t="shared" si="17"/>
        <v>3.2000000000000002E-3</v>
      </c>
      <c r="E80" s="706"/>
      <c r="F80" s="1674"/>
      <c r="G80" s="1000">
        <v>3.2000000000000002E-3</v>
      </c>
      <c r="H80" s="1003">
        <f t="shared" si="18"/>
        <v>3.2000000000000002E-3</v>
      </c>
      <c r="I80" s="3065">
        <v>0.05</v>
      </c>
      <c r="J80" s="1001">
        <f t="shared" si="19"/>
        <v>6.4000000000000003E-3</v>
      </c>
      <c r="K80" s="1001">
        <f t="shared" si="20"/>
        <v>3.2000000000000002E-3</v>
      </c>
      <c r="L80" s="1001">
        <v>0</v>
      </c>
      <c r="M80" s="1001">
        <f t="shared" si="21"/>
        <v>-3.2000000000000002E-3</v>
      </c>
      <c r="N80" s="1001">
        <f t="shared" si="21"/>
        <v>-6.4000000000000003E-3</v>
      </c>
      <c r="Z80" s="1841"/>
      <c r="AA80" s="1891"/>
      <c r="AG80" s="1058"/>
      <c r="AK80" s="1891"/>
    </row>
    <row r="81" spans="1:37" ht="14.4">
      <c r="A81" s="1963" t="s">
        <v>2069</v>
      </c>
      <c r="B81" s="1964">
        <f>1+E83</f>
        <v>1</v>
      </c>
      <c r="C81" s="699"/>
      <c r="D81" s="699"/>
      <c r="E81" s="700"/>
      <c r="F81" s="1965"/>
      <c r="G81" s="3"/>
      <c r="H81" s="3"/>
      <c r="I81" s="3"/>
      <c r="J81" s="4"/>
      <c r="K81" s="4"/>
      <c r="L81" s="4"/>
      <c r="M81" s="4"/>
      <c r="N81" s="4"/>
      <c r="Z81" s="1841"/>
      <c r="AA81" s="1891"/>
      <c r="AG81" s="1058"/>
      <c r="AK81" s="1891"/>
    </row>
    <row r="82" spans="1:37" ht="25.2">
      <c r="A82" s="1966" t="s">
        <v>2044</v>
      </c>
      <c r="B82" s="1261"/>
      <c r="C82" s="1261" t="s">
        <v>2046</v>
      </c>
      <c r="D82" s="1261" t="s">
        <v>2047</v>
      </c>
      <c r="E82" s="701" t="s">
        <v>2048</v>
      </c>
      <c r="F82" s="1967" t="s">
        <v>2063</v>
      </c>
      <c r="G82" s="1261" t="s">
        <v>310</v>
      </c>
      <c r="H82" s="1968" t="s">
        <v>2050</v>
      </c>
      <c r="I82" s="1261" t="s">
        <v>2051</v>
      </c>
      <c r="J82" s="530" t="s">
        <v>1721</v>
      </c>
      <c r="K82" s="530" t="s">
        <v>1722</v>
      </c>
      <c r="L82" s="530" t="s">
        <v>1723</v>
      </c>
      <c r="M82" s="530" t="s">
        <v>1724</v>
      </c>
      <c r="N82" s="530" t="s">
        <v>1725</v>
      </c>
      <c r="Z82" s="1841"/>
      <c r="AA82" s="1891"/>
      <c r="AG82" s="1058"/>
      <c r="AK82" s="1891"/>
    </row>
    <row r="83" spans="1:37" ht="39.6">
      <c r="A83" s="1966" t="s">
        <v>2070</v>
      </c>
      <c r="B83" s="1261" t="str">
        <f>估价对象房地状况!G15</f>
        <v>估价对象位于XX开发区，园区建设成熟度XX，产业集聚程度XX</v>
      </c>
      <c r="C83" s="1883"/>
      <c r="D83" s="1002">
        <f t="shared" ref="D83:D90" si="22">SUMIF($J$82:$N$82,C83,J83:N83)</f>
        <v>0</v>
      </c>
      <c r="E83" s="702">
        <f>ROUND(SUM(D83:D90),4)</f>
        <v>0</v>
      </c>
      <c r="F83" s="1674" t="str">
        <f>IF(E2="工业",SUMIF(L1:L12,G2,N1:N12),"——")</f>
        <v>——</v>
      </c>
      <c r="G83" s="1000"/>
      <c r="H83" s="1003" t="str">
        <f t="shared" ref="H83:H90" si="23">IFERROR(ROUNDDOWN($F$83*I83/2,4),"——")</f>
        <v>——</v>
      </c>
      <c r="I83" s="3064">
        <v>0.26</v>
      </c>
      <c r="J83" s="1001">
        <f t="shared" ref="J83:J90" si="24">K83+$G83</f>
        <v>0</v>
      </c>
      <c r="K83" s="1001">
        <f t="shared" ref="K83:K90" si="25">$L83+$G83</f>
        <v>0</v>
      </c>
      <c r="L83" s="1001">
        <v>0</v>
      </c>
      <c r="M83" s="1001">
        <f t="shared" ref="M83:N90" si="26">L83-$G83</f>
        <v>0</v>
      </c>
      <c r="N83" s="1001">
        <f t="shared" si="26"/>
        <v>0</v>
      </c>
      <c r="Z83" s="1841"/>
      <c r="AA83" s="1891"/>
      <c r="AG83" s="1058"/>
      <c r="AK83" s="1891"/>
    </row>
    <row r="84" spans="1:37" ht="52.8">
      <c r="A84" s="1966" t="s">
        <v>2053</v>
      </c>
      <c r="B84" s="1261" t="str">
        <f>估价对象房地状况!G16</f>
        <v>估价对象周边道路状况、公共交通通达情况、停车便捷程度，综合评价交通便捷度较好</v>
      </c>
      <c r="C84" s="1883"/>
      <c r="D84" s="1002">
        <f t="shared" si="22"/>
        <v>0</v>
      </c>
      <c r="E84" s="705"/>
      <c r="F84" s="1674"/>
      <c r="G84" s="1000"/>
      <c r="H84" s="1003" t="str">
        <f t="shared" si="23"/>
        <v>——</v>
      </c>
      <c r="I84" s="3064">
        <v>0.3</v>
      </c>
      <c r="J84" s="1001">
        <f t="shared" si="24"/>
        <v>0</v>
      </c>
      <c r="K84" s="1001">
        <f t="shared" si="25"/>
        <v>0</v>
      </c>
      <c r="L84" s="1001">
        <v>0</v>
      </c>
      <c r="M84" s="1001">
        <f t="shared" si="26"/>
        <v>0</v>
      </c>
      <c r="N84" s="1001">
        <f t="shared" si="26"/>
        <v>0</v>
      </c>
      <c r="Z84" s="1841"/>
      <c r="AA84" s="1891"/>
      <c r="AG84" s="1058"/>
      <c r="AK84" s="1891"/>
    </row>
    <row r="85" spans="1:37" ht="48">
      <c r="A85" s="3066" t="s">
        <v>3266</v>
      </c>
      <c r="B85" s="1261">
        <f>估价对象房地状况!G17</f>
        <v>0</v>
      </c>
      <c r="C85" s="1883"/>
      <c r="D85" s="1002">
        <f t="shared" si="22"/>
        <v>0</v>
      </c>
      <c r="E85" s="705"/>
      <c r="F85" s="1674"/>
      <c r="G85" s="1000"/>
      <c r="H85" s="1003" t="str">
        <f t="shared" si="23"/>
        <v>——</v>
      </c>
      <c r="I85" s="3064">
        <v>0.1</v>
      </c>
      <c r="J85" s="1001">
        <f t="shared" si="24"/>
        <v>0</v>
      </c>
      <c r="K85" s="1001">
        <f t="shared" si="25"/>
        <v>0</v>
      </c>
      <c r="L85" s="1001">
        <v>0</v>
      </c>
      <c r="M85" s="1001">
        <f t="shared" si="26"/>
        <v>0</v>
      </c>
      <c r="N85" s="1001">
        <f t="shared" si="26"/>
        <v>0</v>
      </c>
      <c r="Z85" s="1841"/>
      <c r="AA85" s="1891"/>
      <c r="AG85" s="1058"/>
      <c r="AK85" s="1891"/>
    </row>
    <row r="86" spans="1:37" ht="13.8">
      <c r="A86" s="1966" t="s">
        <v>2067</v>
      </c>
      <c r="B86" s="1261">
        <f>估价对象房地状况!G22</f>
        <v>0</v>
      </c>
      <c r="C86" s="1883"/>
      <c r="D86" s="1002">
        <f t="shared" si="22"/>
        <v>0</v>
      </c>
      <c r="E86" s="705"/>
      <c r="F86" s="1674"/>
      <c r="G86" s="1000"/>
      <c r="H86" s="1003" t="str">
        <f t="shared" si="23"/>
        <v>——</v>
      </c>
      <c r="I86" s="3064">
        <v>0.05</v>
      </c>
      <c r="J86" s="1001">
        <f t="shared" si="24"/>
        <v>0</v>
      </c>
      <c r="K86" s="1001">
        <f t="shared" si="25"/>
        <v>0</v>
      </c>
      <c r="L86" s="1001">
        <v>0</v>
      </c>
      <c r="M86" s="1001">
        <f t="shared" si="26"/>
        <v>0</v>
      </c>
      <c r="N86" s="1001">
        <f t="shared" si="26"/>
        <v>0</v>
      </c>
      <c r="Z86" s="1841"/>
      <c r="AA86" s="1891"/>
      <c r="AG86" s="1058"/>
      <c r="AK86" s="1891"/>
    </row>
    <row r="87" spans="1:37" ht="26.4">
      <c r="A87" s="1966" t="s">
        <v>2059</v>
      </c>
      <c r="B87" s="1239" t="str">
        <f>估价对象房地状况!G19</f>
        <v>估价对象所在区域公共配套设施齐备情况</v>
      </c>
      <c r="C87" s="1883"/>
      <c r="D87" s="1002">
        <f t="shared" si="22"/>
        <v>0</v>
      </c>
      <c r="E87" s="705"/>
      <c r="F87" s="1674"/>
      <c r="G87" s="1000"/>
      <c r="H87" s="1003" t="str">
        <f t="shared" si="23"/>
        <v>——</v>
      </c>
      <c r="I87" s="3064">
        <v>0.06</v>
      </c>
      <c r="J87" s="1001">
        <f t="shared" si="24"/>
        <v>0</v>
      </c>
      <c r="K87" s="1001">
        <f t="shared" si="25"/>
        <v>0</v>
      </c>
      <c r="L87" s="1001">
        <v>0</v>
      </c>
      <c r="M87" s="1001">
        <f t="shared" si="26"/>
        <v>0</v>
      </c>
      <c r="N87" s="1001">
        <f t="shared" si="26"/>
        <v>0</v>
      </c>
    </row>
    <row r="88" spans="1:37" ht="26.4">
      <c r="A88" s="1966" t="s">
        <v>2060</v>
      </c>
      <c r="B88" s="1239" t="str">
        <f>估价对象房地状况!G20</f>
        <v>估价对象所在区域基础设施水平</v>
      </c>
      <c r="C88" s="1883"/>
      <c r="D88" s="1002">
        <f t="shared" si="22"/>
        <v>0</v>
      </c>
      <c r="E88" s="705"/>
      <c r="F88" s="1674"/>
      <c r="G88" s="1000"/>
      <c r="H88" s="1003" t="str">
        <f t="shared" si="23"/>
        <v>——</v>
      </c>
      <c r="I88" s="3064">
        <v>0.12</v>
      </c>
      <c r="J88" s="1001">
        <f t="shared" si="24"/>
        <v>0</v>
      </c>
      <c r="K88" s="1001">
        <f t="shared" si="25"/>
        <v>0</v>
      </c>
      <c r="L88" s="1001">
        <v>0</v>
      </c>
      <c r="M88" s="1001">
        <f t="shared" si="26"/>
        <v>0</v>
      </c>
      <c r="N88" s="1001">
        <f t="shared" si="26"/>
        <v>0</v>
      </c>
    </row>
    <row r="89" spans="1:37" ht="36">
      <c r="A89" s="1966" t="s">
        <v>2057</v>
      </c>
      <c r="B89" s="1971" t="s">
        <v>2071</v>
      </c>
      <c r="C89" s="1883"/>
      <c r="D89" s="1002">
        <f t="shared" si="22"/>
        <v>0</v>
      </c>
      <c r="E89" s="705"/>
      <c r="F89" s="1674"/>
      <c r="G89" s="1000"/>
      <c r="H89" s="1003" t="str">
        <f t="shared" si="23"/>
        <v>——</v>
      </c>
      <c r="I89" s="3064">
        <v>0.06</v>
      </c>
      <c r="J89" s="1001">
        <f t="shared" si="24"/>
        <v>0</v>
      </c>
      <c r="K89" s="1001">
        <f t="shared" si="25"/>
        <v>0</v>
      </c>
      <c r="L89" s="1001">
        <v>0</v>
      </c>
      <c r="M89" s="1001">
        <f t="shared" si="26"/>
        <v>0</v>
      </c>
      <c r="N89" s="1001">
        <f t="shared" si="26"/>
        <v>0</v>
      </c>
    </row>
    <row r="90" spans="1:37" ht="40.200000000000003" thickBot="1">
      <c r="A90" s="1973" t="s">
        <v>2072</v>
      </c>
      <c r="B90" s="1978" t="str">
        <f>估价对象房地状况!G18</f>
        <v>该园区内是否有污染型企业，绿化情况，卫生条件，整体环境状况判断</v>
      </c>
      <c r="C90" s="1883"/>
      <c r="D90" s="1002">
        <f t="shared" si="22"/>
        <v>0</v>
      </c>
      <c r="E90" s="706"/>
      <c r="F90" s="1674"/>
      <c r="G90" s="1000"/>
      <c r="H90" s="1003" t="str">
        <f t="shared" si="23"/>
        <v>——</v>
      </c>
      <c r="I90" s="3065">
        <v>0.05</v>
      </c>
      <c r="J90" s="1001">
        <f t="shared" si="24"/>
        <v>0</v>
      </c>
      <c r="K90" s="1001">
        <f t="shared" si="25"/>
        <v>0</v>
      </c>
      <c r="L90" s="1001">
        <v>0</v>
      </c>
      <c r="M90" s="1001">
        <f t="shared" si="26"/>
        <v>0</v>
      </c>
      <c r="N90" s="1001">
        <f t="shared" si="26"/>
        <v>0</v>
      </c>
    </row>
    <row r="91" spans="1:37" ht="13.8">
      <c r="A91" s="3074" t="s">
        <v>2609</v>
      </c>
      <c r="B91" s="3075">
        <f>1+E93</f>
        <v>1</v>
      </c>
      <c r="C91" s="3068"/>
      <c r="D91" s="3069"/>
      <c r="E91" s="1674"/>
      <c r="F91" s="1674"/>
      <c r="G91" s="3070"/>
      <c r="H91" s="3071"/>
      <c r="I91" s="3072"/>
      <c r="J91" s="3073"/>
      <c r="K91" s="3073"/>
      <c r="L91" s="3073"/>
      <c r="M91" s="3073"/>
      <c r="N91" s="3073"/>
    </row>
    <row r="92" spans="1:37" ht="25.2">
      <c r="A92" s="3076" t="s">
        <v>3267</v>
      </c>
      <c r="B92" s="2306"/>
      <c r="C92" s="2306" t="s">
        <v>3276</v>
      </c>
      <c r="D92" s="2306" t="s">
        <v>3277</v>
      </c>
      <c r="E92" s="3048" t="s">
        <v>3278</v>
      </c>
      <c r="F92" s="3078" t="s">
        <v>3279</v>
      </c>
      <c r="G92" s="2306" t="s">
        <v>3280</v>
      </c>
      <c r="H92" s="3085" t="s">
        <v>3283</v>
      </c>
      <c r="I92" s="2306" t="s">
        <v>3284</v>
      </c>
      <c r="J92" s="2146" t="s">
        <v>3285</v>
      </c>
      <c r="K92" s="2146" t="s">
        <v>3286</v>
      </c>
      <c r="L92" s="2146" t="s">
        <v>3287</v>
      </c>
      <c r="M92" s="2146" t="s">
        <v>3288</v>
      </c>
      <c r="N92" s="2146" t="s">
        <v>3289</v>
      </c>
    </row>
    <row r="93" spans="1:37" ht="24">
      <c r="A93" s="3066" t="s">
        <v>3268</v>
      </c>
      <c r="B93" s="1220"/>
      <c r="C93" s="1883"/>
      <c r="D93" s="2306">
        <f>SUMIF($J$92:$N$92,C93,J93:N93)</f>
        <v>0</v>
      </c>
      <c r="E93" s="3079">
        <f>ROUND(SUM(D93:D101),4)</f>
        <v>0</v>
      </c>
      <c r="F93" s="1674" t="str">
        <f>IF(E2="公共服务",SUMIF(L1:L12,G2,N1:N12),"——")</f>
        <v>——</v>
      </c>
      <c r="G93" s="3070"/>
      <c r="H93" s="3115" t="str">
        <f>IFERROR(ROUNDDOWN($F$93*I93/2,4),"——")</f>
        <v>——</v>
      </c>
      <c r="I93" s="3064">
        <v>0.25</v>
      </c>
      <c r="J93" s="1908">
        <f t="shared" ref="J93:J101" si="27">K93+$G93</f>
        <v>0</v>
      </c>
      <c r="K93" s="1908">
        <f t="shared" ref="K93:K101" si="28">$L93+$G93</f>
        <v>0</v>
      </c>
      <c r="L93" s="1908">
        <v>0</v>
      </c>
      <c r="M93" s="1908">
        <f t="shared" ref="M93:N101" si="29">L93-$G93</f>
        <v>0</v>
      </c>
      <c r="N93" s="1908">
        <f t="shared" si="29"/>
        <v>0</v>
      </c>
    </row>
    <row r="94" spans="1:37" ht="52.8">
      <c r="A94" s="3076" t="s">
        <v>3269</v>
      </c>
      <c r="B94" s="3067" t="str">
        <f>估价对象房地状况!C18</f>
        <v>估价对象周边道路状况、公共交通通达情况、停车便捷程度，综合评价交通便捷度较好</v>
      </c>
      <c r="C94" s="1883"/>
      <c r="D94" s="2306">
        <f t="shared" ref="D94:D101" si="30">SUMIF($J$60:$N$60,C94,J94:N94)</f>
        <v>0</v>
      </c>
      <c r="E94" s="3080"/>
      <c r="F94" s="1674"/>
      <c r="G94" s="3070"/>
      <c r="H94" s="3115" t="str">
        <f>IFERROR(ROUNDDOWN($F$93*I94/2,4),"——")</f>
        <v>——</v>
      </c>
      <c r="I94" s="3064">
        <v>0.26</v>
      </c>
      <c r="J94" s="1908">
        <f t="shared" si="27"/>
        <v>0</v>
      </c>
      <c r="K94" s="1908">
        <f t="shared" si="28"/>
        <v>0</v>
      </c>
      <c r="L94" s="1908">
        <v>0</v>
      </c>
      <c r="M94" s="1908">
        <f t="shared" si="29"/>
        <v>0</v>
      </c>
      <c r="N94" s="1908">
        <f t="shared" si="29"/>
        <v>0</v>
      </c>
    </row>
    <row r="95" spans="1:37" ht="48">
      <c r="A95" s="3066" t="s">
        <v>3265</v>
      </c>
      <c r="B95" s="3067">
        <f>估价对象房地状况!C19</f>
        <v>0</v>
      </c>
      <c r="C95" s="1883"/>
      <c r="D95" s="2306">
        <f t="shared" si="30"/>
        <v>0</v>
      </c>
      <c r="E95" s="3080"/>
      <c r="F95" s="1674"/>
      <c r="G95" s="3070"/>
      <c r="H95" s="3115" t="str">
        <f t="shared" ref="H95:H101" si="31">IFERROR(ROUNDDOWN($F$93*I95/2,4),"——")</f>
        <v>——</v>
      </c>
      <c r="I95" s="3064">
        <v>0.11</v>
      </c>
      <c r="J95" s="1908">
        <f t="shared" si="27"/>
        <v>0</v>
      </c>
      <c r="K95" s="1908">
        <f t="shared" si="28"/>
        <v>0</v>
      </c>
      <c r="L95" s="1908">
        <v>0</v>
      </c>
      <c r="M95" s="1908">
        <f t="shared" si="29"/>
        <v>0</v>
      </c>
      <c r="N95" s="1908">
        <f t="shared" si="29"/>
        <v>0</v>
      </c>
    </row>
    <row r="96" spans="1:37" ht="37.200000000000003">
      <c r="A96" s="3076" t="s">
        <v>3270</v>
      </c>
      <c r="B96" s="3082" t="s">
        <v>3281</v>
      </c>
      <c r="C96" s="1883"/>
      <c r="D96" s="2306">
        <f t="shared" si="30"/>
        <v>0</v>
      </c>
      <c r="E96" s="3080"/>
      <c r="F96" s="1674"/>
      <c r="G96" s="3070"/>
      <c r="H96" s="3115" t="str">
        <f t="shared" si="31"/>
        <v>——</v>
      </c>
      <c r="I96" s="3064">
        <v>0.05</v>
      </c>
      <c r="J96" s="1908">
        <f t="shared" si="27"/>
        <v>0</v>
      </c>
      <c r="K96" s="1908">
        <f t="shared" si="28"/>
        <v>0</v>
      </c>
      <c r="L96" s="1908">
        <v>0</v>
      </c>
      <c r="M96" s="1908">
        <f t="shared" si="29"/>
        <v>0</v>
      </c>
      <c r="N96" s="1908">
        <f t="shared" si="29"/>
        <v>0</v>
      </c>
    </row>
    <row r="97" spans="1:14" ht="24">
      <c r="A97" s="3076" t="s">
        <v>3271</v>
      </c>
      <c r="B97" s="3067">
        <f>估价对象房地状况!C24</f>
        <v>0</v>
      </c>
      <c r="C97" s="1883"/>
      <c r="D97" s="2306">
        <f t="shared" si="30"/>
        <v>0</v>
      </c>
      <c r="E97" s="3080"/>
      <c r="F97" s="1674"/>
      <c r="G97" s="3070"/>
      <c r="H97" s="3115" t="str">
        <f t="shared" si="31"/>
        <v>——</v>
      </c>
      <c r="I97" s="3064">
        <v>0.05</v>
      </c>
      <c r="J97" s="1908">
        <f t="shared" si="27"/>
        <v>0</v>
      </c>
      <c r="K97" s="1908">
        <f t="shared" si="28"/>
        <v>0</v>
      </c>
      <c r="L97" s="1908">
        <v>0</v>
      </c>
      <c r="M97" s="1908">
        <f t="shared" si="29"/>
        <v>0</v>
      </c>
      <c r="N97" s="1908">
        <f t="shared" si="29"/>
        <v>0</v>
      </c>
    </row>
    <row r="98" spans="1:14" ht="36">
      <c r="A98" s="3076" t="s">
        <v>3272</v>
      </c>
      <c r="B98" s="3083" t="s">
        <v>3282</v>
      </c>
      <c r="C98" s="1883"/>
      <c r="D98" s="2306">
        <f t="shared" si="30"/>
        <v>0</v>
      </c>
      <c r="E98" s="3080"/>
      <c r="F98" s="1674"/>
      <c r="G98" s="3070"/>
      <c r="H98" s="3115" t="str">
        <f t="shared" si="31"/>
        <v>——</v>
      </c>
      <c r="I98" s="3064">
        <v>0.06</v>
      </c>
      <c r="J98" s="1908">
        <f t="shared" si="27"/>
        <v>0</v>
      </c>
      <c r="K98" s="1908">
        <f t="shared" si="28"/>
        <v>0</v>
      </c>
      <c r="L98" s="1908">
        <v>0</v>
      </c>
      <c r="M98" s="1908">
        <f t="shared" si="29"/>
        <v>0</v>
      </c>
      <c r="N98" s="1908">
        <f t="shared" si="29"/>
        <v>0</v>
      </c>
    </row>
    <row r="99" spans="1:14" ht="26.4">
      <c r="A99" s="3076" t="s">
        <v>3273</v>
      </c>
      <c r="B99" s="3067" t="str">
        <f>估价对象房地状况!C21</f>
        <v>估价对象所在区域公共配套设施齐备情况</v>
      </c>
      <c r="C99" s="1883"/>
      <c r="D99" s="2306">
        <f t="shared" si="30"/>
        <v>0</v>
      </c>
      <c r="E99" s="3080"/>
      <c r="F99" s="1674"/>
      <c r="G99" s="3070"/>
      <c r="H99" s="3115" t="str">
        <f t="shared" si="31"/>
        <v>——</v>
      </c>
      <c r="I99" s="3064">
        <v>0.06</v>
      </c>
      <c r="J99" s="1908">
        <f t="shared" si="27"/>
        <v>0</v>
      </c>
      <c r="K99" s="1908">
        <f t="shared" si="28"/>
        <v>0</v>
      </c>
      <c r="L99" s="1908">
        <v>0</v>
      </c>
      <c r="M99" s="1908">
        <f t="shared" si="29"/>
        <v>0</v>
      </c>
      <c r="N99" s="1908">
        <f t="shared" si="29"/>
        <v>0</v>
      </c>
    </row>
    <row r="100" spans="1:14" ht="26.4">
      <c r="A100" s="3076" t="s">
        <v>3274</v>
      </c>
      <c r="B100" s="3067" t="str">
        <f>估价对象房地状况!C22</f>
        <v>估价对象所在区域基础设施水平</v>
      </c>
      <c r="C100" s="1883"/>
      <c r="D100" s="2306">
        <f t="shared" si="30"/>
        <v>0</v>
      </c>
      <c r="E100" s="3080"/>
      <c r="F100" s="1674"/>
      <c r="G100" s="3070"/>
      <c r="H100" s="3115" t="str">
        <f t="shared" si="31"/>
        <v>——</v>
      </c>
      <c r="I100" s="3064">
        <v>0.09</v>
      </c>
      <c r="J100" s="1908">
        <f t="shared" si="27"/>
        <v>0</v>
      </c>
      <c r="K100" s="1908">
        <f t="shared" si="28"/>
        <v>0</v>
      </c>
      <c r="L100" s="1908">
        <v>0</v>
      </c>
      <c r="M100" s="1908">
        <f t="shared" si="29"/>
        <v>0</v>
      </c>
      <c r="N100" s="1908">
        <f t="shared" si="29"/>
        <v>0</v>
      </c>
    </row>
    <row r="101" spans="1:14" ht="40.200000000000003" thickBot="1">
      <c r="A101" s="3077" t="s">
        <v>3275</v>
      </c>
      <c r="B101" s="3084" t="str">
        <f>估价对象房地状况!C20</f>
        <v>区域自然环境：；人文环境；综合评价环境状况一般</v>
      </c>
      <c r="C101" s="1883"/>
      <c r="D101" s="2306">
        <f t="shared" si="30"/>
        <v>0</v>
      </c>
      <c r="E101" s="3081"/>
      <c r="F101" s="1674"/>
      <c r="G101" s="3070"/>
      <c r="H101" s="3115" t="str">
        <f t="shared" si="31"/>
        <v>——</v>
      </c>
      <c r="I101" s="3065">
        <v>7.0000000000000007E-2</v>
      </c>
      <c r="J101" s="1908">
        <f t="shared" si="27"/>
        <v>0</v>
      </c>
      <c r="K101" s="1908">
        <f t="shared" si="28"/>
        <v>0</v>
      </c>
      <c r="L101" s="1908">
        <v>0</v>
      </c>
      <c r="M101" s="1908">
        <f t="shared" si="29"/>
        <v>0</v>
      </c>
      <c r="N101" s="1908">
        <f t="shared" si="29"/>
        <v>0</v>
      </c>
    </row>
    <row r="103" spans="1:14">
      <c r="A103" s="3543" t="s">
        <v>3290</v>
      </c>
      <c r="B103" s="3543"/>
      <c r="C103" s="3543"/>
      <c r="D103" s="3543"/>
      <c r="E103" s="3543"/>
      <c r="F103" s="3543"/>
      <c r="G103" s="3543"/>
      <c r="H103" s="3543"/>
      <c r="I103" s="3543"/>
      <c r="J103" s="3543"/>
      <c r="K103" s="1666"/>
      <c r="L103" s="1666"/>
      <c r="M103" s="1666"/>
      <c r="N103" s="1666"/>
    </row>
    <row r="104" spans="1:14">
      <c r="A104" s="3544" t="s">
        <v>3291</v>
      </c>
      <c r="B104" s="3544" t="s">
        <v>3292</v>
      </c>
      <c r="C104" s="3086" t="s">
        <v>3293</v>
      </c>
      <c r="D104" s="3087"/>
      <c r="E104" s="3087"/>
      <c r="F104" s="3087"/>
      <c r="G104" s="3087"/>
      <c r="H104" s="3087"/>
      <c r="I104" s="3087"/>
      <c r="J104" s="3088"/>
      <c r="K104" s="3089"/>
      <c r="L104" s="3089"/>
      <c r="M104" s="3089"/>
      <c r="N104" s="3089"/>
    </row>
    <row r="105" spans="1:14">
      <c r="A105" s="3544"/>
      <c r="B105" s="3544"/>
      <c r="C105" s="3090" t="s">
        <v>3294</v>
      </c>
      <c r="D105" s="3090" t="s">
        <v>3295</v>
      </c>
      <c r="E105" s="3090" t="s">
        <v>3296</v>
      </c>
      <c r="F105" s="3090" t="s">
        <v>3297</v>
      </c>
      <c r="G105" s="3090" t="s">
        <v>3298</v>
      </c>
      <c r="H105" s="3090" t="s">
        <v>3299</v>
      </c>
      <c r="I105" s="3090" t="s">
        <v>3300</v>
      </c>
      <c r="J105" s="3090" t="s">
        <v>3301</v>
      </c>
      <c r="K105" s="3090" t="s">
        <v>3302</v>
      </c>
      <c r="L105" s="3090" t="s">
        <v>3303</v>
      </c>
      <c r="M105" s="3090" t="s">
        <v>3304</v>
      </c>
      <c r="N105" s="3090" t="s">
        <v>3305</v>
      </c>
    </row>
    <row r="106" spans="1:14">
      <c r="A106" s="3530" t="s">
        <v>3306</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531"/>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531"/>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531"/>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531"/>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531"/>
      <c r="B111" s="3090" t="s">
        <v>3264</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532"/>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533" t="s">
        <v>3307</v>
      </c>
      <c r="B113" s="3533"/>
      <c r="C113" s="3533"/>
      <c r="D113" s="3533"/>
      <c r="E113" s="3533"/>
      <c r="F113" s="3533"/>
      <c r="G113" s="3533"/>
      <c r="H113" s="3533"/>
      <c r="I113" s="3533"/>
      <c r="J113" s="3533"/>
      <c r="K113" s="3092"/>
      <c r="L113" s="3092"/>
      <c r="M113" s="3092"/>
      <c r="N113" s="3092"/>
    </row>
    <row r="114" spans="1:14">
      <c r="A114" s="3093"/>
      <c r="B114" s="3093"/>
      <c r="C114" s="3093"/>
      <c r="D114" s="3093"/>
      <c r="E114" s="3093"/>
      <c r="F114" s="3093"/>
      <c r="G114" s="3093"/>
      <c r="H114" s="3093"/>
      <c r="I114" s="3093"/>
      <c r="J114" s="3093"/>
      <c r="K114" s="1960"/>
      <c r="L114" s="3093"/>
      <c r="M114" s="3093"/>
      <c r="N114" s="3093"/>
    </row>
    <row r="115" spans="1:14" ht="13.8" thickBot="1">
      <c r="A115" s="3093"/>
      <c r="B115" s="3093"/>
      <c r="C115" s="3093"/>
      <c r="D115" s="3093"/>
      <c r="E115" s="3093"/>
      <c r="F115" s="3093"/>
      <c r="G115" s="3093"/>
      <c r="H115" s="3093"/>
      <c r="I115" s="3093"/>
      <c r="J115" s="3093"/>
      <c r="K115" s="1960"/>
      <c r="L115" s="3093"/>
      <c r="M115" s="3093"/>
      <c r="N115" s="3093"/>
    </row>
    <row r="116" spans="1:14" ht="25.8" thickBot="1">
      <c r="A116" s="3094" t="s">
        <v>3308</v>
      </c>
      <c r="B116" s="3110">
        <f>G3</f>
        <v>2.2000000000000002</v>
      </c>
      <c r="C116" s="3095" t="s">
        <v>3309</v>
      </c>
      <c r="D116" s="3096">
        <f>SUMPRODUCT((A118:A122=F116)*(B117:M117=H116)*B118:M122)</f>
        <v>0.90510000000000002</v>
      </c>
      <c r="E116" s="162" t="s">
        <v>3310</v>
      </c>
      <c r="F116" s="3097" t="str">
        <f>E2</f>
        <v>住宅</v>
      </c>
      <c r="G116" s="162" t="s">
        <v>3311</v>
      </c>
      <c r="H116" s="3097" t="str">
        <f>G2</f>
        <v>七级</v>
      </c>
      <c r="I116" s="162"/>
      <c r="J116" s="3098"/>
      <c r="K116" s="3098"/>
      <c r="L116" s="3098"/>
      <c r="M116" s="3098"/>
      <c r="N116" s="3093"/>
    </row>
    <row r="117" spans="1:14">
      <c r="A117" s="3099"/>
      <c r="B117" s="3100" t="s">
        <v>3312</v>
      </c>
      <c r="C117" s="3100" t="s">
        <v>3313</v>
      </c>
      <c r="D117" s="3100" t="s">
        <v>3314</v>
      </c>
      <c r="E117" s="3101" t="s">
        <v>3315</v>
      </c>
      <c r="F117" s="3101" t="s">
        <v>3316</v>
      </c>
      <c r="G117" s="3101" t="s">
        <v>3317</v>
      </c>
      <c r="H117" s="3102" t="s">
        <v>3318</v>
      </c>
      <c r="I117" s="3102" t="s">
        <v>3319</v>
      </c>
      <c r="J117" s="3103" t="s">
        <v>3320</v>
      </c>
      <c r="K117" s="3103" t="s">
        <v>3321</v>
      </c>
      <c r="L117" s="3103" t="s">
        <v>3322</v>
      </c>
      <c r="M117" s="3104" t="s">
        <v>3323</v>
      </c>
      <c r="N117" s="3093"/>
    </row>
    <row r="118" spans="1:14">
      <c r="A118" s="3053" t="s">
        <v>3324</v>
      </c>
      <c r="B118" s="3085">
        <f>ROUND(0.9968-0.011*B116,4)</f>
        <v>0.97260000000000002</v>
      </c>
      <c r="C118" s="3085">
        <f>B118</f>
        <v>0.97260000000000002</v>
      </c>
      <c r="D118" s="3085">
        <f>ROUND(0.949-0.014*B116,4)</f>
        <v>0.91820000000000002</v>
      </c>
      <c r="E118" s="3085">
        <f>D118</f>
        <v>0.91820000000000002</v>
      </c>
      <c r="F118" s="3085">
        <f>E118</f>
        <v>0.91820000000000002</v>
      </c>
      <c r="G118" s="3085">
        <f>F118</f>
        <v>0.91820000000000002</v>
      </c>
      <c r="H118" s="3085">
        <f>G118</f>
        <v>0.91820000000000002</v>
      </c>
      <c r="I118" s="3085">
        <f>ROUND(0.8486-0.018*B116,4)</f>
        <v>0.80900000000000005</v>
      </c>
      <c r="J118" s="3085">
        <f t="shared" ref="J118:M122" si="35">I118</f>
        <v>0.80900000000000005</v>
      </c>
      <c r="K118" s="3085">
        <f t="shared" si="35"/>
        <v>0.80900000000000005</v>
      </c>
      <c r="L118" s="3085">
        <f t="shared" si="35"/>
        <v>0.80900000000000005</v>
      </c>
      <c r="M118" s="3105">
        <f t="shared" si="35"/>
        <v>0.80900000000000005</v>
      </c>
      <c r="N118" s="3093"/>
    </row>
    <row r="119" spans="1:14">
      <c r="A119" s="3053" t="s">
        <v>3325</v>
      </c>
      <c r="B119" s="3085">
        <f>ROUND(0.993-0.0112*B116,4)</f>
        <v>0.96840000000000004</v>
      </c>
      <c r="C119" s="3085">
        <f>B119</f>
        <v>0.96840000000000004</v>
      </c>
      <c r="D119" s="3085">
        <f>ROUND(0.9415-0.0142*B116,4)</f>
        <v>0.9103</v>
      </c>
      <c r="E119" s="3085">
        <f t="shared" ref="E119:H120" si="36">D119</f>
        <v>0.9103</v>
      </c>
      <c r="F119" s="3085">
        <f t="shared" si="36"/>
        <v>0.9103</v>
      </c>
      <c r="G119" s="3085">
        <f t="shared" si="36"/>
        <v>0.9103</v>
      </c>
      <c r="H119" s="3085">
        <f t="shared" si="36"/>
        <v>0.9103</v>
      </c>
      <c r="I119" s="3085">
        <f>ROUND(0.838-0.0182*B116,4)</f>
        <v>0.79800000000000004</v>
      </c>
      <c r="J119" s="3085">
        <f t="shared" si="35"/>
        <v>0.79800000000000004</v>
      </c>
      <c r="K119" s="3085">
        <f t="shared" si="35"/>
        <v>0.79800000000000004</v>
      </c>
      <c r="L119" s="3085">
        <f t="shared" si="35"/>
        <v>0.79800000000000004</v>
      </c>
      <c r="M119" s="3105">
        <f t="shared" si="35"/>
        <v>0.79800000000000004</v>
      </c>
      <c r="N119" s="3093"/>
    </row>
    <row r="120" spans="1:14">
      <c r="A120" s="3053" t="s">
        <v>3326</v>
      </c>
      <c r="B120" s="3085">
        <f>ROUND(0.9448-0.0115*B116,4)</f>
        <v>0.91949999999999998</v>
      </c>
      <c r="C120" s="3085">
        <f>B120</f>
        <v>0.91949999999999998</v>
      </c>
      <c r="D120" s="3085">
        <f>ROUND(0.937-0.0145*B116,4)</f>
        <v>0.90510000000000002</v>
      </c>
      <c r="E120" s="3085">
        <f t="shared" si="36"/>
        <v>0.90510000000000002</v>
      </c>
      <c r="F120" s="3085">
        <f t="shared" si="36"/>
        <v>0.90510000000000002</v>
      </c>
      <c r="G120" s="3085">
        <f t="shared" si="36"/>
        <v>0.90510000000000002</v>
      </c>
      <c r="H120" s="3085">
        <f t="shared" si="36"/>
        <v>0.90510000000000002</v>
      </c>
      <c r="I120" s="3085">
        <f>ROUND(0.7965-0.0185*B116,4)</f>
        <v>0.75580000000000003</v>
      </c>
      <c r="J120" s="3085">
        <f t="shared" si="35"/>
        <v>0.75580000000000003</v>
      </c>
      <c r="K120" s="3085">
        <f t="shared" si="35"/>
        <v>0.75580000000000003</v>
      </c>
      <c r="L120" s="3085">
        <f t="shared" si="35"/>
        <v>0.75580000000000003</v>
      </c>
      <c r="M120" s="3105">
        <f t="shared" si="35"/>
        <v>0.75580000000000003</v>
      </c>
      <c r="N120" s="3093"/>
    </row>
    <row r="121" spans="1:14" ht="13.8" thickBot="1">
      <c r="A121" s="3106" t="s">
        <v>3327</v>
      </c>
      <c r="B121" s="3107">
        <f>ROUND(0.7836-0.012*B116,4)</f>
        <v>0.75719999999999998</v>
      </c>
      <c r="C121" s="3107">
        <f>B121</f>
        <v>0.75719999999999998</v>
      </c>
      <c r="D121" s="3107">
        <f>ROUND(0.753-0.015*B116,4)</f>
        <v>0.72</v>
      </c>
      <c r="E121" s="3107">
        <f>D121</f>
        <v>0.72</v>
      </c>
      <c r="F121" s="3107">
        <f>E121</f>
        <v>0.72</v>
      </c>
      <c r="G121" s="3107">
        <f>ROUND(0.6612-0.018*B116,4)</f>
        <v>0.62160000000000004</v>
      </c>
      <c r="H121" s="3107">
        <f>G121</f>
        <v>0.62160000000000004</v>
      </c>
      <c r="I121" s="3107">
        <f>ROUND(0.5905-0.019*B116,4)</f>
        <v>0.54869999999999997</v>
      </c>
      <c r="J121" s="3107">
        <f t="shared" si="35"/>
        <v>0.54869999999999997</v>
      </c>
      <c r="K121" s="3107">
        <f t="shared" si="35"/>
        <v>0.54869999999999997</v>
      </c>
      <c r="L121" s="3107">
        <f t="shared" si="35"/>
        <v>0.54869999999999997</v>
      </c>
      <c r="M121" s="3108">
        <f t="shared" si="35"/>
        <v>0.54869999999999997</v>
      </c>
      <c r="N121" s="3093"/>
    </row>
    <row r="122" spans="1:14">
      <c r="A122" s="3109" t="s">
        <v>2609</v>
      </c>
      <c r="B122" s="3085">
        <f>ROUND(0.9404-0.0106*B116,4)</f>
        <v>0.91710000000000003</v>
      </c>
      <c r="C122" s="3085">
        <f>B122</f>
        <v>0.91710000000000003</v>
      </c>
      <c r="D122" s="3085">
        <f>ROUND(0.8955-0.0135*B116,4)</f>
        <v>0.86580000000000001</v>
      </c>
      <c r="E122" s="3085">
        <f t="shared" ref="E122:H122" si="37">D122</f>
        <v>0.86580000000000001</v>
      </c>
      <c r="F122" s="3085">
        <f t="shared" si="37"/>
        <v>0.86580000000000001</v>
      </c>
      <c r="G122" s="3085">
        <f t="shared" si="37"/>
        <v>0.86580000000000001</v>
      </c>
      <c r="H122" s="3085">
        <f t="shared" si="37"/>
        <v>0.86580000000000001</v>
      </c>
      <c r="I122" s="3085">
        <f>ROUND(0.7632-0.0166*B116,4)</f>
        <v>0.72670000000000001</v>
      </c>
      <c r="J122" s="3085">
        <f t="shared" si="35"/>
        <v>0.72670000000000001</v>
      </c>
      <c r="K122" s="3085">
        <f t="shared" si="35"/>
        <v>0.72670000000000001</v>
      </c>
      <c r="L122" s="3085">
        <f t="shared" si="35"/>
        <v>0.72670000000000001</v>
      </c>
      <c r="M122" s="3105">
        <f t="shared" si="35"/>
        <v>0.72670000000000001</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9" type="noConversion"/>
  <conditionalFormatting sqref="F50">
    <cfRule type="cellIs" dxfId="44" priority="6" stopIfTrue="1" operator="notEqual">
      <formula>"——"</formula>
    </cfRule>
  </conditionalFormatting>
  <conditionalFormatting sqref="F61">
    <cfRule type="cellIs" dxfId="43" priority="5" stopIfTrue="1" operator="notEqual">
      <formula>"——"</formula>
    </cfRule>
  </conditionalFormatting>
  <conditionalFormatting sqref="F72">
    <cfRule type="cellIs" dxfId="42" priority="4" stopIfTrue="1" operator="notEqual">
      <formula>"——"</formula>
    </cfRule>
  </conditionalFormatting>
  <conditionalFormatting sqref="F83">
    <cfRule type="cellIs" dxfId="41" priority="3" stopIfTrue="1" operator="notEqual">
      <formula>"——"</formula>
    </cfRule>
  </conditionalFormatting>
  <conditionalFormatting sqref="H50:H58 H61:H69 H72:H80 H83:H91">
    <cfRule type="cellIs" dxfId="40" priority="2" operator="notEqual">
      <formula>"——"</formula>
    </cfRule>
  </conditionalFormatting>
  <conditionalFormatting sqref="H93:H101">
    <cfRule type="cellIs" dxfId="39"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I57"/>
  <sheetViews>
    <sheetView view="pageBreakPreview" zoomScale="70" zoomScaleNormal="70" zoomScaleSheetLayoutView="70" workbookViewId="0">
      <selection activeCell="M31" sqref="M3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t="s">
        <v>6388</v>
      </c>
      <c r="C1" s="190"/>
      <c r="D1" s="190"/>
      <c r="E1" s="190"/>
      <c r="F1" s="190"/>
      <c r="G1" s="1062">
        <f>MATCH(B1,'数据-取费表'!A6:A16,0)+5</f>
        <v>7</v>
      </c>
    </row>
    <row r="2" spans="1:9" s="192" customFormat="1" ht="18" customHeight="1">
      <c r="A2" s="193" t="s">
        <v>685</v>
      </c>
      <c r="B2" s="194">
        <f ca="1">IF(D2="——",C52,C52-E2)</f>
        <v>27</v>
      </c>
      <c r="C2" s="191" t="s">
        <v>1463</v>
      </c>
      <c r="D2" s="1710" t="s">
        <v>43</v>
      </c>
      <c r="E2" s="1089" t="e">
        <f ca="1">SUMIF(INDIRECT("'"&amp;G2&amp;"'"&amp;"!A:A"),"承租人权益价值",INDIRECT("'"&amp;G2&amp;"'"&amp;"!c:c"))</f>
        <v>#REF!</v>
      </c>
      <c r="F2" s="1711" t="s">
        <v>1463</v>
      </c>
      <c r="G2" s="1712"/>
    </row>
    <row r="3" spans="1:9" s="192" customFormat="1" ht="18" customHeight="1" thickBot="1">
      <c r="A3" s="195" t="s">
        <v>686</v>
      </c>
      <c r="B3" s="196">
        <f ca="1">ROUND(B2*10000/(IF(B1="",'数据-汇总表'!E3,INDIRECT("'数据-取费表'!k"&amp;$G$1))),0)</f>
        <v>8783</v>
      </c>
      <c r="C3" s="191" t="s">
        <v>1465</v>
      </c>
      <c r="D3" s="191"/>
      <c r="E3" s="191"/>
      <c r="F3" s="191"/>
      <c r="G3" s="191"/>
    </row>
    <row r="4" spans="1:9" s="200" customFormat="1" ht="16.2">
      <c r="A4" s="197" t="s">
        <v>1466</v>
      </c>
      <c r="B4" s="198"/>
      <c r="C4" s="198"/>
      <c r="D4" s="198"/>
      <c r="E4" s="198"/>
      <c r="F4" s="198"/>
      <c r="G4" s="199"/>
    </row>
    <row r="5" spans="1:9" s="206" customFormat="1" ht="13.5" customHeight="1">
      <c r="A5" s="247" t="s">
        <v>337</v>
      </c>
      <c r="B5" s="202" t="s">
        <v>1468</v>
      </c>
      <c r="C5" s="203">
        <f ca="1">C6+C7+C8</f>
        <v>6</v>
      </c>
      <c r="D5" s="203" t="s">
        <v>1469</v>
      </c>
      <c r="E5" s="204" t="s">
        <v>1470</v>
      </c>
      <c r="F5" s="204" t="s">
        <v>1471</v>
      </c>
      <c r="G5" s="205"/>
    </row>
    <row r="6" spans="1:9" s="206" customFormat="1" ht="13.5" customHeight="1">
      <c r="A6" s="732" t="s">
        <v>346</v>
      </c>
      <c r="B6" s="207" t="s">
        <v>1473</v>
      </c>
      <c r="C6" s="208">
        <f>'基准地价修正-车位'!B2</f>
        <v>5</v>
      </c>
      <c r="D6" s="209"/>
      <c r="E6" s="210"/>
      <c r="F6" s="210"/>
      <c r="G6" s="211"/>
    </row>
    <row r="7" spans="1:9" s="206" customFormat="1" ht="13.5" customHeight="1">
      <c r="A7" s="732" t="s">
        <v>347</v>
      </c>
      <c r="B7" s="207" t="s">
        <v>1475</v>
      </c>
      <c r="C7" s="212">
        <f>ROUND(C6*F7,0)</f>
        <v>0</v>
      </c>
      <c r="D7" s="212"/>
      <c r="E7" s="210"/>
      <c r="F7" s="213">
        <f>IF(项目基本情况!B8="出让",0,'数据-取费表'!B48+'数据-取费表'!B49)</f>
        <v>3.0499999999999999E-2</v>
      </c>
      <c r="G7" s="211"/>
    </row>
    <row r="8" spans="1:9" s="215" customFormat="1">
      <c r="A8" s="732" t="s">
        <v>348</v>
      </c>
      <c r="B8" s="207" t="s">
        <v>1477</v>
      </c>
      <c r="C8" s="212">
        <f ca="1">IF(G8="已包含在土地购买价格中","0",IF(B1="",'数据-取费表'!B29,IF(G9="全部缴纳",C9+C10,H9)))</f>
        <v>1</v>
      </c>
      <c r="D8" s="214"/>
      <c r="E8" s="212"/>
      <c r="F8" s="213"/>
      <c r="G8" s="1713" t="s">
        <v>3569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t="s">
        <v>3571</v>
      </c>
      <c r="H9" s="1070"/>
      <c r="I9" s="1715"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30.74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30.74</v>
      </c>
      <c r="E19" s="203">
        <f>'数据-取费表'!B31</f>
        <v>200</v>
      </c>
      <c r="F19" s="223"/>
      <c r="G19" s="1713" t="s">
        <v>3570</v>
      </c>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0.03</v>
      </c>
      <c r="G22" s="226" t="str">
        <f>IF('数据-取费表'!B22&lt;=1,"单利计息","复利计息")</f>
        <v>复利计息</v>
      </c>
    </row>
    <row r="23" spans="1:7" s="206" customFormat="1" ht="13.5" customHeight="1">
      <c r="A23" s="734" t="s">
        <v>346</v>
      </c>
      <c r="B23" s="207" t="s">
        <v>1503</v>
      </c>
      <c r="C23" s="1042">
        <f ca="1">ROUND(IF('数据-取费表'!B22&lt;=1,C5*F22*'数据-取费表'!B23,C5*(POWER((1+F22),'数据-取费表'!B23)-1)),0)</f>
        <v>0</v>
      </c>
      <c r="D23" s="230"/>
      <c r="E23" s="230"/>
      <c r="F23" s="231"/>
      <c r="G23" s="232" t="s">
        <v>1504</v>
      </c>
    </row>
    <row r="24" spans="1:7" s="206" customFormat="1" ht="13.5" customHeight="1">
      <c r="A24" s="734" t="s">
        <v>347</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348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0</v>
      </c>
      <c r="D27" s="227">
        <f ca="1">C29</f>
        <v>1.5E-3</v>
      </c>
      <c r="E27" s="228" t="s">
        <v>1498</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18</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0.1</v>
      </c>
      <c r="G36" s="252" t="s">
        <v>1530</v>
      </c>
    </row>
    <row r="37" spans="1:7" s="250" customFormat="1" ht="13.5" customHeight="1">
      <c r="A37" s="734" t="s">
        <v>353</v>
      </c>
      <c r="B37" s="207" t="s">
        <v>1531</v>
      </c>
      <c r="C37" s="241">
        <f ca="1">ROUND(E37*D37*F34/10000,0)</f>
        <v>1</v>
      </c>
      <c r="D37" s="209">
        <f ca="1">D19</f>
        <v>30.74</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1491</v>
      </c>
      <c r="B39" s="202" t="s">
        <v>1494</v>
      </c>
      <c r="C39" s="224">
        <f ca="1">ROUND(C33*F20,0)</f>
        <v>0</v>
      </c>
      <c r="D39" s="224"/>
      <c r="E39" s="224"/>
      <c r="F39" s="225">
        <f>F20</f>
        <v>0.02</v>
      </c>
      <c r="G39" s="226" t="s">
        <v>1536</v>
      </c>
    </row>
    <row r="40" spans="1:7" s="206" customFormat="1" ht="13.5" customHeight="1">
      <c r="A40" s="247" t="s">
        <v>1493</v>
      </c>
      <c r="B40" s="202" t="s">
        <v>1497</v>
      </c>
      <c r="C40" s="227">
        <f>F21</f>
        <v>0.03</v>
      </c>
      <c r="D40" s="228" t="s">
        <v>1539</v>
      </c>
      <c r="E40" s="224"/>
      <c r="F40" s="225">
        <f>F21</f>
        <v>0.03</v>
      </c>
      <c r="G40" s="226" t="s">
        <v>1540</v>
      </c>
    </row>
    <row r="41" spans="1:7" s="206" customFormat="1" ht="13.5" customHeight="1">
      <c r="A41" s="247" t="s">
        <v>1496</v>
      </c>
      <c r="B41" s="202" t="s">
        <v>1501</v>
      </c>
      <c r="C41" s="224">
        <f ca="1">ROUND(SUM(C42:C43),0)</f>
        <v>1</v>
      </c>
      <c r="D41" s="227">
        <f ca="1">C44</f>
        <v>8.9999999999999998E-4</v>
      </c>
      <c r="E41" s="228" t="s">
        <v>1539</v>
      </c>
      <c r="F41" s="229">
        <f ca="1">F22</f>
        <v>0.03</v>
      </c>
      <c r="G41" s="226" t="str">
        <f>IF('数据-取费表'!B22&lt;=1,"单利计息","复利计息")</f>
        <v>复利计息</v>
      </c>
    </row>
    <row r="42" spans="1:7" ht="13.5" customHeight="1">
      <c r="A42" s="734" t="s">
        <v>346</v>
      </c>
      <c r="B42" s="207" t="s">
        <v>1503</v>
      </c>
      <c r="C42" s="230">
        <f ca="1">ROUND(IF('数据-取费表'!B22&lt;=1,C33*F22*'数据-取费表'!B21/2,C33*(POWER((1+F22),'数据-取费表'!B21/2)-1)),0)</f>
        <v>1</v>
      </c>
      <c r="D42" s="230"/>
      <c r="E42" s="230"/>
      <c r="F42" s="231"/>
      <c r="G42" s="3428" t="s">
        <v>1544</v>
      </c>
    </row>
    <row r="43" spans="1:7" ht="13.5" customHeight="1">
      <c r="A43" s="734" t="s">
        <v>347</v>
      </c>
      <c r="B43" s="207" t="s">
        <v>1506</v>
      </c>
      <c r="C43" s="230">
        <f ca="1">ROUND(IF('数据-取费表'!B22&lt;=1,C39*F22*'数据-取费表'!B21/2,C39*(POWER((1+F22),'数据-取费表'!B21/2)-1)),0)</f>
        <v>0</v>
      </c>
      <c r="D43" s="230"/>
      <c r="E43" s="230"/>
      <c r="F43" s="231"/>
      <c r="G43" s="3429"/>
    </row>
    <row r="44" spans="1:7" ht="13.5" customHeight="1">
      <c r="A44" s="734" t="s">
        <v>348</v>
      </c>
      <c r="B44" s="207" t="s">
        <v>1509</v>
      </c>
      <c r="C44" s="230">
        <f ca="1">ROUND(IF('数据-取费表'!B22&lt;=1,C40*F22*'数据-取费表'!B21/2,C40*(POWER((1+F22),'数据-取费表'!B21/2)-1)),4)</f>
        <v>8.9999999999999998E-4</v>
      </c>
      <c r="D44" s="230"/>
      <c r="E44" s="230"/>
      <c r="F44" s="231"/>
      <c r="G44" s="3430"/>
    </row>
    <row r="45" spans="1:7" s="206" customFormat="1" ht="13.5" customHeight="1">
      <c r="A45" s="247" t="s">
        <v>1500</v>
      </c>
      <c r="B45" s="236" t="s">
        <v>1513</v>
      </c>
      <c r="C45" s="237">
        <f ca="1">C46</f>
        <v>1</v>
      </c>
      <c r="D45" s="227">
        <f ca="1">C47</f>
        <v>1.5E-3</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24</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20</v>
      </c>
      <c r="D51" s="224"/>
      <c r="E51" s="224"/>
      <c r="F51" s="256"/>
      <c r="G51" s="226" t="s">
        <v>1560</v>
      </c>
    </row>
    <row r="52" spans="1:7" s="200" customFormat="1" ht="16.8" thickBot="1">
      <c r="A52" s="257" t="s">
        <v>1561</v>
      </c>
      <c r="B52" s="258"/>
      <c r="C52" s="259">
        <f ca="1">C31+C51</f>
        <v>27</v>
      </c>
      <c r="D52" s="258"/>
      <c r="E52" s="258"/>
      <c r="F52" s="258"/>
      <c r="G52" s="260"/>
    </row>
    <row r="55" spans="1:7" ht="15">
      <c r="B55" s="262" t="s">
        <v>1562</v>
      </c>
      <c r="C55" s="263"/>
    </row>
    <row r="56" spans="1:7">
      <c r="B56" s="265" t="s">
        <v>802</v>
      </c>
      <c r="C56" s="267">
        <f ca="1">1-C57</f>
        <v>0.25900000000000001</v>
      </c>
    </row>
    <row r="57" spans="1:7">
      <c r="B57" s="265" t="s">
        <v>803</v>
      </c>
      <c r="C57" s="266">
        <f ca="1">ROUND(C51/C52,3)</f>
        <v>0.74099999999999999</v>
      </c>
    </row>
  </sheetData>
  <sheetProtection password="CEE9" sheet="1" objects="1" scenarios="1" formatCells="0"/>
  <mergeCells count="1">
    <mergeCell ref="G42:G44"/>
  </mergeCells>
  <phoneticPr fontId="137" type="noConversion"/>
  <dataValidations count="6">
    <dataValidation type="list" allowBlank="1" showInputMessage="1" showErrorMessage="1" sqref="D2" xr:uid="{00000000-0002-0000-2500-000000000000}">
      <formula1>"需扣减承租人权益,——"</formula1>
    </dataValidation>
    <dataValidation type="list" allowBlank="1" showInputMessage="1" showErrorMessage="1" sqref="G2" xr:uid="{00000000-0002-0000-2500-000001000000}">
      <formula1>估价方法</formula1>
    </dataValidation>
    <dataValidation type="list" allowBlank="1" showInputMessage="1" showErrorMessage="1" sqref="G9" xr:uid="{00000000-0002-0000-2500-000002000000}">
      <formula1>"部分缴纳,全部缴纳"</formula1>
    </dataValidation>
    <dataValidation type="list" allowBlank="1" showInputMessage="1" showErrorMessage="1" sqref="B1" xr:uid="{00000000-0002-0000-2500-000003000000}">
      <formula1>项目类型</formula1>
    </dataValidation>
    <dataValidation type="list" allowBlank="1" showInputMessage="1" showErrorMessage="1" sqref="G19" xr:uid="{00000000-0002-0000-2500-000004000000}">
      <formula1>"已包含在土地取得成本中,未包含在土地取得成本中"</formula1>
    </dataValidation>
    <dataValidation type="list" allowBlank="1" showInputMessage="1" showErrorMessage="1" sqref="G8" xr:uid="{00000000-0002-0000-25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28" zoomScaleNormal="80" zoomScaleSheetLayoutView="100" workbookViewId="0">
      <selection activeCell="E42" sqref="E42"/>
    </sheetView>
  </sheetViews>
  <sheetFormatPr defaultColWidth="12" defaultRowHeight="13.2"/>
  <cols>
    <col min="1" max="1" width="9.77734375" style="1891" customWidth="1"/>
    <col min="2" max="2" width="22.44140625" style="1979" customWidth="1"/>
    <col min="3" max="3" width="12" style="1841"/>
    <col min="4" max="4" width="14.88671875" style="1841" customWidth="1"/>
    <col min="5" max="5" width="14.6640625" style="1841" customWidth="1"/>
    <col min="6" max="8" width="12" style="1841"/>
    <col min="9" max="9" width="12.21875" style="1841" bestFit="1" customWidth="1"/>
    <col min="10" max="10" width="12" style="1841"/>
    <col min="11" max="11" width="8.109375" style="1887" customWidth="1"/>
    <col min="12" max="12" width="19.44140625" style="1841" customWidth="1"/>
    <col min="13" max="13" width="8.44140625" style="1841" customWidth="1"/>
    <col min="14" max="14" width="9.77734375" style="1841" customWidth="1"/>
    <col min="15" max="25" width="12" style="1841"/>
    <col min="26" max="26" width="9.33203125" style="1891" customWidth="1"/>
    <col min="27" max="32" width="9.33203125" style="1058" customWidth="1"/>
    <col min="33" max="36" width="9.33203125" style="1891" customWidth="1"/>
    <col min="37" max="38" width="9.33203125" style="1841" customWidth="1"/>
    <col min="39" max="16384" width="12" style="1841"/>
  </cols>
  <sheetData>
    <row r="1" spans="1:36" ht="31.2">
      <c r="A1" s="188" t="s">
        <v>1926</v>
      </c>
      <c r="B1" s="189"/>
      <c r="C1" s="193" t="s">
        <v>1927</v>
      </c>
      <c r="D1" s="333">
        <f>SUM(D33:D34,D37:D42)</f>
        <v>30.74</v>
      </c>
      <c r="E1" s="1838"/>
      <c r="F1" s="1838"/>
      <c r="G1" s="1838"/>
      <c r="H1" s="1838"/>
      <c r="I1" s="1838"/>
      <c r="J1" s="1838"/>
      <c r="K1" s="1056"/>
      <c r="L1" s="1839" t="s">
        <v>1928</v>
      </c>
      <c r="M1" s="810">
        <f>SUMPRODUCT((区片价!B5:B9=I2)*(区片价!C3:G3=E2)*(区片价!C5:G9))</f>
        <v>0</v>
      </c>
      <c r="N1" s="813">
        <f>SUMPRODUCT((因素修正幅度!B5:B9=I2)*(因素修正幅度!C3:G3=E2)*(因素修正幅度!C5:G9))</f>
        <v>0</v>
      </c>
      <c r="O1" s="1840"/>
      <c r="P1" s="1840"/>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5</v>
      </c>
      <c r="C2" s="1842" t="s">
        <v>1935</v>
      </c>
      <c r="D2" s="162" t="s">
        <v>1936</v>
      </c>
      <c r="E2" s="3116" t="s">
        <v>3402</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Ⅶ-房1</v>
      </c>
      <c r="J2" s="1838"/>
      <c r="K2" s="1056"/>
      <c r="L2" s="1843" t="s">
        <v>1939</v>
      </c>
      <c r="M2" s="811">
        <f>SUMPRODUCT((区片价!B10:B29=I2)*(区片价!C3:G3=E2)*(区片价!C10:G29))</f>
        <v>0</v>
      </c>
      <c r="N2" s="813">
        <f>SUMPRODUCT((因素修正幅度!B10:B29=I2)*(因素修正幅度!C3:G3=E2)*(因素修正幅度!C10:G29))</f>
        <v>0</v>
      </c>
      <c r="O2" s="1056"/>
      <c r="P2" s="1056"/>
      <c r="Q2" s="1056"/>
      <c r="R2" s="1128">
        <v>1</v>
      </c>
      <c r="S2" s="3059">
        <f>ROUND(SUMPRODUCT((B106:B110=R2)*(C105:N105=G2)*(C106:N110)),4)</f>
        <v>1.5019</v>
      </c>
      <c r="T2" s="3059">
        <f t="shared" ref="T2:T16" si="0">ROUND($C$5*$C$22*$C$23*$C$24*S2*$C$28,0)</f>
        <v>20417</v>
      </c>
      <c r="U2" s="1129"/>
      <c r="V2" s="3059">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1627</v>
      </c>
      <c r="C3" s="1842" t="s">
        <v>1941</v>
      </c>
      <c r="D3" s="162" t="s">
        <v>1942</v>
      </c>
      <c r="E3" s="3114" t="s">
        <v>3558</v>
      </c>
      <c r="F3" s="1844" t="s">
        <v>3559</v>
      </c>
      <c r="G3" s="708">
        <f>IF(F3="宗地容积率",'数据-汇总表'!I4,IF(F3="估价对象容积率",'数据-汇总表'!I6,'数据-汇总表'!I7))</f>
        <v>2.2000000000000002</v>
      </c>
      <c r="H3" s="162" t="s">
        <v>1943</v>
      </c>
      <c r="I3" s="729"/>
      <c r="J3" s="1838" t="s">
        <v>1944</v>
      </c>
      <c r="K3" s="1056"/>
      <c r="L3" s="1843" t="s">
        <v>1945</v>
      </c>
      <c r="M3" s="811">
        <f>SUMPRODUCT((区片价!B30:B54=I2)*(区片价!C3:G3=E2)*(区片价!C30:G54))</f>
        <v>0</v>
      </c>
      <c r="N3" s="813">
        <f>SUMPRODUCT((因素修正幅度!B30:B54=I2)*(因素修正幅度!C3:G3=E2)*(因素修正幅度!C30:G54))</f>
        <v>0</v>
      </c>
      <c r="O3" s="1056"/>
      <c r="P3" s="1056"/>
      <c r="Q3" s="1056"/>
      <c r="R3" s="1128">
        <v>2</v>
      </c>
      <c r="S3" s="3059">
        <f>ROUND(SUMPRODUCT((B106:B110=R3)*(C105:N105=G2)*(C106:N110)),4)</f>
        <v>1.1838</v>
      </c>
      <c r="T3" s="3059">
        <f t="shared" si="0"/>
        <v>16093</v>
      </c>
      <c r="U3" s="1129"/>
      <c r="V3" s="3059">
        <f t="shared" ref="V3:V16" si="1">ROUND(T3*U3/10000,0)</f>
        <v>0</v>
      </c>
      <c r="W3" s="1132"/>
      <c r="X3" s="1132"/>
      <c r="Y3" s="1132"/>
      <c r="Z3" s="1132"/>
      <c r="AA3" s="1132"/>
      <c r="AB3" s="1132"/>
      <c r="AC3" s="1133"/>
      <c r="AD3" s="1134"/>
      <c r="AE3" s="1134"/>
      <c r="AF3" s="1134"/>
      <c r="AG3" s="1134"/>
      <c r="AH3" s="1134"/>
      <c r="AI3" s="1134"/>
      <c r="AJ3" s="1135"/>
    </row>
    <row r="4" spans="1:36" ht="15.6">
      <c r="A4" s="3537"/>
      <c r="B4" s="3538"/>
      <c r="C4" s="3538"/>
      <c r="D4" s="3539"/>
      <c r="E4" s="3539"/>
      <c r="F4" s="3539"/>
      <c r="G4" s="3539"/>
      <c r="H4" s="3539"/>
      <c r="I4" s="3539"/>
      <c r="J4" s="3540"/>
      <c r="K4" s="1056"/>
      <c r="L4" s="1843" t="s">
        <v>1946</v>
      </c>
      <c r="M4" s="811">
        <f>SUMPRODUCT((区片价!B55:B86=I2)*(区片价!C3:G3=E2)*(区片价!C55:G86))</f>
        <v>0</v>
      </c>
      <c r="N4" s="813">
        <f>SUMPRODUCT((因素修正幅度!B55:B86=I2)*(因素修正幅度!C3:G3=E2)*(因素修正幅度!C55:G86))</f>
        <v>0</v>
      </c>
      <c r="O4" s="1056"/>
      <c r="P4" s="1056"/>
      <c r="Q4" s="1056"/>
      <c r="R4" s="1128">
        <v>3</v>
      </c>
      <c r="S4" s="3059">
        <f>ROUND(SUMPRODUCT((B106:B110=R4)*(C105:N105=G2)*(C106:N110)),4)</f>
        <v>1.0004999999999999</v>
      </c>
      <c r="T4" s="3059">
        <f t="shared" si="0"/>
        <v>13601</v>
      </c>
      <c r="U4" s="1129"/>
      <c r="V4" s="3059">
        <f t="shared" si="1"/>
        <v>0</v>
      </c>
      <c r="W4" s="1132"/>
      <c r="X4" s="1132"/>
      <c r="Y4" s="1132"/>
      <c r="Z4" s="1132"/>
      <c r="AA4" s="1132"/>
      <c r="AB4" s="1132"/>
      <c r="AC4" s="1133"/>
      <c r="AD4" s="1134"/>
      <c r="AE4" s="1134"/>
      <c r="AF4" s="1134"/>
      <c r="AG4" s="1134"/>
      <c r="AH4" s="1134"/>
      <c r="AI4" s="1134"/>
      <c r="AJ4" s="1135"/>
    </row>
    <row r="5" spans="1:36" s="1854" customFormat="1" ht="15.6" thickBot="1">
      <c r="A5" s="1845" t="s">
        <v>362</v>
      </c>
      <c r="B5" s="1846" t="s">
        <v>1947</v>
      </c>
      <c r="C5" s="709">
        <f>ROUND(IF(E2="商业",C6*C7*C17+C20,(IF(E2="住宅",C6*C13*C17+C20,IF(E2="办公",C6*C12*C17+C20,C6+C20)))),0)</f>
        <v>12624</v>
      </c>
      <c r="D5" s="1251">
        <f>ROUND(C6*C17+C20,0)</f>
        <v>10930</v>
      </c>
      <c r="E5" s="1251"/>
      <c r="F5" s="1847"/>
      <c r="G5" s="1848"/>
      <c r="H5" s="1848"/>
      <c r="I5" s="1848"/>
      <c r="J5" s="1849"/>
      <c r="K5" s="1850"/>
      <c r="L5" s="1843" t="s">
        <v>1948</v>
      </c>
      <c r="M5" s="811">
        <f>SUMPRODUCT((区片价!B87:B126=I2)*(区片价!C3:G3=E2)*(区片价!C87:G126))</f>
        <v>0</v>
      </c>
      <c r="N5" s="813">
        <f>SUMPRODUCT((因素修正幅度!B87:B126=I2)*(因素修正幅度!C3:G3=E2)*(因素修正幅度!C87:G126))</f>
        <v>0</v>
      </c>
      <c r="O5" s="1056"/>
      <c r="P5" s="1056"/>
      <c r="Q5" s="1056"/>
      <c r="R5" s="1128">
        <v>4</v>
      </c>
      <c r="S5" s="3059">
        <f>ROUND(SUMPRODUCT((B106:B110=R5)*(C105:N105=G2)*(C106:N110)),4)</f>
        <v>0.88239999999999996</v>
      </c>
      <c r="T5" s="3059">
        <f t="shared" si="0"/>
        <v>11996</v>
      </c>
      <c r="U5" s="1129"/>
      <c r="V5" s="3059">
        <f t="shared" si="1"/>
        <v>0</v>
      </c>
      <c r="W5" s="1132"/>
      <c r="X5" s="1132"/>
      <c r="Y5" s="1132"/>
      <c r="Z5" s="1132"/>
      <c r="AA5" s="1132"/>
      <c r="AB5" s="1132"/>
      <c r="AC5" s="1851"/>
      <c r="AD5" s="1852"/>
      <c r="AE5" s="1852"/>
      <c r="AF5" s="1852"/>
      <c r="AG5" s="1852"/>
      <c r="AH5" s="1852"/>
      <c r="AI5" s="1852"/>
      <c r="AJ5" s="1853"/>
    </row>
    <row r="6" spans="1:36" ht="15.6" thickBot="1">
      <c r="A6" s="1855" t="s">
        <v>1949</v>
      </c>
      <c r="B6" s="1856" t="s">
        <v>1950</v>
      </c>
      <c r="C6" s="710">
        <f>SUMIF(L1:L12,G2,M1:M12)</f>
        <v>10930</v>
      </c>
      <c r="D6" s="1857"/>
      <c r="E6" s="1858"/>
      <c r="F6" s="1858"/>
      <c r="G6" s="1859"/>
      <c r="H6" s="1859"/>
      <c r="I6" s="1859"/>
      <c r="J6" s="1860"/>
      <c r="K6" s="1291"/>
      <c r="L6" s="1843" t="s">
        <v>1951</v>
      </c>
      <c r="M6" s="811">
        <f>SUMPRODUCT((区片价!B127:B189=I2)*(区片价!C3:G3=E2)*(区片价!C127:G189))</f>
        <v>0</v>
      </c>
      <c r="N6" s="813">
        <f>SUMPRODUCT((因素修正幅度!B127:B189=I2)*(因素修正幅度!C3:G3=E2)*(因素修正幅度!C127:G189))</f>
        <v>0</v>
      </c>
      <c r="O6" s="1056"/>
      <c r="P6" s="1056"/>
      <c r="Q6" s="1056"/>
      <c r="R6" s="1128">
        <v>5</v>
      </c>
      <c r="S6" s="3059">
        <f>ROUND(SUMPRODUCT((B106:B110=R6)*(C105:N105=G2)*(C106:N110)),4)</f>
        <v>0.84799999999999998</v>
      </c>
      <c r="T6" s="3059">
        <f t="shared" si="0"/>
        <v>11528</v>
      </c>
      <c r="U6" s="1129"/>
      <c r="V6" s="3059">
        <f t="shared" si="1"/>
        <v>0</v>
      </c>
      <c r="W6" s="1132"/>
      <c r="X6" s="1132"/>
      <c r="Y6" s="1132"/>
      <c r="Z6" s="1132"/>
      <c r="AA6" s="1132"/>
      <c r="AB6" s="1132"/>
      <c r="AC6" s="1851"/>
      <c r="AD6" s="1852"/>
      <c r="AE6" s="1852"/>
      <c r="AF6" s="1852"/>
      <c r="AG6" s="1852"/>
      <c r="AH6" s="1852"/>
      <c r="AI6" s="1852"/>
      <c r="AJ6" s="1853"/>
    </row>
    <row r="7" spans="1:36" ht="24.6" thickBot="1">
      <c r="A7" s="3008" t="s">
        <v>3234</v>
      </c>
      <c r="B7" s="1861" t="s">
        <v>1952</v>
      </c>
      <c r="C7" s="711" t="e">
        <f>IF(C8="不临65条商业街",1,ROUND(1+(1.6*E8+1.2*E9+0.8*E10+0.4*E11)*C9,4))</f>
        <v>#DIV/0!</v>
      </c>
      <c r="D7" s="1862" t="s">
        <v>1953</v>
      </c>
      <c r="E7" s="730"/>
      <c r="F7" s="1863"/>
      <c r="G7" s="1864"/>
      <c r="H7" s="1864"/>
      <c r="I7" s="1864"/>
      <c r="J7" s="1865"/>
      <c r="K7" s="1291"/>
      <c r="L7" s="1843" t="s">
        <v>1954</v>
      </c>
      <c r="M7" s="811">
        <f>SUMPRODUCT((区片价!B190:B233=I2)*(区片价!C3:G3=E2)*(区片价!C190:G233))</f>
        <v>10930</v>
      </c>
      <c r="N7" s="813">
        <f>SUMPRODUCT((因素修正幅度!B190:B233=I2)*(因素修正幅度!C3:G3=E2)*(因素修正幅度!C190:G233))</f>
        <v>0.13</v>
      </c>
      <c r="O7" s="1056"/>
      <c r="P7" s="1056"/>
      <c r="Q7" s="1056"/>
      <c r="R7" s="1128">
        <v>6</v>
      </c>
      <c r="S7" s="3113"/>
      <c r="T7" s="3059">
        <f t="shared" si="0"/>
        <v>0</v>
      </c>
      <c r="U7" s="1129"/>
      <c r="V7" s="3059">
        <f t="shared" si="1"/>
        <v>0</v>
      </c>
      <c r="W7" s="1266" t="s">
        <v>1955</v>
      </c>
      <c r="X7" s="1130" t="str">
        <f>G2</f>
        <v>七级</v>
      </c>
      <c r="Y7" s="1130" t="s">
        <v>1956</v>
      </c>
      <c r="Z7" s="1131">
        <f>G3</f>
        <v>2.2000000000000002</v>
      </c>
      <c r="AA7" s="1132"/>
      <c r="AB7" s="1132"/>
      <c r="AC7" s="1133"/>
      <c r="AD7" s="1134"/>
      <c r="AE7" s="1134"/>
      <c r="AF7" s="1134"/>
      <c r="AG7" s="1134"/>
      <c r="AH7" s="1134"/>
      <c r="AI7" s="1134"/>
      <c r="AJ7" s="1135"/>
    </row>
    <row r="8" spans="1:36" ht="15">
      <c r="A8" s="3005"/>
      <c r="B8" s="162" t="s">
        <v>1957</v>
      </c>
      <c r="C8" s="1866"/>
      <c r="D8" s="712" t="s">
        <v>112</v>
      </c>
      <c r="E8" s="713" t="e">
        <f>ROUND(C11/E7,4)</f>
        <v>#DIV/0!</v>
      </c>
      <c r="F8" s="1867" t="s">
        <v>1958</v>
      </c>
      <c r="G8" s="1868"/>
      <c r="H8" s="1868"/>
      <c r="I8" s="1868"/>
      <c r="J8" s="1869"/>
      <c r="K8" s="1056"/>
      <c r="L8" s="1843" t="s">
        <v>1959</v>
      </c>
      <c r="M8" s="811">
        <f>SUMPRODUCT((区片价!B234:B276=I2)*(区片价!C3:G3=E2)*(区片价!C234:G276))</f>
        <v>0</v>
      </c>
      <c r="N8" s="813">
        <f>SUMPRODUCT((因素修正幅度!B234:B276=I2)*(因素修正幅度!C3:G3=E2)*(因素修正幅度!C234:G276))</f>
        <v>0</v>
      </c>
      <c r="O8" s="1056"/>
      <c r="P8" s="1056"/>
      <c r="Q8" s="1056"/>
      <c r="R8" s="1128">
        <v>7</v>
      </c>
      <c r="S8" s="1129"/>
      <c r="T8" s="3059">
        <f t="shared" si="0"/>
        <v>0</v>
      </c>
      <c r="U8" s="1129"/>
      <c r="V8" s="3059">
        <f t="shared" si="1"/>
        <v>0</v>
      </c>
      <c r="W8" s="3534" t="s">
        <v>1960</v>
      </c>
      <c r="X8" s="353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5"/>
      <c r="B9" s="162" t="s">
        <v>1973</v>
      </c>
      <c r="C9" s="714">
        <f>SUMIF(修正!C71:C138,C8,修正!E71:E138)</f>
        <v>0</v>
      </c>
      <c r="D9" s="163" t="s">
        <v>113</v>
      </c>
      <c r="E9" s="163" t="e">
        <f>ROUND(C11/E7,4)</f>
        <v>#DIV/0!</v>
      </c>
      <c r="F9" s="1867" t="s">
        <v>1974</v>
      </c>
      <c r="G9" s="1868"/>
      <c r="H9" s="1868"/>
      <c r="I9" s="1868"/>
      <c r="J9" s="1869"/>
      <c r="K9" s="1056"/>
      <c r="L9" s="1843" t="s">
        <v>1975</v>
      </c>
      <c r="M9" s="811">
        <f>SUMPRODUCT((区片价!B277:B326=I2)*(区片价!C3:G3=E2)*(区片价!C277:G326))</f>
        <v>0</v>
      </c>
      <c r="N9" s="813">
        <f>SUMPRODUCT((因素修正幅度!B277:B326=I2)*(因素修正幅度!C3:G3=E2)*(因素修正幅度!C277:G326))</f>
        <v>0</v>
      </c>
      <c r="O9" s="1056"/>
      <c r="P9" s="1056"/>
      <c r="Q9" s="1056"/>
      <c r="R9" s="1128">
        <v>8</v>
      </c>
      <c r="S9" s="1129"/>
      <c r="T9" s="3059">
        <f t="shared" si="0"/>
        <v>0</v>
      </c>
      <c r="U9" s="1129"/>
      <c r="V9" s="3059">
        <f t="shared" si="1"/>
        <v>0</v>
      </c>
      <c r="W9" s="3536"/>
      <c r="X9" s="3060" t="s">
        <v>3264</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67" t="s">
        <v>1977</v>
      </c>
      <c r="G10" s="1868"/>
      <c r="H10" s="1868"/>
      <c r="I10" s="1868"/>
      <c r="J10" s="1869"/>
      <c r="K10" s="1056"/>
      <c r="L10" s="1843"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59">
        <f t="shared" si="0"/>
        <v>0</v>
      </c>
      <c r="U10" s="1129"/>
      <c r="V10" s="3059">
        <f t="shared" si="1"/>
        <v>0</v>
      </c>
      <c r="W10" s="3536"/>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0" t="s">
        <v>1979</v>
      </c>
      <c r="C11" s="715">
        <f>C10/4</f>
        <v>0</v>
      </c>
      <c r="D11" s="715" t="s">
        <v>115</v>
      </c>
      <c r="E11" s="715" t="e">
        <f>ROUND(C11/E7,4)</f>
        <v>#DIV/0!</v>
      </c>
      <c r="F11" s="1871" t="s">
        <v>1980</v>
      </c>
      <c r="G11" s="1872"/>
      <c r="H11" s="1872"/>
      <c r="I11" s="1872"/>
      <c r="J11" s="1873"/>
      <c r="K11" s="1056"/>
      <c r="L11" s="1843"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8" thickBot="1">
      <c r="A12" s="3008" t="s">
        <v>3235</v>
      </c>
      <c r="B12" s="3009" t="s">
        <v>3236</v>
      </c>
      <c r="C12" s="3010"/>
      <c r="D12" s="3011" t="s">
        <v>3237</v>
      </c>
      <c r="E12" s="3012" t="s">
        <v>3238</v>
      </c>
      <c r="F12" s="3013"/>
      <c r="G12" s="3014"/>
      <c r="H12" s="3014"/>
      <c r="I12" s="3014"/>
      <c r="J12" s="3015"/>
      <c r="K12" s="1056"/>
      <c r="L12" s="1792"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24.6" thickBot="1">
      <c r="A13" s="3008" t="s">
        <v>3239</v>
      </c>
      <c r="B13" s="1874" t="s">
        <v>1982</v>
      </c>
      <c r="C13" s="711">
        <f>ROUND(C16*D16*E16*F16*G16*H16*I16*J16,4)</f>
        <v>1.155</v>
      </c>
      <c r="D13" s="1875" t="s">
        <v>1983</v>
      </c>
      <c r="E13" s="1876"/>
      <c r="F13" s="1876"/>
      <c r="G13" s="1877"/>
      <c r="H13" s="1877"/>
      <c r="I13" s="1877"/>
      <c r="J13" s="1878"/>
      <c r="K13" s="1056"/>
      <c r="L13" s="3"/>
      <c r="M13" s="4"/>
      <c r="N13" s="3006"/>
      <c r="O13" s="1056"/>
      <c r="P13" s="1056"/>
      <c r="Q13" s="1056"/>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24">
      <c r="A14" s="3004"/>
      <c r="B14" s="1879" t="s">
        <v>1985</v>
      </c>
      <c r="C14" s="1880" t="s">
        <v>1986</v>
      </c>
      <c r="D14" s="1260" t="s">
        <v>1987</v>
      </c>
      <c r="E14" s="27" t="s">
        <v>1988</v>
      </c>
      <c r="F14" s="3016" t="s">
        <v>3240</v>
      </c>
      <c r="G14" s="3016" t="s">
        <v>3240</v>
      </c>
      <c r="H14" s="3016" t="s">
        <v>3240</v>
      </c>
      <c r="I14" s="3016" t="s">
        <v>3240</v>
      </c>
      <c r="J14" s="3016" t="s">
        <v>3240</v>
      </c>
      <c r="K14" s="1056"/>
      <c r="L14" s="1056"/>
      <c r="M14" s="1056"/>
      <c r="N14" s="1056"/>
      <c r="O14" s="1056"/>
      <c r="P14" s="1056"/>
      <c r="Q14" s="1056"/>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1"/>
      <c r="C15" s="1882" t="s">
        <v>3561</v>
      </c>
      <c r="D15" s="1883" t="s">
        <v>3562</v>
      </c>
      <c r="E15" s="1884" t="s">
        <v>3563</v>
      </c>
      <c r="F15" s="1469" t="s">
        <v>3241</v>
      </c>
      <c r="G15" s="1924"/>
      <c r="H15" s="3017"/>
      <c r="I15" s="3018"/>
      <c r="J15" s="3019"/>
      <c r="K15" s="1056"/>
      <c r="L15" s="1056"/>
      <c r="M15" s="1056"/>
      <c r="N15" s="1056"/>
      <c r="O15" s="1056"/>
      <c r="P15" s="1056"/>
      <c r="Q15" s="1056"/>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6" thickBot="1">
      <c r="A16" s="3004"/>
      <c r="B16" s="3022" t="s">
        <v>1989</v>
      </c>
      <c r="C16" s="3020">
        <v>1.1000000000000001</v>
      </c>
      <c r="D16" s="3020">
        <v>1</v>
      </c>
      <c r="E16" s="3020">
        <v>1.05</v>
      </c>
      <c r="F16" s="3020">
        <v>1</v>
      </c>
      <c r="G16" s="3020">
        <v>1</v>
      </c>
      <c r="H16" s="3020">
        <v>1</v>
      </c>
      <c r="I16" s="3020">
        <v>1</v>
      </c>
      <c r="J16" s="3021">
        <v>1</v>
      </c>
      <c r="K16" s="1056"/>
      <c r="L16" s="1840"/>
      <c r="M16" s="1840"/>
      <c r="N16" s="1840"/>
      <c r="O16" s="1840"/>
      <c r="P16" s="1840"/>
      <c r="Q16" s="1056"/>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ht="24">
      <c r="A17" s="3031" t="s">
        <v>3242</v>
      </c>
      <c r="B17" s="3023" t="s">
        <v>3243</v>
      </c>
      <c r="C17" s="3032">
        <f>ROUND(IF(OR(E2="工业",E2="公共服务"),1,IF(AND(E18=0,E19=0),1,IF(AND(E18=J24,E19=G19),0.8,IF(E19=0,1+E17*(-0.2),1+E17*G17*(-0.2))))),4)</f>
        <v>1</v>
      </c>
      <c r="D17" s="3024" t="s">
        <v>3244</v>
      </c>
      <c r="E17" s="3032">
        <f>ROUND(G18/I18,2)</f>
        <v>0</v>
      </c>
      <c r="F17" s="3024" t="s">
        <v>3247</v>
      </c>
      <c r="G17" s="3032" t="e">
        <f>ROUND(E19/G19,2)</f>
        <v>#DIV/0!</v>
      </c>
      <c r="H17" s="3032"/>
      <c r="I17" s="3032"/>
      <c r="J17" s="3033"/>
      <c r="K17" s="1056"/>
      <c r="L17" s="1840"/>
      <c r="M17" s="1840"/>
      <c r="N17" s="1840"/>
      <c r="O17" s="1840"/>
      <c r="P17" s="1840"/>
      <c r="Q17" s="1056"/>
      <c r="R17" s="1056"/>
      <c r="S17" s="1056"/>
      <c r="T17" s="1056"/>
      <c r="U17" s="1056"/>
      <c r="V17" s="1056"/>
      <c r="W17" s="1056"/>
      <c r="X17" s="1056"/>
      <c r="Y17" s="1056"/>
      <c r="Z17" s="1057"/>
      <c r="AA17" s="1057"/>
      <c r="AB17" s="1057"/>
      <c r="AC17" s="1057"/>
      <c r="AD17" s="1057"/>
      <c r="AE17" s="1056"/>
      <c r="AF17" s="1056"/>
      <c r="AG17" s="1840"/>
      <c r="AH17" s="1840"/>
      <c r="AI17" s="1840"/>
      <c r="AJ17" s="1840"/>
    </row>
    <row r="18" spans="1:37" s="1854" customFormat="1" ht="13.8">
      <c r="A18" s="3034"/>
      <c r="B18" s="2306"/>
      <c r="C18" s="3030"/>
      <c r="D18" s="3025" t="s">
        <v>3245</v>
      </c>
      <c r="E18" s="2353"/>
      <c r="F18" s="3026" t="s">
        <v>3248</v>
      </c>
      <c r="G18" s="3030">
        <f>ROUND(1-(1/(POWER(1+G24,E18))),4)</f>
        <v>0</v>
      </c>
      <c r="H18" s="3026" t="s">
        <v>3250</v>
      </c>
      <c r="I18" s="3030">
        <f>ROUND(1-(1/(POWER(1+G24,J24))),4)</f>
        <v>0.96709999999999996</v>
      </c>
      <c r="J18" s="3035"/>
      <c r="K18" s="1056"/>
      <c r="L18" s="1840"/>
      <c r="M18" s="1840"/>
      <c r="N18" s="1840"/>
      <c r="O18" s="1840"/>
      <c r="P18" s="1840"/>
      <c r="Q18" s="1056"/>
      <c r="R18" s="1060"/>
      <c r="S18" s="1060"/>
      <c r="T18" s="1057"/>
      <c r="U18" s="1057"/>
      <c r="V18" s="1057"/>
      <c r="W18" s="1056"/>
      <c r="X18" s="1056"/>
      <c r="Y18" s="1056"/>
      <c r="Z18" s="1061"/>
      <c r="AA18" s="1061"/>
      <c r="AB18" s="1061"/>
      <c r="AC18" s="1061"/>
      <c r="AD18" s="1061"/>
      <c r="AE18" s="1057"/>
      <c r="AF18" s="1057"/>
      <c r="AG18" s="1976"/>
      <c r="AH18" s="1976"/>
      <c r="AI18" s="1976"/>
      <c r="AJ18" s="2548"/>
    </row>
    <row r="19" spans="1:37" s="1854" customFormat="1" ht="14.4" thickBot="1">
      <c r="A19" s="3036"/>
      <c r="B19" s="3037"/>
      <c r="C19" s="3038"/>
      <c r="D19" s="3038" t="s">
        <v>3246</v>
      </c>
      <c r="E19" s="3039"/>
      <c r="F19" s="3040" t="s">
        <v>3249</v>
      </c>
      <c r="G19" s="3039"/>
      <c r="H19" s="3038"/>
      <c r="I19" s="3038"/>
      <c r="J19" s="3041"/>
      <c r="K19" s="1056"/>
      <c r="L19" s="1840"/>
      <c r="M19" s="1840"/>
      <c r="N19" s="1840"/>
      <c r="O19" s="1840"/>
      <c r="P19" s="1840"/>
      <c r="Q19" s="1060"/>
      <c r="R19" s="1060"/>
      <c r="S19" s="1060"/>
      <c r="T19" s="1057"/>
      <c r="U19" s="1057"/>
      <c r="V19" s="1057"/>
      <c r="W19" s="1056"/>
      <c r="X19" s="1056"/>
      <c r="Y19" s="1056"/>
      <c r="Z19" s="1061"/>
      <c r="AA19" s="1061"/>
      <c r="AB19" s="1061"/>
      <c r="AC19" s="1061"/>
      <c r="AD19" s="1061"/>
      <c r="AE19" s="1061"/>
      <c r="AF19" s="1060"/>
      <c r="AG19" s="2551"/>
      <c r="AH19" s="1976"/>
      <c r="AI19" s="561"/>
      <c r="AJ19" s="561"/>
      <c r="AK19" s="1895"/>
    </row>
    <row r="20" spans="1:37" s="1854" customFormat="1" ht="13.8">
      <c r="A20" s="3541" t="s">
        <v>3251</v>
      </c>
      <c r="B20" s="159" t="s">
        <v>1994</v>
      </c>
      <c r="C20" s="3027">
        <f>ROUND(IF(F21="与级别开发程度一致",0,(G21-E21)/C21),0)</f>
        <v>0</v>
      </c>
      <c r="D20" s="3042" t="s">
        <v>1998</v>
      </c>
      <c r="E20" s="3043"/>
      <c r="F20" s="3547" t="s">
        <v>1995</v>
      </c>
      <c r="G20" s="3548"/>
      <c r="H20" s="3028"/>
      <c r="I20" s="3028"/>
      <c r="J20" s="3029"/>
      <c r="K20" s="1885"/>
      <c r="L20" s="1885"/>
      <c r="M20" s="1885"/>
      <c r="N20" s="1885"/>
      <c r="O20" s="1886"/>
      <c r="P20" s="1840"/>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4" customFormat="1" ht="27" thickBot="1">
      <c r="A21" s="3542"/>
      <c r="B21" s="1998" t="s">
        <v>1997</v>
      </c>
      <c r="C21" s="1999">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315</v>
      </c>
      <c r="F21" s="1990" t="s">
        <v>3564</v>
      </c>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4" customFormat="1" ht="15" thickBot="1">
      <c r="A22" s="1992" t="s">
        <v>363</v>
      </c>
      <c r="B22" s="1993" t="s">
        <v>2000</v>
      </c>
      <c r="C22" s="1994">
        <f>SUMIF(修正!C20:C51,E3,修正!E20:E51)</f>
        <v>1</v>
      </c>
      <c r="D22" s="1995"/>
      <c r="E22" s="1996"/>
      <c r="F22" s="1996"/>
      <c r="G22" s="1996"/>
      <c r="H22" s="1996"/>
      <c r="I22" s="1996"/>
      <c r="J22" s="1997"/>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7" thickBot="1">
      <c r="A23" s="1888" t="s">
        <v>364</v>
      </c>
      <c r="B23" s="1889"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1.0335000000000001</v>
      </c>
      <c r="D23" s="1892" t="s">
        <v>2002</v>
      </c>
      <c r="E23" s="717">
        <v>44197</v>
      </c>
      <c r="F23" s="1892" t="s">
        <v>2003</v>
      </c>
      <c r="G23" s="718">
        <f>'数据-取费表'!B2</f>
        <v>45826</v>
      </c>
      <c r="H23" s="3044" t="s">
        <v>3252</v>
      </c>
      <c r="I23" s="3045" t="str">
        <f>IF(H23="季度增幅（自定义）",SUMIF(N25:N28,E2,O25:O28),"")</f>
        <v/>
      </c>
      <c r="J23" s="3137" t="s">
        <v>3565</v>
      </c>
      <c r="K23" s="1061"/>
      <c r="L23" s="1893" t="s">
        <v>2004</v>
      </c>
      <c r="M23" s="1240">
        <f>ROUND(SUMIF(地价!B2:G2,E2,地价!B16:G16),0)</f>
        <v>687</v>
      </c>
      <c r="N23" s="1894" t="s">
        <v>2005</v>
      </c>
      <c r="O23" s="719">
        <f>ROUNDDOWN(DATEDIF(E23,G23,"M")/3,0)</f>
        <v>17</v>
      </c>
      <c r="P23" s="1057"/>
      <c r="Q23" s="2548"/>
      <c r="R23" s="1060"/>
      <c r="S23" s="1060"/>
      <c r="T23" s="1057"/>
      <c r="U23" s="1057"/>
      <c r="V23" s="1057"/>
      <c r="W23" s="1056"/>
      <c r="X23" s="1056"/>
      <c r="Y23" s="1056"/>
      <c r="Z23" s="1061"/>
      <c r="AA23" s="1061"/>
      <c r="AB23" s="1061"/>
      <c r="AC23" s="1061"/>
      <c r="AD23" s="1061"/>
      <c r="AE23" s="1057"/>
      <c r="AF23" s="1057"/>
      <c r="AG23" s="1976"/>
      <c r="AH23" s="1976"/>
      <c r="AI23" s="1976"/>
      <c r="AJ23" s="1976"/>
      <c r="AK23" s="1891"/>
    </row>
    <row r="24" spans="1:37" s="1854" customFormat="1" ht="24.6" thickBot="1">
      <c r="A24" s="1896" t="s">
        <v>365</v>
      </c>
      <c r="B24" s="1897" t="s">
        <v>2006</v>
      </c>
      <c r="C24" s="720">
        <f>ROUND(POWER(1+G24,J24-I24)*(POWER(1+G24,I24)-1)/(POWER(1+G24,J24)-1),4)</f>
        <v>0.97909999999999997</v>
      </c>
      <c r="D24" s="1898" t="s">
        <v>2007</v>
      </c>
      <c r="E24" s="1247">
        <f>存贷款利率!E28/100</f>
        <v>4.3499999999999997E-2</v>
      </c>
      <c r="F24" s="1898" t="s">
        <v>1999</v>
      </c>
      <c r="G24" s="724">
        <f>SUMIF(M30:Q30,E2,M33:Q33)</f>
        <v>0.05</v>
      </c>
      <c r="H24" s="1898" t="s">
        <v>2008</v>
      </c>
      <c r="I24" s="725">
        <f>SUMIF('数据-取费表'!C6:C15,E2,'数据-取费表'!F6:F15)/COUNTIF('数据-取费表'!C6:C15,E2)</f>
        <v>60.17</v>
      </c>
      <c r="J24" s="726">
        <f>IF(E2="住宅",70,IF(E2="商业",40,50))</f>
        <v>70</v>
      </c>
      <c r="K24" s="1061"/>
      <c r="L24" s="1899" t="s">
        <v>2009</v>
      </c>
      <c r="M24" s="1241">
        <f>ROUND(SUMPRODUCT((地价!A4:A16=YEAR(G23)&amp;"-"&amp;ROUNDUP(MONTH(G23)/3,0))*(地价!B2:G2=E2)*(地价!B4:G16)),0)</f>
        <v>0</v>
      </c>
      <c r="N24" s="1900" t="s">
        <v>2010</v>
      </c>
      <c r="O24" s="1901" t="s">
        <v>2011</v>
      </c>
      <c r="P24" s="1902" t="s">
        <v>2012</v>
      </c>
      <c r="Q24" s="1840"/>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4.4">
      <c r="A25" s="1903" t="s">
        <v>366</v>
      </c>
      <c r="B25" s="1904" t="s">
        <v>3331</v>
      </c>
      <c r="C25" s="461">
        <f>IF(B25="容积率修正",IF(G3&lt;10,D26,J26),C27)</f>
        <v>1.0296000000000001</v>
      </c>
      <c r="D25" s="1905"/>
      <c r="E25" s="1905"/>
      <c r="F25" s="1905"/>
      <c r="G25" s="1905"/>
      <c r="H25" s="1905"/>
      <c r="I25" s="1905"/>
      <c r="J25" s="1906"/>
      <c r="K25" s="1061"/>
      <c r="L25" s="2548"/>
      <c r="M25" s="2548"/>
      <c r="N25" s="1907" t="s">
        <v>2013</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6"/>
      <c r="AH25" s="1976"/>
      <c r="AI25" s="1976"/>
      <c r="AJ25" s="1976"/>
    </row>
    <row r="26" spans="1:37" ht="14.4">
      <c r="A26" s="1802" t="s">
        <v>2014</v>
      </c>
      <c r="B26" s="1908" t="s">
        <v>2015</v>
      </c>
      <c r="C26" s="1908" t="s">
        <v>3253</v>
      </c>
      <c r="D26" s="1262">
        <f>IF(E26=G26,F26,IF(G3&lt;10,ROUND(F26+(H26-F26)*(G3-E26)/(G26-E26),4),"——"))</f>
        <v>1.0296000000000001</v>
      </c>
      <c r="E26" s="708">
        <f>ROUNDDOWN(G3,1)</f>
        <v>2.2000000000000002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1.0296000000000001</v>
      </c>
      <c r="G26" s="708">
        <f>ROUNDUP(G3,1)</f>
        <v>2.2000000000000002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1.0296000000000001</v>
      </c>
      <c r="I26" s="1908" t="s">
        <v>3254</v>
      </c>
      <c r="J26" s="374" t="str">
        <f>IF(G3&gt;=10,D115,"——")</f>
        <v>——</v>
      </c>
      <c r="K26" s="1061"/>
      <c r="L26" s="2548"/>
      <c r="M26" s="2548"/>
      <c r="N26" s="1907" t="s">
        <v>2016</v>
      </c>
      <c r="O26" s="1093"/>
      <c r="P26" s="1094">
        <f>SUMPRODUCT((地价!A3:A40=YEAR(G23)&amp;"-"&amp;ROUNDUP(MONTH(G23)/3,0))*(地价!AD2:AH2=N26)*(地价!AD3:AH40))</f>
        <v>0</v>
      </c>
      <c r="Q26" s="1840"/>
      <c r="R26" s="1060"/>
      <c r="S26" s="1060"/>
      <c r="T26" s="1057"/>
      <c r="U26" s="1057"/>
      <c r="V26" s="1057"/>
      <c r="W26" s="1056"/>
      <c r="X26" s="1056"/>
      <c r="Y26" s="1056"/>
      <c r="Z26" s="1061"/>
      <c r="AA26" s="1061"/>
      <c r="AB26" s="1061"/>
      <c r="AC26" s="1061"/>
      <c r="AD26" s="1061"/>
      <c r="AE26" s="1057"/>
      <c r="AF26" s="1057"/>
      <c r="AG26" s="1976"/>
      <c r="AH26" s="1976"/>
      <c r="AI26" s="1976"/>
      <c r="AJ26" s="1976"/>
    </row>
    <row r="27" spans="1:37" ht="15" thickBot="1">
      <c r="A27" s="1802" t="s">
        <v>2017</v>
      </c>
      <c r="B27" s="1909" t="s">
        <v>2018</v>
      </c>
      <c r="C27" s="791">
        <f>ROUND(IF(I3&lt;6,SUMPRODUCT((B106:B110=I3)*(C105:N105=G2)*(C106:N110)),SUMIF(C105:N105,G2,C112:N112)),4)</f>
        <v>0</v>
      </c>
      <c r="D27" s="1838"/>
      <c r="E27" s="1838"/>
      <c r="F27" s="1910"/>
      <c r="G27" s="1911"/>
      <c r="H27" s="1912"/>
      <c r="I27" s="1913"/>
      <c r="J27" s="1914"/>
      <c r="K27" s="1056"/>
      <c r="L27" s="1840"/>
      <c r="M27" s="1840"/>
      <c r="N27" s="1907" t="s">
        <v>2019</v>
      </c>
      <c r="O27" s="1093"/>
      <c r="P27" s="1094">
        <f>SUMPRODUCT((地价!A3:A40=YEAR(G23)&amp;"-"&amp;ROUNDUP(MONTH(G23)/3,0))*(地价!AD2:AH2=N27)*(地价!AD3:AH40))</f>
        <v>0</v>
      </c>
      <c r="Q27" s="1840"/>
      <c r="R27" s="1060"/>
      <c r="S27" s="1060"/>
      <c r="T27" s="1057"/>
      <c r="U27" s="1057"/>
      <c r="V27" s="1057"/>
      <c r="W27" s="1056"/>
      <c r="X27" s="1056"/>
      <c r="Y27" s="1056"/>
      <c r="Z27" s="1061"/>
      <c r="AA27" s="1061"/>
      <c r="AB27" s="1061"/>
      <c r="AC27" s="1061"/>
      <c r="AD27" s="1061"/>
      <c r="AE27" s="1057"/>
      <c r="AF27" s="1057"/>
      <c r="AG27" s="1976"/>
      <c r="AH27" s="1976"/>
      <c r="AI27" s="1976"/>
      <c r="AJ27" s="1976"/>
    </row>
    <row r="28" spans="1:37" ht="15" thickBot="1">
      <c r="A28" s="1896" t="s">
        <v>367</v>
      </c>
      <c r="B28" s="1889" t="s">
        <v>2020</v>
      </c>
      <c r="C28" s="716">
        <f>SUMIF(A47:A101,E2,B47:B101)</f>
        <v>1.0642</v>
      </c>
      <c r="D28" s="1890"/>
      <c r="E28" s="1915"/>
      <c r="F28" s="1915"/>
      <c r="G28" s="1915"/>
      <c r="H28" s="1915"/>
      <c r="I28" s="1915"/>
      <c r="J28" s="1916"/>
      <c r="K28" s="1061"/>
      <c r="L28" s="2548"/>
      <c r="M28" s="2548"/>
      <c r="N28" s="1917"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6"/>
      <c r="AH28" s="1976"/>
      <c r="AI28" s="1976"/>
      <c r="AJ28" s="1976"/>
    </row>
    <row r="29" spans="1:37" ht="15" thickBot="1">
      <c r="A29" s="1896" t="s">
        <v>368</v>
      </c>
      <c r="B29" s="1918" t="s">
        <v>2022</v>
      </c>
      <c r="C29" s="721"/>
      <c r="D29" s="1864"/>
      <c r="E29" s="1864"/>
      <c r="F29" s="1919"/>
      <c r="G29" s="1864"/>
      <c r="H29" s="1864"/>
      <c r="I29" s="1864"/>
      <c r="J29" s="1865"/>
      <c r="K29" s="1056"/>
      <c r="L29" s="1840"/>
      <c r="M29" s="1840"/>
      <c r="N29" s="2545" t="s">
        <v>2023</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0"/>
      <c r="AH29" s="1840"/>
      <c r="AI29" s="1840"/>
      <c r="AJ29" s="1840"/>
    </row>
    <row r="30" spans="1:37" ht="14.4">
      <c r="A30" s="1920"/>
      <c r="B30" s="1908" t="s">
        <v>2024</v>
      </c>
      <c r="C30" s="2141">
        <f>IF(B25="容积率修正",E33+SUM(E37:E42),SUM(V2:V16)+SUM(E37:E42))</f>
        <v>5</v>
      </c>
      <c r="D30" s="1921"/>
      <c r="E30" s="1838"/>
      <c r="F30" s="1922"/>
      <c r="G30" s="1838"/>
      <c r="H30" s="1838"/>
      <c r="I30" s="1838"/>
      <c r="J30" s="1923"/>
      <c r="K30" s="1056"/>
      <c r="L30" s="3051" t="s">
        <v>1936</v>
      </c>
      <c r="M30" s="3052" t="s">
        <v>1990</v>
      </c>
      <c r="N30" s="3052" t="s">
        <v>1991</v>
      </c>
      <c r="O30" s="3052" t="s">
        <v>1992</v>
      </c>
      <c r="P30" s="3052" t="s">
        <v>1993</v>
      </c>
      <c r="Q30" s="3055" t="s">
        <v>3258</v>
      </c>
      <c r="R30" s="1060"/>
      <c r="S30" s="1060"/>
      <c r="T30" s="1057"/>
      <c r="U30" s="1057"/>
      <c r="V30" s="1057"/>
      <c r="W30" s="1056"/>
      <c r="X30" s="1056"/>
      <c r="Y30" s="1056"/>
      <c r="Z30" s="1061"/>
      <c r="AA30" s="1061"/>
      <c r="AB30" s="1061"/>
      <c r="AC30" s="1061"/>
      <c r="AD30" s="1061"/>
      <c r="AE30" s="1056"/>
      <c r="AF30" s="1056"/>
      <c r="AG30" s="1840"/>
      <c r="AH30" s="1840"/>
      <c r="AI30" s="1840"/>
      <c r="AJ30" s="1840"/>
    </row>
    <row r="31" spans="1:37" ht="15" thickBot="1">
      <c r="A31" s="1920"/>
      <c r="B31" s="1924" t="s">
        <v>2025</v>
      </c>
      <c r="C31" s="722">
        <f>E34+SUM(I37:I42)</f>
        <v>1</v>
      </c>
      <c r="D31" s="1925"/>
      <c r="E31" s="1926"/>
      <c r="F31" s="1927"/>
      <c r="G31" s="1926"/>
      <c r="H31" s="1926"/>
      <c r="I31" s="1926"/>
      <c r="J31" s="1928"/>
      <c r="K31" s="1056"/>
      <c r="L31" s="3053" t="s">
        <v>1996</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0"/>
      <c r="AH31" s="1840"/>
      <c r="AI31" s="1840"/>
      <c r="AJ31" s="1840"/>
    </row>
    <row r="32" spans="1:37" ht="15" thickBot="1">
      <c r="A32" s="1929"/>
      <c r="B32" s="1930" t="s">
        <v>2026</v>
      </c>
      <c r="C32" s="1931" t="s">
        <v>2027</v>
      </c>
      <c r="D32" s="1931" t="s">
        <v>2028</v>
      </c>
      <c r="E32" s="1932" t="s">
        <v>2029</v>
      </c>
      <c r="F32" s="1933"/>
      <c r="G32" s="1877"/>
      <c r="H32" s="1877"/>
      <c r="I32" s="1877"/>
      <c r="J32" s="1878"/>
      <c r="K32" s="1056"/>
      <c r="L32" s="3054" t="s">
        <v>1999</v>
      </c>
      <c r="M32" s="2352">
        <f>ROUND($E$24*(1+M31),3)</f>
        <v>5.3999999999999999E-2</v>
      </c>
      <c r="N32" s="2352">
        <f>ROUND($E$24*(1+N31),3)</f>
        <v>5.1999999999999998E-2</v>
      </c>
      <c r="O32" s="2352">
        <f>ROUND($E$24*(1+O31),3)</f>
        <v>0.05</v>
      </c>
      <c r="P32" s="2352">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0"/>
      <c r="AH32" s="1840"/>
      <c r="AI32" s="1840"/>
      <c r="AJ32" s="1840"/>
    </row>
    <row r="33" spans="1:37" ht="13.8">
      <c r="A33" s="1934"/>
      <c r="B33" s="1935" t="s">
        <v>2030</v>
      </c>
      <c r="C33" s="167">
        <f>ROUND(C5*C22*C23*C24*C25*C28,0)</f>
        <v>13997</v>
      </c>
      <c r="D33" s="1936"/>
      <c r="E33" s="727">
        <f>ROUND(C33*D33/10000,0)</f>
        <v>0</v>
      </c>
      <c r="F33" s="3046" t="s">
        <v>3256</v>
      </c>
      <c r="G33" s="1937"/>
      <c r="H33" s="1937"/>
      <c r="I33" s="1937"/>
      <c r="J33" s="1938"/>
      <c r="K33" s="1056"/>
      <c r="L33" s="3049" t="s">
        <v>3259</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6"/>
      <c r="AH33" s="1976"/>
      <c r="AI33" s="1976"/>
      <c r="AJ33" s="1976"/>
    </row>
    <row r="34" spans="1:37" ht="25.8" thickBot="1">
      <c r="A34" s="1939"/>
      <c r="B34" s="1940" t="s">
        <v>2031</v>
      </c>
      <c r="C34" s="179">
        <f>ROUND(IF(E2="工业",C33*M42,IF(B25="楼层修正",SUM(V2:V16)*M41*10000/D34,C33*M41)),0)</f>
        <v>3499</v>
      </c>
      <c r="D34" s="1941"/>
      <c r="E34" s="727">
        <f>ROUND(IF(B25="楼层修正",SUM(V2:V16)*M40,C34*D34/10000),0)</f>
        <v>0</v>
      </c>
      <c r="F34" s="1942" t="s">
        <v>2032</v>
      </c>
      <c r="G34" s="1943"/>
      <c r="H34" s="1943"/>
      <c r="I34" s="1943"/>
      <c r="J34" s="1944"/>
      <c r="K34" s="1056"/>
      <c r="L34" s="3049" t="s">
        <v>3260</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6"/>
      <c r="AH34" s="1976"/>
      <c r="AI34" s="1976"/>
      <c r="AJ34" s="1976"/>
    </row>
    <row r="35" spans="1:37">
      <c r="A35" s="1945"/>
      <c r="B35" s="1946" t="s">
        <v>2033</v>
      </c>
      <c r="C35" s="3047" t="s">
        <v>3257</v>
      </c>
      <c r="D35" s="1877"/>
      <c r="E35" s="1947"/>
      <c r="F35" s="1947"/>
      <c r="G35" s="1875" t="s">
        <v>2034</v>
      </c>
      <c r="H35" s="1877"/>
      <c r="I35" s="1948"/>
      <c r="J35" s="1878"/>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6"/>
      <c r="AH35" s="1976"/>
      <c r="AI35" s="1976"/>
      <c r="AJ35" s="1976"/>
    </row>
    <row r="36" spans="1:37" ht="36.6" thickBot="1">
      <c r="A36" s="1934"/>
      <c r="B36" s="1949"/>
      <c r="C36" s="436" t="s">
        <v>2027</v>
      </c>
      <c r="D36" s="433" t="s">
        <v>2028</v>
      </c>
      <c r="E36" s="433" t="s">
        <v>2029</v>
      </c>
      <c r="F36" s="333" t="s">
        <v>2035</v>
      </c>
      <c r="G36" s="1950" t="s">
        <v>2027</v>
      </c>
      <c r="H36" s="1950" t="s">
        <v>2028</v>
      </c>
      <c r="I36" s="1950" t="s">
        <v>2029</v>
      </c>
      <c r="J36" s="235"/>
      <c r="K36" s="1960" t="s">
        <v>3261</v>
      </c>
      <c r="L36" s="3138">
        <f ca="1">'数据-取费表'!B40</f>
        <v>0.03</v>
      </c>
      <c r="M36" s="2362">
        <f ca="1">ROUND($L$36*(1+M31),3)</f>
        <v>3.7999999999999999E-2</v>
      </c>
      <c r="N36" s="2362">
        <f ca="1">ROUND($L$36*(1+N31),3)</f>
        <v>3.5999999999999997E-2</v>
      </c>
      <c r="O36" s="2362">
        <f ca="1">ROUND($L$36*(1+O31),3)</f>
        <v>3.5000000000000003E-2</v>
      </c>
      <c r="P36" s="2362">
        <f ca="1">ROUND($L$36*(1+P31),3)</f>
        <v>3.3000000000000002E-2</v>
      </c>
      <c r="Q36" s="2362">
        <f ca="1">ROUND($L$36*(1+Q31),3)</f>
        <v>3.5000000000000003E-2</v>
      </c>
      <c r="R36" s="1056"/>
      <c r="S36" s="1056"/>
      <c r="T36" s="1056"/>
      <c r="U36" s="1056"/>
      <c r="V36" s="1056"/>
      <c r="W36" s="1056"/>
      <c r="X36" s="1056"/>
      <c r="Y36" s="1056"/>
      <c r="Z36" s="1057"/>
      <c r="AA36" s="1057"/>
      <c r="AB36" s="1057"/>
      <c r="AC36" s="1057"/>
      <c r="AD36" s="1057"/>
      <c r="AE36" s="1057"/>
      <c r="AF36" s="1057"/>
      <c r="AG36" s="1976"/>
      <c r="AH36" s="1976"/>
      <c r="AI36" s="1976"/>
      <c r="AJ36" s="1976"/>
    </row>
    <row r="37" spans="1:37" ht="24.6" thickBot="1">
      <c r="A37" s="3545"/>
      <c r="B37" s="1951" t="s">
        <v>2036</v>
      </c>
      <c r="C37" s="167">
        <f>ROUND(D5*C22*C23*C24*C28*F37,0)</f>
        <v>7062</v>
      </c>
      <c r="D37" s="1936"/>
      <c r="E37" s="163">
        <f>ROUND(C37*D37/10000,0)</f>
        <v>0</v>
      </c>
      <c r="F37" s="163">
        <f>SUMIF(修正!A57:A68,G2,修正!B57:B68)</f>
        <v>0.6</v>
      </c>
      <c r="G37" s="163">
        <f>ROUND(IF(E2="工业",C37*$M$42,C37*$M$41),0)</f>
        <v>1766</v>
      </c>
      <c r="H37" s="163">
        <f>D37</f>
        <v>0</v>
      </c>
      <c r="I37" s="163">
        <f>ROUND(G37*H37/10000,0)</f>
        <v>0</v>
      </c>
      <c r="J37" s="2750"/>
      <c r="K37" s="3057" t="s">
        <v>3262</v>
      </c>
      <c r="L37" s="1960">
        <f ca="1">L36+K38</f>
        <v>3.4999999999999996E-2</v>
      </c>
      <c r="M37" s="2362">
        <f ca="1">ROUND($L$37*(1+M31),3)</f>
        <v>4.3999999999999997E-2</v>
      </c>
      <c r="N37" s="2362">
        <f t="shared" ref="N37:Q37" ca="1" si="3">ROUND($L$37*(1+N31),3)</f>
        <v>4.2000000000000003E-2</v>
      </c>
      <c r="O37" s="2362">
        <f t="shared" ca="1" si="3"/>
        <v>0.04</v>
      </c>
      <c r="P37" s="2362">
        <f t="shared" ca="1" si="3"/>
        <v>3.9E-2</v>
      </c>
      <c r="Q37" s="2362">
        <f t="shared" ca="1" si="3"/>
        <v>0.04</v>
      </c>
      <c r="R37" s="1056"/>
      <c r="S37" s="1056"/>
      <c r="T37" s="1056"/>
      <c r="U37" s="1056"/>
      <c r="V37" s="1056"/>
      <c r="W37" s="1056"/>
      <c r="X37" s="1056"/>
      <c r="Y37" s="1056"/>
      <c r="Z37" s="1057"/>
      <c r="AA37" s="1057"/>
      <c r="AB37" s="1057"/>
      <c r="AC37" s="1057"/>
      <c r="AD37" s="1057"/>
      <c r="AE37" s="1057"/>
      <c r="AF37" s="1057"/>
      <c r="AG37" s="1976"/>
      <c r="AH37" s="1976"/>
      <c r="AI37" s="1976"/>
      <c r="AJ37" s="1976"/>
    </row>
    <row r="38" spans="1:37">
      <c r="A38" s="3546"/>
      <c r="B38" s="1880" t="s">
        <v>2037</v>
      </c>
      <c r="C38" s="167">
        <f>ROUND(D5*C22*C23*C24*C28*F38,0)</f>
        <v>3531</v>
      </c>
      <c r="D38" s="1936"/>
      <c r="E38" s="163">
        <f t="shared" ref="E38:E42" si="4">ROUND(C38*D38/10000,0)</f>
        <v>0</v>
      </c>
      <c r="F38" s="163">
        <f>SUMIF(修正!A57:A68,G2,修正!C57:C68)</f>
        <v>0.3</v>
      </c>
      <c r="G38" s="163">
        <f>ROUND(IF(E2="工业",C38*$M$42,C38*$M$41),0)</f>
        <v>883</v>
      </c>
      <c r="H38" s="163">
        <f t="shared" ref="H38:H42" si="5">D38</f>
        <v>0</v>
      </c>
      <c r="I38" s="163">
        <f t="shared" ref="I38:I42" si="6">ROUND(G38*H38/10000,0)</f>
        <v>0</v>
      </c>
      <c r="J38" s="2749"/>
      <c r="K38" s="1960">
        <v>5.0000000000000001E-3</v>
      </c>
      <c r="L38" s="1960"/>
      <c r="M38" s="1960"/>
      <c r="N38" s="1960"/>
      <c r="O38" s="1960"/>
      <c r="P38" s="1960"/>
      <c r="Q38" s="1960"/>
      <c r="R38" s="1056"/>
      <c r="S38" s="1056"/>
      <c r="T38" s="1056"/>
      <c r="U38" s="1056"/>
      <c r="V38" s="1056"/>
      <c r="W38" s="1056"/>
      <c r="X38" s="1056"/>
      <c r="Y38" s="1056"/>
      <c r="Z38" s="1057"/>
      <c r="AA38" s="1057"/>
      <c r="AB38" s="1057"/>
      <c r="AC38" s="1057"/>
      <c r="AD38" s="1057"/>
    </row>
    <row r="39" spans="1:37" ht="13.8" thickBot="1">
      <c r="A39" s="3546"/>
      <c r="B39" s="1880" t="s">
        <v>3255</v>
      </c>
      <c r="C39" s="167">
        <f>ROUND(D5*C22*C23*C24*C28*F39,0)</f>
        <v>2943</v>
      </c>
      <c r="D39" s="1936"/>
      <c r="E39" s="163">
        <f t="shared" si="4"/>
        <v>0</v>
      </c>
      <c r="F39" s="163">
        <f>SUMIF(修正!A57:A68,G2,修正!D57:D68)</f>
        <v>0.25</v>
      </c>
      <c r="G39" s="163">
        <f>ROUND(IF(E2="工业",C39*$M$42,C39*$M$41),0)</f>
        <v>736</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2"/>
      <c r="B40" s="1880" t="s">
        <v>2038</v>
      </c>
      <c r="C40" s="163">
        <f>ROUND(D5*C22*C23*C24*C28*F40,0)</f>
        <v>2943</v>
      </c>
      <c r="D40" s="1936"/>
      <c r="E40" s="163">
        <f t="shared" si="4"/>
        <v>0</v>
      </c>
      <c r="F40" s="167">
        <f>SUMIF(修正!A57:A68,G2,修正!E57:E68)</f>
        <v>0.25</v>
      </c>
      <c r="G40" s="163">
        <f>ROUND(IF(E2="工业",C40*$M$42,C40*$M$41),0)</f>
        <v>736</v>
      </c>
      <c r="H40" s="163">
        <f t="shared" si="5"/>
        <v>0</v>
      </c>
      <c r="I40" s="163">
        <f t="shared" si="6"/>
        <v>0</v>
      </c>
      <c r="J40" s="939"/>
      <c r="L40" s="1953" t="s">
        <v>2039</v>
      </c>
      <c r="M40" s="1954"/>
      <c r="Z40" s="1057"/>
      <c r="AA40" s="1057"/>
      <c r="AB40" s="1057"/>
      <c r="AC40" s="1057"/>
      <c r="AD40" s="1057"/>
      <c r="AE40" s="1057"/>
      <c r="AF40" s="1057"/>
      <c r="AG40" s="1057"/>
      <c r="AH40" s="1057"/>
      <c r="AI40" s="1057"/>
      <c r="AJ40" s="1057"/>
    </row>
    <row r="41" spans="1:37" s="1056" customFormat="1">
      <c r="A41" s="1952"/>
      <c r="B41" s="1880" t="s">
        <v>2040</v>
      </c>
      <c r="C41" s="163">
        <f>ROUND(D5*C22*C23*C44*C28*F41,0)</f>
        <v>2828</v>
      </c>
      <c r="D41" s="1936"/>
      <c r="E41" s="163">
        <f t="shared" si="4"/>
        <v>0</v>
      </c>
      <c r="F41" s="167">
        <f>SUMIF(修正!A57:A68,G2,修正!F57:F68)</f>
        <v>0.25</v>
      </c>
      <c r="G41" s="163">
        <f>ROUND(IF(E2="工业",C41*$M$42,C41*$M$41),0)</f>
        <v>707</v>
      </c>
      <c r="H41" s="163">
        <f t="shared" si="5"/>
        <v>0</v>
      </c>
      <c r="I41" s="163">
        <f t="shared" si="6"/>
        <v>0</v>
      </c>
      <c r="J41" s="939"/>
      <c r="L41" s="3058" t="s">
        <v>3263</v>
      </c>
      <c r="M41" s="1955">
        <v>0.25</v>
      </c>
      <c r="Z41" s="1057"/>
      <c r="AA41" s="1057"/>
      <c r="AB41" s="1057"/>
      <c r="AC41" s="1057"/>
      <c r="AD41" s="1057"/>
      <c r="AE41" s="1057"/>
      <c r="AF41" s="1057"/>
      <c r="AG41" s="1057"/>
      <c r="AH41" s="1057"/>
      <c r="AI41" s="1057"/>
      <c r="AJ41" s="1057"/>
    </row>
    <row r="42" spans="1:37" s="1056" customFormat="1" ht="13.8" thickBot="1">
      <c r="A42" s="1939"/>
      <c r="B42" s="1956" t="s">
        <v>2041</v>
      </c>
      <c r="C42" s="179">
        <f>ROUND(D5*C22*C23*C44*C28*F42,0)</f>
        <v>1697</v>
      </c>
      <c r="D42" s="1941">
        <f>'数据-汇总表'!E20</f>
        <v>30.74</v>
      </c>
      <c r="E42" s="179">
        <f t="shared" si="4"/>
        <v>5</v>
      </c>
      <c r="F42" s="723">
        <f>SUMIF(修正!A57:A68,G2,修正!G57:G68)</f>
        <v>0.15</v>
      </c>
      <c r="G42" s="179">
        <f>ROUND(IF(E2="工业",C42*$M$42,C42*$M$41),0)</f>
        <v>424</v>
      </c>
      <c r="H42" s="179">
        <f t="shared" si="5"/>
        <v>30.74</v>
      </c>
      <c r="I42" s="179">
        <f t="shared" si="6"/>
        <v>1</v>
      </c>
      <c r="J42" s="1957"/>
      <c r="L42" s="1958" t="s">
        <v>1993</v>
      </c>
      <c r="M42" s="1959">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88" t="s">
        <v>2119</v>
      </c>
      <c r="C44" s="333">
        <f>ROUND(POWER(1+E44,H44-G44)*(POWER(1+E44,G44)-1)/(POWER(1+E44,H44)-1),4)</f>
        <v>0.94110000000000005</v>
      </c>
      <c r="D44" s="163" t="s">
        <v>1999</v>
      </c>
      <c r="E44" s="1987">
        <f>G24</f>
        <v>0.05</v>
      </c>
      <c r="F44" s="163" t="s">
        <v>2008</v>
      </c>
      <c r="G44" s="175">
        <f>项目基本情况!F15</f>
        <v>40.15</v>
      </c>
      <c r="H44" s="163">
        <v>50</v>
      </c>
      <c r="Z44" s="1057"/>
      <c r="AA44" s="1057"/>
      <c r="AB44" s="1057"/>
      <c r="AC44" s="1057"/>
      <c r="AD44" s="1057"/>
      <c r="AE44" s="1057"/>
      <c r="AF44" s="1057"/>
      <c r="AG44" s="1057"/>
      <c r="AH44" s="1057"/>
      <c r="AI44" s="1057"/>
      <c r="AJ44" s="1057"/>
    </row>
    <row r="45" spans="1:37" s="1056" customFormat="1">
      <c r="A45" s="1057"/>
      <c r="B45" s="1960"/>
      <c r="Z45" s="1057"/>
      <c r="AA45" s="1057"/>
      <c r="AB45" s="1057"/>
      <c r="AC45" s="1057"/>
      <c r="AD45" s="1057"/>
      <c r="AE45" s="1057"/>
      <c r="AF45" s="1057"/>
      <c r="AG45" s="1057"/>
      <c r="AH45" s="1057"/>
      <c r="AI45" s="1057"/>
      <c r="AJ45" s="1057"/>
    </row>
    <row r="46" spans="1:37" s="1056" customFormat="1">
      <c r="A46" s="1057"/>
      <c r="B46" s="1960"/>
      <c r="AA46" s="1057"/>
      <c r="AB46" s="1057"/>
      <c r="AC46" s="1057"/>
      <c r="AD46" s="1057"/>
      <c r="AE46" s="1057"/>
      <c r="AF46" s="1057"/>
      <c r="AG46" s="1057"/>
      <c r="AH46" s="1057"/>
      <c r="AI46" s="1057"/>
      <c r="AJ46" s="1057"/>
      <c r="AK46" s="1057"/>
    </row>
    <row r="47" spans="1:37" s="1056" customFormat="1" ht="15" thickBot="1">
      <c r="A47" s="1961" t="s">
        <v>2042</v>
      </c>
      <c r="B47" s="1962"/>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4.4">
      <c r="A48" s="1963" t="s">
        <v>2043</v>
      </c>
      <c r="B48" s="1964">
        <f>1+E50</f>
        <v>1</v>
      </c>
      <c r="C48" s="1725"/>
      <c r="D48" s="699"/>
      <c r="E48" s="700"/>
      <c r="F48" s="1965"/>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5.2">
      <c r="A49" s="1966" t="s">
        <v>2044</v>
      </c>
      <c r="B49" s="1261" t="s">
        <v>2045</v>
      </c>
      <c r="C49" s="1261" t="s">
        <v>2046</v>
      </c>
      <c r="D49" s="1261" t="s">
        <v>2047</v>
      </c>
      <c r="E49" s="701" t="s">
        <v>2048</v>
      </c>
      <c r="F49" s="1967" t="s">
        <v>2049</v>
      </c>
      <c r="G49" s="1261" t="s">
        <v>310</v>
      </c>
      <c r="H49" s="1968"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6" t="s">
        <v>2052</v>
      </c>
      <c r="B50" s="1969" t="str">
        <f>估价对象房地状况!C4</f>
        <v>估价对象位于XX商圈，周边商业氛围成熟，人流量大，商业繁华度好</v>
      </c>
      <c r="C50" s="1883"/>
      <c r="D50" s="1002">
        <f t="shared" ref="D50:D58" si="7">SUMIF($J$49:$N$49,C50,J50:N50)</f>
        <v>0</v>
      </c>
      <c r="E50" s="702">
        <f>ROUND(SUM(D50:D58),4)</f>
        <v>0</v>
      </c>
      <c r="F50" s="1674"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6" t="s">
        <v>2053</v>
      </c>
      <c r="B51" s="1261" t="str">
        <f>估价对象房地状况!C18</f>
        <v>估价对象周边道路状况、公共交通通达情况、停车便捷程度，综合评价交通便捷度较好</v>
      </c>
      <c r="C51" s="1883"/>
      <c r="D51" s="1002">
        <f t="shared" si="7"/>
        <v>0</v>
      </c>
      <c r="E51" s="703"/>
      <c r="F51" s="1674"/>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6" t="s">
        <v>3265</v>
      </c>
      <c r="B52" s="1261">
        <f>估价对象房地状况!C19</f>
        <v>0</v>
      </c>
      <c r="C52" s="1883"/>
      <c r="D52" s="1002">
        <f t="shared" si="7"/>
        <v>0</v>
      </c>
      <c r="E52" s="703"/>
      <c r="F52" s="1674"/>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6" t="s">
        <v>2054</v>
      </c>
      <c r="B53" s="1970" t="s">
        <v>2055</v>
      </c>
      <c r="C53" s="1883"/>
      <c r="D53" s="1002">
        <f t="shared" si="7"/>
        <v>0</v>
      </c>
      <c r="E53" s="703"/>
      <c r="F53" s="1674"/>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6" t="s">
        <v>2056</v>
      </c>
      <c r="B54" s="1261">
        <f>估价对象房地状况!C24</f>
        <v>0</v>
      </c>
      <c r="C54" s="1883"/>
      <c r="D54" s="1002">
        <f t="shared" si="7"/>
        <v>0</v>
      </c>
      <c r="E54" s="703"/>
      <c r="F54" s="1674"/>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6" t="s">
        <v>2057</v>
      </c>
      <c r="B55" s="1971" t="s">
        <v>2058</v>
      </c>
      <c r="C55" s="1883"/>
      <c r="D55" s="1002">
        <f t="shared" si="7"/>
        <v>0</v>
      </c>
      <c r="E55" s="703"/>
      <c r="F55" s="1674"/>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2" t="s">
        <v>2059</v>
      </c>
      <c r="B56" s="1239" t="str">
        <f>估价对象房地状况!C21</f>
        <v>估价对象所在区域公共配套设施齐备情况</v>
      </c>
      <c r="C56" s="1883"/>
      <c r="D56" s="1002">
        <f t="shared" si="7"/>
        <v>0</v>
      </c>
      <c r="E56" s="703"/>
      <c r="F56" s="1674"/>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2" t="s">
        <v>2060</v>
      </c>
      <c r="B57" s="1261" t="str">
        <f>估价对象房地状况!C22</f>
        <v>估价对象所在区域基础设施水平</v>
      </c>
      <c r="C57" s="1883"/>
      <c r="D57" s="1002">
        <f t="shared" si="7"/>
        <v>0</v>
      </c>
      <c r="E57" s="703"/>
      <c r="F57" s="1674"/>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3" t="s">
        <v>2061</v>
      </c>
      <c r="B58" s="1974" t="str">
        <f>估价对象房地状况!C20</f>
        <v>区域自然环境：；人文环境；综合评价环境状况一般</v>
      </c>
      <c r="C58" s="1883"/>
      <c r="D58" s="1002">
        <f t="shared" si="7"/>
        <v>0</v>
      </c>
      <c r="E58" s="704"/>
      <c r="F58" s="1674"/>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3" t="s">
        <v>2062</v>
      </c>
      <c r="B59" s="1964">
        <f>1+E61</f>
        <v>1</v>
      </c>
      <c r="C59" s="699"/>
      <c r="D59" s="699"/>
      <c r="E59" s="700"/>
      <c r="F59" s="1965"/>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6" t="s">
        <v>2044</v>
      </c>
      <c r="B60" s="1261"/>
      <c r="C60" s="1261" t="s">
        <v>2046</v>
      </c>
      <c r="D60" s="1261" t="s">
        <v>2047</v>
      </c>
      <c r="E60" s="701" t="s">
        <v>2048</v>
      </c>
      <c r="F60" s="1967" t="s">
        <v>2063</v>
      </c>
      <c r="G60" s="1261" t="s">
        <v>310</v>
      </c>
      <c r="H60" s="1968"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6" t="s">
        <v>2064</v>
      </c>
      <c r="B61" s="1969" t="str">
        <f>估价对象房地状况!C17</f>
        <v>估价对象位于XX商圈，周边办公楼项目较多，入驻率高，办公集聚程度较好</v>
      </c>
      <c r="C61" s="1883"/>
      <c r="D61" s="1002">
        <f t="shared" ref="D61:D69" si="12">SUMIF($J$60:$N$60,C61,J61:N61)</f>
        <v>0</v>
      </c>
      <c r="E61" s="702">
        <f>ROUND(SUM(D61:D69),4)</f>
        <v>0</v>
      </c>
      <c r="F61" s="1674" t="str">
        <f>IF(E2="办公",SUMIF(L1:L12,G2,N1:N12),"——")</f>
        <v>——</v>
      </c>
      <c r="G61" s="1000"/>
      <c r="H61" s="1003" t="str">
        <f t="shared" ref="H61:H69" si="13">IFERROR(ROUNDDOWN($F$61*I61/2,4),"——")</f>
        <v>——</v>
      </c>
      <c r="I61" s="3064">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6" t="s">
        <v>2053</v>
      </c>
      <c r="B62" s="1261" t="str">
        <f>估价对象房地状况!C18</f>
        <v>估价对象周边道路状况、公共交通通达情况、停车便捷程度，综合评价交通便捷度较好</v>
      </c>
      <c r="C62" s="1883"/>
      <c r="D62" s="1002">
        <f t="shared" si="12"/>
        <v>0</v>
      </c>
      <c r="E62" s="703"/>
      <c r="F62" s="1674"/>
      <c r="G62" s="1000"/>
      <c r="H62" s="1003" t="str">
        <f t="shared" si="13"/>
        <v>——</v>
      </c>
      <c r="I62" s="3064">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6" t="s">
        <v>3265</v>
      </c>
      <c r="B63" s="1261">
        <f>估价对象房地状况!C19</f>
        <v>0</v>
      </c>
      <c r="C63" s="1883"/>
      <c r="D63" s="1002">
        <f t="shared" si="12"/>
        <v>0</v>
      </c>
      <c r="E63" s="703"/>
      <c r="F63" s="1674"/>
      <c r="G63" s="1000"/>
      <c r="H63" s="1003" t="str">
        <f t="shared" si="13"/>
        <v>——</v>
      </c>
      <c r="I63" s="3064">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6" t="s">
        <v>2054</v>
      </c>
      <c r="B64" s="1970" t="s">
        <v>2055</v>
      </c>
      <c r="C64" s="1883"/>
      <c r="D64" s="1002">
        <f t="shared" si="12"/>
        <v>0</v>
      </c>
      <c r="E64" s="703"/>
      <c r="F64" s="1674"/>
      <c r="G64" s="1000"/>
      <c r="H64" s="1003" t="str">
        <f t="shared" si="13"/>
        <v>——</v>
      </c>
      <c r="I64" s="3064">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6" t="s">
        <v>2056</v>
      </c>
      <c r="B65" s="1261">
        <f>估价对象房地状况!C24</f>
        <v>0</v>
      </c>
      <c r="C65" s="1883"/>
      <c r="D65" s="1002">
        <f t="shared" si="12"/>
        <v>0</v>
      </c>
      <c r="E65" s="703"/>
      <c r="F65" s="1674"/>
      <c r="G65" s="1000"/>
      <c r="H65" s="1003" t="str">
        <f t="shared" si="13"/>
        <v>——</v>
      </c>
      <c r="I65" s="3064">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6" t="s">
        <v>2057</v>
      </c>
      <c r="B66" s="1971" t="s">
        <v>2058</v>
      </c>
      <c r="C66" s="1883"/>
      <c r="D66" s="1002">
        <f t="shared" si="12"/>
        <v>0</v>
      </c>
      <c r="E66" s="703"/>
      <c r="F66" s="1674"/>
      <c r="G66" s="1000"/>
      <c r="H66" s="1003" t="str">
        <f t="shared" si="13"/>
        <v>——</v>
      </c>
      <c r="I66" s="3064">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6" t="s">
        <v>2059</v>
      </c>
      <c r="B67" s="1239" t="str">
        <f>估价对象房地状况!C21</f>
        <v>估价对象所在区域公共配套设施齐备情况</v>
      </c>
      <c r="C67" s="1883"/>
      <c r="D67" s="1002">
        <f t="shared" si="12"/>
        <v>0</v>
      </c>
      <c r="E67" s="703"/>
      <c r="F67" s="1674"/>
      <c r="G67" s="1000"/>
      <c r="H67" s="1003" t="str">
        <f t="shared" si="13"/>
        <v>——</v>
      </c>
      <c r="I67" s="3064">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6" t="s">
        <v>2060</v>
      </c>
      <c r="B68" s="1239" t="str">
        <f>估价对象房地状况!C22</f>
        <v>估价对象所在区域基础设施水平</v>
      </c>
      <c r="C68" s="1883"/>
      <c r="D68" s="1002">
        <f t="shared" si="12"/>
        <v>0</v>
      </c>
      <c r="E68" s="703"/>
      <c r="F68" s="1674"/>
      <c r="G68" s="1000"/>
      <c r="H68" s="1003" t="str">
        <f t="shared" si="13"/>
        <v>——</v>
      </c>
      <c r="I68" s="3064">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3" t="s">
        <v>2061</v>
      </c>
      <c r="B69" s="1975" t="str">
        <f>估价对象房地状况!C20</f>
        <v>区域自然环境：；人文环境；综合评价环境状况一般</v>
      </c>
      <c r="C69" s="1883"/>
      <c r="D69" s="1002">
        <f t="shared" si="12"/>
        <v>0</v>
      </c>
      <c r="E69" s="704"/>
      <c r="F69" s="1674"/>
      <c r="G69" s="1000"/>
      <c r="H69" s="1003" t="str">
        <f t="shared" si="13"/>
        <v>——</v>
      </c>
      <c r="I69" s="3065">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3" t="s">
        <v>2065</v>
      </c>
      <c r="B70" s="1964">
        <f>1+E72</f>
        <v>1.0642</v>
      </c>
      <c r="C70" s="699"/>
      <c r="D70" s="699"/>
      <c r="E70" s="700"/>
      <c r="F70" s="1965"/>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6" t="s">
        <v>2044</v>
      </c>
      <c r="B71" s="1261"/>
      <c r="C71" s="1261" t="s">
        <v>2046</v>
      </c>
      <c r="D71" s="1261" t="s">
        <v>2047</v>
      </c>
      <c r="E71" s="701" t="s">
        <v>2048</v>
      </c>
      <c r="F71" s="1967" t="s">
        <v>2063</v>
      </c>
      <c r="G71" s="1261" t="s">
        <v>310</v>
      </c>
      <c r="H71" s="1968"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6" t="s">
        <v>2066</v>
      </c>
      <c r="B72" s="1969" t="str">
        <f>估价对象房地状况!C15</f>
        <v>估价对象周边居住用地比例、居住小区规模和社区发展完善程度，综合评价居住社区成熟度一般</v>
      </c>
      <c r="C72" s="1883" t="s">
        <v>3566</v>
      </c>
      <c r="D72" s="1002">
        <f t="shared" ref="D72:D80" si="17">SUMIF($J$71:$N$71,C72,J72:N72)</f>
        <v>1.2999999999999999E-2</v>
      </c>
      <c r="E72" s="702">
        <f>ROUND(SUM(D72:D80),4)</f>
        <v>6.4199999999999993E-2</v>
      </c>
      <c r="F72" s="1674">
        <f>IF(E2="住宅",SUMIF(L1:L12,G2,N1:N12),"——")</f>
        <v>0.13</v>
      </c>
      <c r="G72" s="1000">
        <v>1.2999999999999999E-2</v>
      </c>
      <c r="H72" s="1003">
        <f t="shared" ref="H72:H80" si="18">IFERROR(ROUNDDOWN($F$72*I72/2,4),"——")</f>
        <v>1.2999999999999999E-2</v>
      </c>
      <c r="I72" s="3064">
        <v>0.2</v>
      </c>
      <c r="J72" s="1001">
        <f t="shared" ref="J72:J80" si="19">K72+$G72</f>
        <v>2.5999999999999999E-2</v>
      </c>
      <c r="K72" s="1001">
        <f t="shared" ref="K72:K80" si="20">$L72+$G72</f>
        <v>1.2999999999999999E-2</v>
      </c>
      <c r="L72" s="1001">
        <v>0</v>
      </c>
      <c r="M72" s="1001">
        <f t="shared" ref="M72:N80" si="21">L72-$G72</f>
        <v>-1.2999999999999999E-2</v>
      </c>
      <c r="N72" s="1001">
        <f t="shared" si="21"/>
        <v>-2.5999999999999999E-2</v>
      </c>
      <c r="AA72" s="1057"/>
      <c r="AB72" s="1057"/>
      <c r="AC72" s="1057"/>
      <c r="AD72" s="1057"/>
      <c r="AE72" s="1057"/>
      <c r="AF72" s="1057"/>
      <c r="AG72" s="1057"/>
      <c r="AH72" s="1057"/>
      <c r="AI72" s="1057"/>
      <c r="AJ72" s="1057"/>
      <c r="AK72" s="1057"/>
    </row>
    <row r="73" spans="1:37" s="1056" customFormat="1" ht="52.8">
      <c r="A73" s="1966" t="s">
        <v>2053</v>
      </c>
      <c r="B73" s="1261" t="str">
        <f>估价对象房地状况!C18</f>
        <v>估价对象周边道路状况、公共交通通达情况、停车便捷程度，综合评价交通便捷度较好</v>
      </c>
      <c r="C73" s="1883" t="s">
        <v>3566</v>
      </c>
      <c r="D73" s="1002">
        <f t="shared" si="17"/>
        <v>1.6899999999999998E-2</v>
      </c>
      <c r="E73" s="705"/>
      <c r="F73" s="1674"/>
      <c r="G73" s="1000">
        <v>1.6899999999999998E-2</v>
      </c>
      <c r="H73" s="1003">
        <f t="shared" si="18"/>
        <v>1.6899999999999998E-2</v>
      </c>
      <c r="I73" s="3064">
        <v>0.26</v>
      </c>
      <c r="J73" s="1001">
        <f t="shared" si="19"/>
        <v>3.3799999999999997E-2</v>
      </c>
      <c r="K73" s="1001">
        <f t="shared" si="20"/>
        <v>1.6899999999999998E-2</v>
      </c>
      <c r="L73" s="1001">
        <v>0</v>
      </c>
      <c r="M73" s="1001">
        <f t="shared" si="21"/>
        <v>-1.6899999999999998E-2</v>
      </c>
      <c r="N73" s="1001">
        <f t="shared" si="21"/>
        <v>-3.3799999999999997E-2</v>
      </c>
      <c r="AA73" s="1057"/>
      <c r="AB73" s="1057"/>
      <c r="AC73" s="1057"/>
      <c r="AD73" s="1057"/>
      <c r="AE73" s="1057"/>
      <c r="AF73" s="1057"/>
      <c r="AG73" s="1057"/>
      <c r="AH73" s="1057"/>
      <c r="AI73" s="1057"/>
      <c r="AJ73" s="1057"/>
      <c r="AK73" s="1057"/>
    </row>
    <row r="74" spans="1:37" s="1840" customFormat="1" ht="48">
      <c r="A74" s="3066" t="s">
        <v>3265</v>
      </c>
      <c r="B74" s="1261">
        <f>估价对象房地状况!C19</f>
        <v>0</v>
      </c>
      <c r="C74" s="1883" t="s">
        <v>3566</v>
      </c>
      <c r="D74" s="1002">
        <f t="shared" si="17"/>
        <v>6.4999999999999997E-3</v>
      </c>
      <c r="E74" s="705"/>
      <c r="F74" s="1674"/>
      <c r="G74" s="1000">
        <v>6.4999999999999997E-3</v>
      </c>
      <c r="H74" s="1003">
        <f t="shared" si="18"/>
        <v>6.4999999999999997E-3</v>
      </c>
      <c r="I74" s="3064">
        <v>0.1</v>
      </c>
      <c r="J74" s="1001">
        <f t="shared" si="19"/>
        <v>1.2999999999999999E-2</v>
      </c>
      <c r="K74" s="1001">
        <f t="shared" si="20"/>
        <v>6.4999999999999997E-3</v>
      </c>
      <c r="L74" s="1001">
        <v>0</v>
      </c>
      <c r="M74" s="1001">
        <f t="shared" si="21"/>
        <v>-6.4999999999999997E-3</v>
      </c>
      <c r="N74" s="1001">
        <f t="shared" si="21"/>
        <v>-1.2999999999999999E-2</v>
      </c>
      <c r="O74" s="1056"/>
      <c r="P74" s="1056"/>
      <c r="Q74" s="1056"/>
      <c r="AA74" s="1976"/>
      <c r="AB74" s="1057"/>
      <c r="AC74" s="1057"/>
      <c r="AD74" s="1057"/>
      <c r="AE74" s="1057"/>
      <c r="AF74" s="1057"/>
      <c r="AG74" s="1057"/>
      <c r="AH74" s="1976"/>
      <c r="AI74" s="1976"/>
      <c r="AJ74" s="1976"/>
      <c r="AK74" s="1976"/>
    </row>
    <row r="75" spans="1:37" ht="13.8">
      <c r="A75" s="1966" t="s">
        <v>2067</v>
      </c>
      <c r="B75" s="1261">
        <f>估价对象房地状况!C24</f>
        <v>0</v>
      </c>
      <c r="C75" s="1883" t="s">
        <v>3567</v>
      </c>
      <c r="D75" s="1002">
        <f t="shared" si="17"/>
        <v>-3.2000000000000002E-3</v>
      </c>
      <c r="E75" s="705"/>
      <c r="F75" s="1674"/>
      <c r="G75" s="1000">
        <v>3.2000000000000002E-3</v>
      </c>
      <c r="H75" s="1003">
        <f t="shared" si="18"/>
        <v>3.2000000000000002E-3</v>
      </c>
      <c r="I75" s="3064">
        <v>0.05</v>
      </c>
      <c r="J75" s="1001">
        <f t="shared" si="19"/>
        <v>6.4000000000000003E-3</v>
      </c>
      <c r="K75" s="1001">
        <f t="shared" si="20"/>
        <v>3.2000000000000002E-3</v>
      </c>
      <c r="L75" s="1001">
        <v>0</v>
      </c>
      <c r="M75" s="1001">
        <f t="shared" si="21"/>
        <v>-3.2000000000000002E-3</v>
      </c>
      <c r="N75" s="1001">
        <f t="shared" si="21"/>
        <v>-6.4000000000000003E-3</v>
      </c>
      <c r="O75" s="1056"/>
      <c r="P75" s="1056"/>
      <c r="Q75" s="1840"/>
      <c r="Z75" s="1841"/>
      <c r="AA75" s="1891"/>
      <c r="AG75" s="1058"/>
      <c r="AK75" s="1891"/>
    </row>
    <row r="76" spans="1:37" ht="26.4">
      <c r="A76" s="1966" t="s">
        <v>2059</v>
      </c>
      <c r="B76" s="1239" t="str">
        <f>估价对象房地状况!C21</f>
        <v>估价对象所在区域公共配套设施齐备情况</v>
      </c>
      <c r="C76" s="1883" t="s">
        <v>3566</v>
      </c>
      <c r="D76" s="1002">
        <f t="shared" si="17"/>
        <v>5.1999999999999998E-3</v>
      </c>
      <c r="E76" s="705"/>
      <c r="F76" s="1674"/>
      <c r="G76" s="1000">
        <v>5.1999999999999998E-3</v>
      </c>
      <c r="H76" s="1003">
        <f t="shared" si="18"/>
        <v>5.1999999999999998E-3</v>
      </c>
      <c r="I76" s="3064">
        <v>0.08</v>
      </c>
      <c r="J76" s="1001">
        <f t="shared" si="19"/>
        <v>1.04E-2</v>
      </c>
      <c r="K76" s="1001">
        <f t="shared" si="20"/>
        <v>5.1999999999999998E-3</v>
      </c>
      <c r="L76" s="1001">
        <v>0</v>
      </c>
      <c r="M76" s="1001">
        <f t="shared" si="21"/>
        <v>-5.1999999999999998E-3</v>
      </c>
      <c r="N76" s="1001">
        <f t="shared" si="21"/>
        <v>-1.04E-2</v>
      </c>
      <c r="O76" s="1056"/>
      <c r="P76" s="1056"/>
      <c r="Z76" s="1841"/>
      <c r="AA76" s="1891"/>
      <c r="AG76" s="1058"/>
      <c r="AK76" s="1891"/>
    </row>
    <row r="77" spans="1:37" ht="26.4">
      <c r="A77" s="1966" t="s">
        <v>2060</v>
      </c>
      <c r="B77" s="1239" t="str">
        <f>估价对象房地状况!C22</f>
        <v>估价对象所在区域基础设施水平</v>
      </c>
      <c r="C77" s="1883" t="s">
        <v>3568</v>
      </c>
      <c r="D77" s="1002">
        <f t="shared" si="17"/>
        <v>1.1599999999999999E-2</v>
      </c>
      <c r="E77" s="705"/>
      <c r="F77" s="1674"/>
      <c r="G77" s="1000">
        <v>5.7999999999999996E-3</v>
      </c>
      <c r="H77" s="1003">
        <f t="shared" si="18"/>
        <v>5.7999999999999996E-3</v>
      </c>
      <c r="I77" s="3064">
        <v>0.09</v>
      </c>
      <c r="J77" s="1001">
        <f t="shared" si="19"/>
        <v>1.1599999999999999E-2</v>
      </c>
      <c r="K77" s="1001">
        <f t="shared" si="20"/>
        <v>5.7999999999999996E-3</v>
      </c>
      <c r="L77" s="1001">
        <v>0</v>
      </c>
      <c r="M77" s="1001">
        <f t="shared" si="21"/>
        <v>-5.7999999999999996E-3</v>
      </c>
      <c r="N77" s="1001">
        <f t="shared" si="21"/>
        <v>-1.1599999999999999E-2</v>
      </c>
      <c r="O77" s="1056"/>
      <c r="P77" s="1056"/>
      <c r="Z77" s="1841"/>
      <c r="AA77" s="1891"/>
      <c r="AG77" s="1058"/>
      <c r="AK77" s="1891"/>
    </row>
    <row r="78" spans="1:37" ht="36">
      <c r="A78" s="1966" t="s">
        <v>2057</v>
      </c>
      <c r="B78" s="1971" t="s">
        <v>2058</v>
      </c>
      <c r="C78" s="1883" t="s">
        <v>3566</v>
      </c>
      <c r="D78" s="1002">
        <f t="shared" si="17"/>
        <v>3.2000000000000002E-3</v>
      </c>
      <c r="E78" s="705"/>
      <c r="F78" s="1674"/>
      <c r="G78" s="1000">
        <v>3.2000000000000002E-3</v>
      </c>
      <c r="H78" s="1003">
        <f t="shared" si="18"/>
        <v>3.2000000000000002E-3</v>
      </c>
      <c r="I78" s="3064">
        <v>0.05</v>
      </c>
      <c r="J78" s="1001">
        <f t="shared" si="19"/>
        <v>6.4000000000000003E-3</v>
      </c>
      <c r="K78" s="1001">
        <f t="shared" si="20"/>
        <v>3.2000000000000002E-3</v>
      </c>
      <c r="L78" s="1001">
        <v>0</v>
      </c>
      <c r="M78" s="1001">
        <f t="shared" si="21"/>
        <v>-3.2000000000000002E-3</v>
      </c>
      <c r="N78" s="1001">
        <f t="shared" si="21"/>
        <v>-6.4000000000000003E-3</v>
      </c>
      <c r="O78" s="1840"/>
      <c r="P78" s="1840"/>
      <c r="Z78" s="1841"/>
      <c r="AA78" s="1891"/>
      <c r="AG78" s="1058"/>
      <c r="AK78" s="1891"/>
    </row>
    <row r="79" spans="1:37" ht="39.6">
      <c r="A79" s="1966" t="s">
        <v>2061</v>
      </c>
      <c r="B79" s="1969" t="str">
        <f>估价对象房地状况!C20</f>
        <v>区域自然环境：；人文环境；综合评价环境状况一般</v>
      </c>
      <c r="C79" s="1883" t="s">
        <v>3566</v>
      </c>
      <c r="D79" s="1002">
        <f t="shared" si="17"/>
        <v>7.7999999999999996E-3</v>
      </c>
      <c r="E79" s="705"/>
      <c r="F79" s="1674"/>
      <c r="G79" s="1000">
        <v>7.7999999999999996E-3</v>
      </c>
      <c r="H79" s="1003">
        <f t="shared" si="18"/>
        <v>7.7999999999999996E-3</v>
      </c>
      <c r="I79" s="3064">
        <v>0.12</v>
      </c>
      <c r="J79" s="1001">
        <f t="shared" si="19"/>
        <v>1.5599999999999999E-2</v>
      </c>
      <c r="K79" s="1001">
        <f t="shared" si="20"/>
        <v>7.7999999999999996E-3</v>
      </c>
      <c r="L79" s="1001">
        <v>0</v>
      </c>
      <c r="M79" s="1001">
        <f t="shared" si="21"/>
        <v>-7.7999999999999996E-3</v>
      </c>
      <c r="N79" s="1001">
        <f t="shared" si="21"/>
        <v>-1.5599999999999999E-2</v>
      </c>
      <c r="Z79" s="1841"/>
      <c r="AA79" s="1891"/>
      <c r="AG79" s="1058"/>
      <c r="AK79" s="1891"/>
    </row>
    <row r="80" spans="1:37" ht="36.6" thickBot="1">
      <c r="A80" s="1973" t="s">
        <v>2068</v>
      </c>
      <c r="B80" s="1977"/>
      <c r="C80" s="1883" t="s">
        <v>3566</v>
      </c>
      <c r="D80" s="1002">
        <f t="shared" si="17"/>
        <v>3.2000000000000002E-3</v>
      </c>
      <c r="E80" s="706"/>
      <c r="F80" s="1674"/>
      <c r="G80" s="1000">
        <v>3.2000000000000002E-3</v>
      </c>
      <c r="H80" s="1003">
        <f t="shared" si="18"/>
        <v>3.2000000000000002E-3</v>
      </c>
      <c r="I80" s="3065">
        <v>0.05</v>
      </c>
      <c r="J80" s="1001">
        <f t="shared" si="19"/>
        <v>6.4000000000000003E-3</v>
      </c>
      <c r="K80" s="1001">
        <f t="shared" si="20"/>
        <v>3.2000000000000002E-3</v>
      </c>
      <c r="L80" s="1001">
        <v>0</v>
      </c>
      <c r="M80" s="1001">
        <f t="shared" si="21"/>
        <v>-3.2000000000000002E-3</v>
      </c>
      <c r="N80" s="1001">
        <f t="shared" si="21"/>
        <v>-6.4000000000000003E-3</v>
      </c>
      <c r="Z80" s="1841"/>
      <c r="AA80" s="1891"/>
      <c r="AG80" s="1058"/>
      <c r="AK80" s="1891"/>
    </row>
    <row r="81" spans="1:37" ht="14.4">
      <c r="A81" s="1963" t="s">
        <v>2069</v>
      </c>
      <c r="B81" s="1964">
        <f>1+E83</f>
        <v>1</v>
      </c>
      <c r="C81" s="699"/>
      <c r="D81" s="699"/>
      <c r="E81" s="700"/>
      <c r="F81" s="1965"/>
      <c r="G81" s="3"/>
      <c r="H81" s="3"/>
      <c r="I81" s="3"/>
      <c r="J81" s="4"/>
      <c r="K81" s="4"/>
      <c r="L81" s="4"/>
      <c r="M81" s="4"/>
      <c r="N81" s="4"/>
      <c r="Z81" s="1841"/>
      <c r="AA81" s="1891"/>
      <c r="AG81" s="1058"/>
      <c r="AK81" s="1891"/>
    </row>
    <row r="82" spans="1:37" ht="25.2">
      <c r="A82" s="1966" t="s">
        <v>2044</v>
      </c>
      <c r="B82" s="1261"/>
      <c r="C82" s="1261" t="s">
        <v>2046</v>
      </c>
      <c r="D82" s="1261" t="s">
        <v>2047</v>
      </c>
      <c r="E82" s="701" t="s">
        <v>2048</v>
      </c>
      <c r="F82" s="1967" t="s">
        <v>2063</v>
      </c>
      <c r="G82" s="1261" t="s">
        <v>310</v>
      </c>
      <c r="H82" s="1968" t="s">
        <v>2050</v>
      </c>
      <c r="I82" s="1261" t="s">
        <v>2051</v>
      </c>
      <c r="J82" s="530" t="s">
        <v>1721</v>
      </c>
      <c r="K82" s="530" t="s">
        <v>1722</v>
      </c>
      <c r="L82" s="530" t="s">
        <v>1723</v>
      </c>
      <c r="M82" s="530" t="s">
        <v>1724</v>
      </c>
      <c r="N82" s="530" t="s">
        <v>1725</v>
      </c>
      <c r="Z82" s="1841"/>
      <c r="AA82" s="1891"/>
      <c r="AG82" s="1058"/>
      <c r="AK82" s="1891"/>
    </row>
    <row r="83" spans="1:37" ht="39.6">
      <c r="A83" s="1966" t="s">
        <v>2070</v>
      </c>
      <c r="B83" s="1261" t="str">
        <f>估价对象房地状况!G15</f>
        <v>估价对象位于XX开发区，园区建设成熟度XX，产业集聚程度XX</v>
      </c>
      <c r="C83" s="1883"/>
      <c r="D83" s="1002">
        <f t="shared" ref="D83:D90" si="22">SUMIF($J$82:$N$82,C83,J83:N83)</f>
        <v>0</v>
      </c>
      <c r="E83" s="702">
        <f>ROUND(SUM(D83:D90),4)</f>
        <v>0</v>
      </c>
      <c r="F83" s="1674" t="str">
        <f>IF(E2="工业",SUMIF(L1:L12,G2,N1:N12),"——")</f>
        <v>——</v>
      </c>
      <c r="G83" s="1000"/>
      <c r="H83" s="1003" t="str">
        <f t="shared" ref="H83:H90" si="23">IFERROR(ROUNDDOWN($F$83*I83/2,4),"——")</f>
        <v>——</v>
      </c>
      <c r="I83" s="3064">
        <v>0.26</v>
      </c>
      <c r="J83" s="1001">
        <f t="shared" ref="J83:J90" si="24">K83+$G83</f>
        <v>0</v>
      </c>
      <c r="K83" s="1001">
        <f t="shared" ref="K83:K90" si="25">$L83+$G83</f>
        <v>0</v>
      </c>
      <c r="L83" s="1001">
        <v>0</v>
      </c>
      <c r="M83" s="1001">
        <f t="shared" ref="M83:N90" si="26">L83-$G83</f>
        <v>0</v>
      </c>
      <c r="N83" s="1001">
        <f t="shared" si="26"/>
        <v>0</v>
      </c>
      <c r="Z83" s="1841"/>
      <c r="AA83" s="1891"/>
      <c r="AG83" s="1058"/>
      <c r="AK83" s="1891"/>
    </row>
    <row r="84" spans="1:37" ht="52.8">
      <c r="A84" s="1966" t="s">
        <v>2053</v>
      </c>
      <c r="B84" s="1261" t="str">
        <f>估价对象房地状况!G16</f>
        <v>估价对象周边道路状况、公共交通通达情况、停车便捷程度，综合评价交通便捷度较好</v>
      </c>
      <c r="C84" s="1883"/>
      <c r="D84" s="1002">
        <f t="shared" si="22"/>
        <v>0</v>
      </c>
      <c r="E84" s="705"/>
      <c r="F84" s="1674"/>
      <c r="G84" s="1000"/>
      <c r="H84" s="1003" t="str">
        <f t="shared" si="23"/>
        <v>——</v>
      </c>
      <c r="I84" s="3064">
        <v>0.3</v>
      </c>
      <c r="J84" s="1001">
        <f t="shared" si="24"/>
        <v>0</v>
      </c>
      <c r="K84" s="1001">
        <f t="shared" si="25"/>
        <v>0</v>
      </c>
      <c r="L84" s="1001">
        <v>0</v>
      </c>
      <c r="M84" s="1001">
        <f t="shared" si="26"/>
        <v>0</v>
      </c>
      <c r="N84" s="1001">
        <f t="shared" si="26"/>
        <v>0</v>
      </c>
      <c r="Z84" s="1841"/>
      <c r="AA84" s="1891"/>
      <c r="AG84" s="1058"/>
      <c r="AK84" s="1891"/>
    </row>
    <row r="85" spans="1:37" ht="48">
      <c r="A85" s="3066" t="s">
        <v>3265</v>
      </c>
      <c r="B85" s="1261">
        <f>估价对象房地状况!G17</f>
        <v>0</v>
      </c>
      <c r="C85" s="1883"/>
      <c r="D85" s="1002">
        <f t="shared" si="22"/>
        <v>0</v>
      </c>
      <c r="E85" s="705"/>
      <c r="F85" s="1674"/>
      <c r="G85" s="1000"/>
      <c r="H85" s="1003" t="str">
        <f t="shared" si="23"/>
        <v>——</v>
      </c>
      <c r="I85" s="3064">
        <v>0.1</v>
      </c>
      <c r="J85" s="1001">
        <f t="shared" si="24"/>
        <v>0</v>
      </c>
      <c r="K85" s="1001">
        <f t="shared" si="25"/>
        <v>0</v>
      </c>
      <c r="L85" s="1001">
        <v>0</v>
      </c>
      <c r="M85" s="1001">
        <f t="shared" si="26"/>
        <v>0</v>
      </c>
      <c r="N85" s="1001">
        <f t="shared" si="26"/>
        <v>0</v>
      </c>
      <c r="Z85" s="1841"/>
      <c r="AA85" s="1891"/>
      <c r="AG85" s="1058"/>
      <c r="AK85" s="1891"/>
    </row>
    <row r="86" spans="1:37" ht="13.8">
      <c r="A86" s="1966" t="s">
        <v>2067</v>
      </c>
      <c r="B86" s="1261">
        <f>估价对象房地状况!G22</f>
        <v>0</v>
      </c>
      <c r="C86" s="1883"/>
      <c r="D86" s="1002">
        <f t="shared" si="22"/>
        <v>0</v>
      </c>
      <c r="E86" s="705"/>
      <c r="F86" s="1674"/>
      <c r="G86" s="1000"/>
      <c r="H86" s="1003" t="str">
        <f t="shared" si="23"/>
        <v>——</v>
      </c>
      <c r="I86" s="3064">
        <v>0.05</v>
      </c>
      <c r="J86" s="1001">
        <f t="shared" si="24"/>
        <v>0</v>
      </c>
      <c r="K86" s="1001">
        <f t="shared" si="25"/>
        <v>0</v>
      </c>
      <c r="L86" s="1001">
        <v>0</v>
      </c>
      <c r="M86" s="1001">
        <f t="shared" si="26"/>
        <v>0</v>
      </c>
      <c r="N86" s="1001">
        <f t="shared" si="26"/>
        <v>0</v>
      </c>
      <c r="Z86" s="1841"/>
      <c r="AA86" s="1891"/>
      <c r="AG86" s="1058"/>
      <c r="AK86" s="1891"/>
    </row>
    <row r="87" spans="1:37" ht="26.4">
      <c r="A87" s="1966" t="s">
        <v>2059</v>
      </c>
      <c r="B87" s="1239" t="str">
        <f>估价对象房地状况!G19</f>
        <v>估价对象所在区域公共配套设施齐备情况</v>
      </c>
      <c r="C87" s="1883"/>
      <c r="D87" s="1002">
        <f t="shared" si="22"/>
        <v>0</v>
      </c>
      <c r="E87" s="705"/>
      <c r="F87" s="1674"/>
      <c r="G87" s="1000"/>
      <c r="H87" s="1003" t="str">
        <f t="shared" si="23"/>
        <v>——</v>
      </c>
      <c r="I87" s="3064">
        <v>0.06</v>
      </c>
      <c r="J87" s="1001">
        <f t="shared" si="24"/>
        <v>0</v>
      </c>
      <c r="K87" s="1001">
        <f t="shared" si="25"/>
        <v>0</v>
      </c>
      <c r="L87" s="1001">
        <v>0</v>
      </c>
      <c r="M87" s="1001">
        <f t="shared" si="26"/>
        <v>0</v>
      </c>
      <c r="N87" s="1001">
        <f t="shared" si="26"/>
        <v>0</v>
      </c>
    </row>
    <row r="88" spans="1:37" ht="26.4">
      <c r="A88" s="1966" t="s">
        <v>2060</v>
      </c>
      <c r="B88" s="1239" t="str">
        <f>估价对象房地状况!G20</f>
        <v>估价对象所在区域基础设施水平</v>
      </c>
      <c r="C88" s="1883"/>
      <c r="D88" s="1002">
        <f t="shared" si="22"/>
        <v>0</v>
      </c>
      <c r="E88" s="705"/>
      <c r="F88" s="1674"/>
      <c r="G88" s="1000"/>
      <c r="H88" s="1003" t="str">
        <f t="shared" si="23"/>
        <v>——</v>
      </c>
      <c r="I88" s="3064">
        <v>0.12</v>
      </c>
      <c r="J88" s="1001">
        <f t="shared" si="24"/>
        <v>0</v>
      </c>
      <c r="K88" s="1001">
        <f t="shared" si="25"/>
        <v>0</v>
      </c>
      <c r="L88" s="1001">
        <v>0</v>
      </c>
      <c r="M88" s="1001">
        <f t="shared" si="26"/>
        <v>0</v>
      </c>
      <c r="N88" s="1001">
        <f t="shared" si="26"/>
        <v>0</v>
      </c>
    </row>
    <row r="89" spans="1:37" ht="36">
      <c r="A89" s="1966" t="s">
        <v>2057</v>
      </c>
      <c r="B89" s="1971" t="s">
        <v>2071</v>
      </c>
      <c r="C89" s="1883"/>
      <c r="D89" s="1002">
        <f t="shared" si="22"/>
        <v>0</v>
      </c>
      <c r="E89" s="705"/>
      <c r="F89" s="1674"/>
      <c r="G89" s="1000"/>
      <c r="H89" s="1003" t="str">
        <f t="shared" si="23"/>
        <v>——</v>
      </c>
      <c r="I89" s="3064">
        <v>0.06</v>
      </c>
      <c r="J89" s="1001">
        <f t="shared" si="24"/>
        <v>0</v>
      </c>
      <c r="K89" s="1001">
        <f t="shared" si="25"/>
        <v>0</v>
      </c>
      <c r="L89" s="1001">
        <v>0</v>
      </c>
      <c r="M89" s="1001">
        <f t="shared" si="26"/>
        <v>0</v>
      </c>
      <c r="N89" s="1001">
        <f t="shared" si="26"/>
        <v>0</v>
      </c>
    </row>
    <row r="90" spans="1:37" ht="40.200000000000003" thickBot="1">
      <c r="A90" s="1973" t="s">
        <v>2072</v>
      </c>
      <c r="B90" s="1978" t="str">
        <f>估价对象房地状况!G18</f>
        <v>该园区内是否有污染型企业，绿化情况，卫生条件，整体环境状况判断</v>
      </c>
      <c r="C90" s="1883"/>
      <c r="D90" s="1002">
        <f t="shared" si="22"/>
        <v>0</v>
      </c>
      <c r="E90" s="706"/>
      <c r="F90" s="1674"/>
      <c r="G90" s="1000"/>
      <c r="H90" s="1003" t="str">
        <f t="shared" si="23"/>
        <v>——</v>
      </c>
      <c r="I90" s="3065">
        <v>0.05</v>
      </c>
      <c r="J90" s="1001">
        <f t="shared" si="24"/>
        <v>0</v>
      </c>
      <c r="K90" s="1001">
        <f t="shared" si="25"/>
        <v>0</v>
      </c>
      <c r="L90" s="1001">
        <v>0</v>
      </c>
      <c r="M90" s="1001">
        <f t="shared" si="26"/>
        <v>0</v>
      </c>
      <c r="N90" s="1001">
        <f t="shared" si="26"/>
        <v>0</v>
      </c>
    </row>
    <row r="91" spans="1:37" ht="13.8">
      <c r="A91" s="3074" t="s">
        <v>2609</v>
      </c>
      <c r="B91" s="3075">
        <f>1+E93</f>
        <v>1</v>
      </c>
      <c r="C91" s="3068"/>
      <c r="D91" s="3069"/>
      <c r="E91" s="1674"/>
      <c r="F91" s="1674"/>
      <c r="G91" s="3070"/>
      <c r="H91" s="3071"/>
      <c r="I91" s="3072"/>
      <c r="J91" s="3073"/>
      <c r="K91" s="3073"/>
      <c r="L91" s="3073"/>
      <c r="M91" s="3073"/>
      <c r="N91" s="3073"/>
    </row>
    <row r="92" spans="1:37" ht="25.2">
      <c r="A92" s="3076" t="s">
        <v>2044</v>
      </c>
      <c r="B92" s="2306"/>
      <c r="C92" s="2306" t="s">
        <v>2046</v>
      </c>
      <c r="D92" s="2306" t="s">
        <v>2047</v>
      </c>
      <c r="E92" s="3048" t="s">
        <v>2048</v>
      </c>
      <c r="F92" s="3078" t="s">
        <v>3279</v>
      </c>
      <c r="G92" s="2306" t="s">
        <v>1989</v>
      </c>
      <c r="H92" s="3085" t="s">
        <v>3283</v>
      </c>
      <c r="I92" s="2306" t="s">
        <v>2051</v>
      </c>
      <c r="J92" s="2146" t="s">
        <v>1721</v>
      </c>
      <c r="K92" s="2146" t="s">
        <v>1722</v>
      </c>
      <c r="L92" s="2146" t="s">
        <v>1723</v>
      </c>
      <c r="M92" s="2146" t="s">
        <v>1724</v>
      </c>
      <c r="N92" s="2146" t="s">
        <v>1725</v>
      </c>
    </row>
    <row r="93" spans="1:37" ht="24">
      <c r="A93" s="3066" t="s">
        <v>3268</v>
      </c>
      <c r="B93" s="1220"/>
      <c r="C93" s="1883"/>
      <c r="D93" s="2306">
        <f>SUMIF($J$92:$N$92,C93,J93:N93)</f>
        <v>0</v>
      </c>
      <c r="E93" s="3079">
        <f>ROUND(SUM(D93:D101),4)</f>
        <v>0</v>
      </c>
      <c r="F93" s="1674" t="str">
        <f>IF(E2="公共服务",SUMIF(L1:L12,G2,N1:N12),"——")</f>
        <v>——</v>
      </c>
      <c r="G93" s="3070"/>
      <c r="H93" s="3115" t="str">
        <f>IFERROR(ROUNDDOWN($F$93*I93/2,4),"——")</f>
        <v>——</v>
      </c>
      <c r="I93" s="3064">
        <v>0.25</v>
      </c>
      <c r="J93" s="1908">
        <f t="shared" ref="J93:J101" si="27">K93+$G93</f>
        <v>0</v>
      </c>
      <c r="K93" s="1908">
        <f t="shared" ref="K93:K101" si="28">$L93+$G93</f>
        <v>0</v>
      </c>
      <c r="L93" s="1908">
        <v>0</v>
      </c>
      <c r="M93" s="1908">
        <f t="shared" ref="M93:N101" si="29">L93-$G93</f>
        <v>0</v>
      </c>
      <c r="N93" s="1908">
        <f t="shared" si="29"/>
        <v>0</v>
      </c>
    </row>
    <row r="94" spans="1:37" ht="52.8">
      <c r="A94" s="3076" t="s">
        <v>2053</v>
      </c>
      <c r="B94" s="3067" t="str">
        <f>估价对象房地状况!C18</f>
        <v>估价对象周边道路状况、公共交通通达情况、停车便捷程度，综合评价交通便捷度较好</v>
      </c>
      <c r="C94" s="1883"/>
      <c r="D94" s="2306">
        <f t="shared" ref="D94:D101" si="30">SUMIF($J$60:$N$60,C94,J94:N94)</f>
        <v>0</v>
      </c>
      <c r="E94" s="3080"/>
      <c r="F94" s="1674"/>
      <c r="G94" s="3070"/>
      <c r="H94" s="3115" t="str">
        <f>IFERROR(ROUNDDOWN($F$93*I94/2,4),"——")</f>
        <v>——</v>
      </c>
      <c r="I94" s="3064">
        <v>0.26</v>
      </c>
      <c r="J94" s="1908">
        <f t="shared" si="27"/>
        <v>0</v>
      </c>
      <c r="K94" s="1908">
        <f t="shared" si="28"/>
        <v>0</v>
      </c>
      <c r="L94" s="1908">
        <v>0</v>
      </c>
      <c r="M94" s="1908">
        <f t="shared" si="29"/>
        <v>0</v>
      </c>
      <c r="N94" s="1908">
        <f t="shared" si="29"/>
        <v>0</v>
      </c>
    </row>
    <row r="95" spans="1:37" ht="48">
      <c r="A95" s="3066" t="s">
        <v>3265</v>
      </c>
      <c r="B95" s="3067">
        <f>估价对象房地状况!C19</f>
        <v>0</v>
      </c>
      <c r="C95" s="1883"/>
      <c r="D95" s="2306">
        <f t="shared" si="30"/>
        <v>0</v>
      </c>
      <c r="E95" s="3080"/>
      <c r="F95" s="1674"/>
      <c r="G95" s="3070"/>
      <c r="H95" s="3115" t="str">
        <f t="shared" ref="H95:H101" si="31">IFERROR(ROUNDDOWN($F$93*I95/2,4),"——")</f>
        <v>——</v>
      </c>
      <c r="I95" s="3064">
        <v>0.11</v>
      </c>
      <c r="J95" s="1908">
        <f t="shared" si="27"/>
        <v>0</v>
      </c>
      <c r="K95" s="1908">
        <f t="shared" si="28"/>
        <v>0</v>
      </c>
      <c r="L95" s="1908">
        <v>0</v>
      </c>
      <c r="M95" s="1908">
        <f t="shared" si="29"/>
        <v>0</v>
      </c>
      <c r="N95" s="1908">
        <f t="shared" si="29"/>
        <v>0</v>
      </c>
    </row>
    <row r="96" spans="1:37" ht="37.200000000000003">
      <c r="A96" s="3076" t="s">
        <v>2054</v>
      </c>
      <c r="B96" s="3082" t="s">
        <v>3281</v>
      </c>
      <c r="C96" s="1883"/>
      <c r="D96" s="2306">
        <f t="shared" si="30"/>
        <v>0</v>
      </c>
      <c r="E96" s="3080"/>
      <c r="F96" s="1674"/>
      <c r="G96" s="3070"/>
      <c r="H96" s="3115" t="str">
        <f t="shared" si="31"/>
        <v>——</v>
      </c>
      <c r="I96" s="3064">
        <v>0.05</v>
      </c>
      <c r="J96" s="1908">
        <f t="shared" si="27"/>
        <v>0</v>
      </c>
      <c r="K96" s="1908">
        <f t="shared" si="28"/>
        <v>0</v>
      </c>
      <c r="L96" s="1908">
        <v>0</v>
      </c>
      <c r="M96" s="1908">
        <f t="shared" si="29"/>
        <v>0</v>
      </c>
      <c r="N96" s="1908">
        <f t="shared" si="29"/>
        <v>0</v>
      </c>
    </row>
    <row r="97" spans="1:14" ht="24">
      <c r="A97" s="3076" t="s">
        <v>2056</v>
      </c>
      <c r="B97" s="3067">
        <f>估价对象房地状况!C24</f>
        <v>0</v>
      </c>
      <c r="C97" s="1883"/>
      <c r="D97" s="2306">
        <f t="shared" si="30"/>
        <v>0</v>
      </c>
      <c r="E97" s="3080"/>
      <c r="F97" s="1674"/>
      <c r="G97" s="3070"/>
      <c r="H97" s="3115" t="str">
        <f t="shared" si="31"/>
        <v>——</v>
      </c>
      <c r="I97" s="3064">
        <v>0.05</v>
      </c>
      <c r="J97" s="1908">
        <f t="shared" si="27"/>
        <v>0</v>
      </c>
      <c r="K97" s="1908">
        <f t="shared" si="28"/>
        <v>0</v>
      </c>
      <c r="L97" s="1908">
        <v>0</v>
      </c>
      <c r="M97" s="1908">
        <f t="shared" si="29"/>
        <v>0</v>
      </c>
      <c r="N97" s="1908">
        <f t="shared" si="29"/>
        <v>0</v>
      </c>
    </row>
    <row r="98" spans="1:14" ht="36">
      <c r="A98" s="3076" t="s">
        <v>2057</v>
      </c>
      <c r="B98" s="3083" t="s">
        <v>3282</v>
      </c>
      <c r="C98" s="1883"/>
      <c r="D98" s="2306">
        <f t="shared" si="30"/>
        <v>0</v>
      </c>
      <c r="E98" s="3080"/>
      <c r="F98" s="1674"/>
      <c r="G98" s="3070"/>
      <c r="H98" s="3115" t="str">
        <f t="shared" si="31"/>
        <v>——</v>
      </c>
      <c r="I98" s="3064">
        <v>0.06</v>
      </c>
      <c r="J98" s="1908">
        <f t="shared" si="27"/>
        <v>0</v>
      </c>
      <c r="K98" s="1908">
        <f t="shared" si="28"/>
        <v>0</v>
      </c>
      <c r="L98" s="1908">
        <v>0</v>
      </c>
      <c r="M98" s="1908">
        <f t="shared" si="29"/>
        <v>0</v>
      </c>
      <c r="N98" s="1908">
        <f t="shared" si="29"/>
        <v>0</v>
      </c>
    </row>
    <row r="99" spans="1:14" ht="26.4">
      <c r="A99" s="3076" t="s">
        <v>2059</v>
      </c>
      <c r="B99" s="3067" t="str">
        <f>估价对象房地状况!C21</f>
        <v>估价对象所在区域公共配套设施齐备情况</v>
      </c>
      <c r="C99" s="1883"/>
      <c r="D99" s="2306">
        <f t="shared" si="30"/>
        <v>0</v>
      </c>
      <c r="E99" s="3080"/>
      <c r="F99" s="1674"/>
      <c r="G99" s="3070"/>
      <c r="H99" s="3115" t="str">
        <f t="shared" si="31"/>
        <v>——</v>
      </c>
      <c r="I99" s="3064">
        <v>0.06</v>
      </c>
      <c r="J99" s="1908">
        <f t="shared" si="27"/>
        <v>0</v>
      </c>
      <c r="K99" s="1908">
        <f t="shared" si="28"/>
        <v>0</v>
      </c>
      <c r="L99" s="1908">
        <v>0</v>
      </c>
      <c r="M99" s="1908">
        <f t="shared" si="29"/>
        <v>0</v>
      </c>
      <c r="N99" s="1908">
        <f t="shared" si="29"/>
        <v>0</v>
      </c>
    </row>
    <row r="100" spans="1:14" ht="26.4">
      <c r="A100" s="3076" t="s">
        <v>2060</v>
      </c>
      <c r="B100" s="3067" t="str">
        <f>估价对象房地状况!C22</f>
        <v>估价对象所在区域基础设施水平</v>
      </c>
      <c r="C100" s="1883"/>
      <c r="D100" s="2306">
        <f t="shared" si="30"/>
        <v>0</v>
      </c>
      <c r="E100" s="3080"/>
      <c r="F100" s="1674"/>
      <c r="G100" s="3070"/>
      <c r="H100" s="3115" t="str">
        <f t="shared" si="31"/>
        <v>——</v>
      </c>
      <c r="I100" s="3064">
        <v>0.09</v>
      </c>
      <c r="J100" s="1908">
        <f t="shared" si="27"/>
        <v>0</v>
      </c>
      <c r="K100" s="1908">
        <f t="shared" si="28"/>
        <v>0</v>
      </c>
      <c r="L100" s="1908">
        <v>0</v>
      </c>
      <c r="M100" s="1908">
        <f t="shared" si="29"/>
        <v>0</v>
      </c>
      <c r="N100" s="1908">
        <f t="shared" si="29"/>
        <v>0</v>
      </c>
    </row>
    <row r="101" spans="1:14" ht="40.200000000000003" thickBot="1">
      <c r="A101" s="3077" t="s">
        <v>2061</v>
      </c>
      <c r="B101" s="3084" t="str">
        <f>估价对象房地状况!C20</f>
        <v>区域自然环境：；人文环境；综合评价环境状况一般</v>
      </c>
      <c r="C101" s="1883"/>
      <c r="D101" s="2306">
        <f t="shared" si="30"/>
        <v>0</v>
      </c>
      <c r="E101" s="3081"/>
      <c r="F101" s="1674"/>
      <c r="G101" s="3070"/>
      <c r="H101" s="3115" t="str">
        <f t="shared" si="31"/>
        <v>——</v>
      </c>
      <c r="I101" s="3065">
        <v>7.0000000000000007E-2</v>
      </c>
      <c r="J101" s="1908">
        <f t="shared" si="27"/>
        <v>0</v>
      </c>
      <c r="K101" s="1908">
        <f t="shared" si="28"/>
        <v>0</v>
      </c>
      <c r="L101" s="1908">
        <v>0</v>
      </c>
      <c r="M101" s="1908">
        <f t="shared" si="29"/>
        <v>0</v>
      </c>
      <c r="N101" s="1908">
        <f t="shared" si="29"/>
        <v>0</v>
      </c>
    </row>
    <row r="103" spans="1:14">
      <c r="A103" s="3543" t="s">
        <v>3290</v>
      </c>
      <c r="B103" s="3543"/>
      <c r="C103" s="3543"/>
      <c r="D103" s="3543"/>
      <c r="E103" s="3543"/>
      <c r="F103" s="3543"/>
      <c r="G103" s="3543"/>
      <c r="H103" s="3543"/>
      <c r="I103" s="3543"/>
      <c r="J103" s="3543"/>
      <c r="K103" s="1666"/>
      <c r="L103" s="1666"/>
      <c r="M103" s="1666"/>
      <c r="N103" s="1666"/>
    </row>
    <row r="104" spans="1:14">
      <c r="A104" s="3544" t="s">
        <v>3291</v>
      </c>
      <c r="B104" s="3544" t="s">
        <v>3292</v>
      </c>
      <c r="C104" s="3086" t="s">
        <v>3293</v>
      </c>
      <c r="D104" s="3087"/>
      <c r="E104" s="3087"/>
      <c r="F104" s="3087"/>
      <c r="G104" s="3087"/>
      <c r="H104" s="3087"/>
      <c r="I104" s="3087"/>
      <c r="J104" s="3088"/>
      <c r="K104" s="3089"/>
      <c r="L104" s="3089"/>
      <c r="M104" s="3089"/>
      <c r="N104" s="3089"/>
    </row>
    <row r="105" spans="1:14">
      <c r="A105" s="3544"/>
      <c r="B105" s="3544"/>
      <c r="C105" s="3090" t="s">
        <v>1961</v>
      </c>
      <c r="D105" s="3090" t="s">
        <v>1962</v>
      </c>
      <c r="E105" s="3090" t="s">
        <v>1963</v>
      </c>
      <c r="F105" s="3090" t="s">
        <v>1964</v>
      </c>
      <c r="G105" s="3090" t="s">
        <v>1965</v>
      </c>
      <c r="H105" s="3090" t="s">
        <v>1966</v>
      </c>
      <c r="I105" s="3090" t="s">
        <v>1967</v>
      </c>
      <c r="J105" s="3090" t="s">
        <v>1968</v>
      </c>
      <c r="K105" s="3090" t="s">
        <v>1969</v>
      </c>
      <c r="L105" s="3090" t="s">
        <v>1970</v>
      </c>
      <c r="M105" s="3090" t="s">
        <v>1971</v>
      </c>
      <c r="N105" s="3090" t="s">
        <v>1972</v>
      </c>
    </row>
    <row r="106" spans="1:14">
      <c r="A106" s="3530" t="s">
        <v>3306</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531"/>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531"/>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531"/>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531"/>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531"/>
      <c r="B111" s="3090" t="s">
        <v>3264</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532"/>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533" t="s">
        <v>3307</v>
      </c>
      <c r="B113" s="3533"/>
      <c r="C113" s="3533"/>
      <c r="D113" s="3533"/>
      <c r="E113" s="3533"/>
      <c r="F113" s="3533"/>
      <c r="G113" s="3533"/>
      <c r="H113" s="3533"/>
      <c r="I113" s="3533"/>
      <c r="J113" s="3533"/>
      <c r="K113" s="3092"/>
      <c r="L113" s="3092"/>
      <c r="M113" s="3092"/>
      <c r="N113" s="3092"/>
    </row>
    <row r="114" spans="1:14">
      <c r="A114" s="3093"/>
      <c r="B114" s="3093"/>
      <c r="C114" s="3093"/>
      <c r="D114" s="3093"/>
      <c r="E114" s="3093"/>
      <c r="F114" s="3093"/>
      <c r="G114" s="3093"/>
      <c r="H114" s="3093"/>
      <c r="I114" s="3093"/>
      <c r="J114" s="3093"/>
      <c r="K114" s="1960"/>
      <c r="L114" s="3093"/>
      <c r="M114" s="3093"/>
      <c r="N114" s="3093"/>
    </row>
    <row r="115" spans="1:14" ht="13.8" thickBot="1">
      <c r="A115" s="3093"/>
      <c r="B115" s="3093"/>
      <c r="C115" s="3093"/>
      <c r="D115" s="3093"/>
      <c r="E115" s="3093"/>
      <c r="F115" s="3093"/>
      <c r="G115" s="3093"/>
      <c r="H115" s="3093"/>
      <c r="I115" s="3093"/>
      <c r="J115" s="3093"/>
      <c r="K115" s="1960"/>
      <c r="L115" s="3093"/>
      <c r="M115" s="3093"/>
      <c r="N115" s="3093"/>
    </row>
    <row r="116" spans="1:14" ht="25.8" thickBot="1">
      <c r="A116" s="3094" t="s">
        <v>3308</v>
      </c>
      <c r="B116" s="3110">
        <f>G3</f>
        <v>2.2000000000000002</v>
      </c>
      <c r="C116" s="3095" t="s">
        <v>3309</v>
      </c>
      <c r="D116" s="3096">
        <f>SUMPRODUCT((A118:A122=F116)*(B117:M117=H116)*B118:M122)</f>
        <v>0.90510000000000002</v>
      </c>
      <c r="E116" s="162" t="s">
        <v>1936</v>
      </c>
      <c r="F116" s="3097" t="str">
        <f>E2</f>
        <v>住宅</v>
      </c>
      <c r="G116" s="162" t="s">
        <v>1937</v>
      </c>
      <c r="H116" s="3097" t="str">
        <f>G2</f>
        <v>七级</v>
      </c>
      <c r="I116" s="162"/>
      <c r="J116" s="3098"/>
      <c r="K116" s="3098"/>
      <c r="L116" s="3098"/>
      <c r="M116" s="3098"/>
      <c r="N116" s="3093"/>
    </row>
    <row r="117" spans="1:14">
      <c r="A117" s="3099"/>
      <c r="B117" s="3100" t="s">
        <v>3312</v>
      </c>
      <c r="C117" s="3100" t="s">
        <v>3313</v>
      </c>
      <c r="D117" s="3100" t="s">
        <v>3314</v>
      </c>
      <c r="E117" s="3101" t="s">
        <v>3315</v>
      </c>
      <c r="F117" s="3101" t="s">
        <v>3316</v>
      </c>
      <c r="G117" s="3101" t="s">
        <v>3317</v>
      </c>
      <c r="H117" s="3102" t="s">
        <v>3318</v>
      </c>
      <c r="I117" s="3102" t="s">
        <v>3319</v>
      </c>
      <c r="J117" s="3103" t="s">
        <v>3320</v>
      </c>
      <c r="K117" s="3103" t="s">
        <v>3321</v>
      </c>
      <c r="L117" s="3103" t="s">
        <v>3322</v>
      </c>
      <c r="M117" s="3104" t="s">
        <v>3323</v>
      </c>
      <c r="N117" s="3093"/>
    </row>
    <row r="118" spans="1:14">
      <c r="A118" s="3053" t="s">
        <v>1990</v>
      </c>
      <c r="B118" s="3085">
        <f>ROUND(0.9968-0.011*B116,4)</f>
        <v>0.97260000000000002</v>
      </c>
      <c r="C118" s="3085">
        <f>B118</f>
        <v>0.97260000000000002</v>
      </c>
      <c r="D118" s="3085">
        <f>ROUND(0.949-0.014*B116,4)</f>
        <v>0.91820000000000002</v>
      </c>
      <c r="E118" s="3085">
        <f>D118</f>
        <v>0.91820000000000002</v>
      </c>
      <c r="F118" s="3085">
        <f>E118</f>
        <v>0.91820000000000002</v>
      </c>
      <c r="G118" s="3085">
        <f>F118</f>
        <v>0.91820000000000002</v>
      </c>
      <c r="H118" s="3085">
        <f>G118</f>
        <v>0.91820000000000002</v>
      </c>
      <c r="I118" s="3085">
        <f>ROUND(0.8486-0.018*B116,4)</f>
        <v>0.80900000000000005</v>
      </c>
      <c r="J118" s="3085">
        <f t="shared" ref="J118:M122" si="35">I118</f>
        <v>0.80900000000000005</v>
      </c>
      <c r="K118" s="3085">
        <f t="shared" si="35"/>
        <v>0.80900000000000005</v>
      </c>
      <c r="L118" s="3085">
        <f t="shared" si="35"/>
        <v>0.80900000000000005</v>
      </c>
      <c r="M118" s="3105">
        <f t="shared" si="35"/>
        <v>0.80900000000000005</v>
      </c>
      <c r="N118" s="3093"/>
    </row>
    <row r="119" spans="1:14">
      <c r="A119" s="3053" t="s">
        <v>1991</v>
      </c>
      <c r="B119" s="3085">
        <f>ROUND(0.993-0.0112*B116,4)</f>
        <v>0.96840000000000004</v>
      </c>
      <c r="C119" s="3085">
        <f>B119</f>
        <v>0.96840000000000004</v>
      </c>
      <c r="D119" s="3085">
        <f>ROUND(0.9415-0.0142*B116,4)</f>
        <v>0.9103</v>
      </c>
      <c r="E119" s="3085">
        <f t="shared" ref="E119:H120" si="36">D119</f>
        <v>0.9103</v>
      </c>
      <c r="F119" s="3085">
        <f t="shared" si="36"/>
        <v>0.9103</v>
      </c>
      <c r="G119" s="3085">
        <f t="shared" si="36"/>
        <v>0.9103</v>
      </c>
      <c r="H119" s="3085">
        <f t="shared" si="36"/>
        <v>0.9103</v>
      </c>
      <c r="I119" s="3085">
        <f>ROUND(0.838-0.0182*B116,4)</f>
        <v>0.79800000000000004</v>
      </c>
      <c r="J119" s="3085">
        <f t="shared" si="35"/>
        <v>0.79800000000000004</v>
      </c>
      <c r="K119" s="3085">
        <f t="shared" si="35"/>
        <v>0.79800000000000004</v>
      </c>
      <c r="L119" s="3085">
        <f t="shared" si="35"/>
        <v>0.79800000000000004</v>
      </c>
      <c r="M119" s="3105">
        <f t="shared" si="35"/>
        <v>0.79800000000000004</v>
      </c>
      <c r="N119" s="3093"/>
    </row>
    <row r="120" spans="1:14">
      <c r="A120" s="3053" t="s">
        <v>1992</v>
      </c>
      <c r="B120" s="3085">
        <f>ROUND(0.9448-0.0115*B116,4)</f>
        <v>0.91949999999999998</v>
      </c>
      <c r="C120" s="3085">
        <f>B120</f>
        <v>0.91949999999999998</v>
      </c>
      <c r="D120" s="3085">
        <f>ROUND(0.937-0.0145*B116,4)</f>
        <v>0.90510000000000002</v>
      </c>
      <c r="E120" s="3085">
        <f t="shared" si="36"/>
        <v>0.90510000000000002</v>
      </c>
      <c r="F120" s="3085">
        <f t="shared" si="36"/>
        <v>0.90510000000000002</v>
      </c>
      <c r="G120" s="3085">
        <f t="shared" si="36"/>
        <v>0.90510000000000002</v>
      </c>
      <c r="H120" s="3085">
        <f t="shared" si="36"/>
        <v>0.90510000000000002</v>
      </c>
      <c r="I120" s="3085">
        <f>ROUND(0.7965-0.0185*B116,4)</f>
        <v>0.75580000000000003</v>
      </c>
      <c r="J120" s="3085">
        <f t="shared" si="35"/>
        <v>0.75580000000000003</v>
      </c>
      <c r="K120" s="3085">
        <f t="shared" si="35"/>
        <v>0.75580000000000003</v>
      </c>
      <c r="L120" s="3085">
        <f t="shared" si="35"/>
        <v>0.75580000000000003</v>
      </c>
      <c r="M120" s="3105">
        <f t="shared" si="35"/>
        <v>0.75580000000000003</v>
      </c>
      <c r="N120" s="3093"/>
    </row>
    <row r="121" spans="1:14" ht="13.8" thickBot="1">
      <c r="A121" s="3106" t="s">
        <v>1993</v>
      </c>
      <c r="B121" s="3107">
        <f>ROUND(0.7836-0.012*B116,4)</f>
        <v>0.75719999999999998</v>
      </c>
      <c r="C121" s="3107">
        <f>B121</f>
        <v>0.75719999999999998</v>
      </c>
      <c r="D121" s="3107">
        <f>ROUND(0.753-0.015*B116,4)</f>
        <v>0.72</v>
      </c>
      <c r="E121" s="3107">
        <f>D121</f>
        <v>0.72</v>
      </c>
      <c r="F121" s="3107">
        <f>E121</f>
        <v>0.72</v>
      </c>
      <c r="G121" s="3107">
        <f>ROUND(0.6612-0.018*B116,4)</f>
        <v>0.62160000000000004</v>
      </c>
      <c r="H121" s="3107">
        <f>G121</f>
        <v>0.62160000000000004</v>
      </c>
      <c r="I121" s="3107">
        <f>ROUND(0.5905-0.019*B116,4)</f>
        <v>0.54869999999999997</v>
      </c>
      <c r="J121" s="3107">
        <f t="shared" si="35"/>
        <v>0.54869999999999997</v>
      </c>
      <c r="K121" s="3107">
        <f t="shared" si="35"/>
        <v>0.54869999999999997</v>
      </c>
      <c r="L121" s="3107">
        <f t="shared" si="35"/>
        <v>0.54869999999999997</v>
      </c>
      <c r="M121" s="3108">
        <f t="shared" si="35"/>
        <v>0.54869999999999997</v>
      </c>
      <c r="N121" s="3093"/>
    </row>
    <row r="122" spans="1:14">
      <c r="A122" s="3109" t="s">
        <v>2609</v>
      </c>
      <c r="B122" s="3085">
        <f>ROUND(0.9404-0.0106*B116,4)</f>
        <v>0.91710000000000003</v>
      </c>
      <c r="C122" s="3085">
        <f>B122</f>
        <v>0.91710000000000003</v>
      </c>
      <c r="D122" s="3085">
        <f>ROUND(0.8955-0.0135*B116,4)</f>
        <v>0.86580000000000001</v>
      </c>
      <c r="E122" s="3085">
        <f t="shared" ref="E122:H122" si="37">D122</f>
        <v>0.86580000000000001</v>
      </c>
      <c r="F122" s="3085">
        <f t="shared" si="37"/>
        <v>0.86580000000000001</v>
      </c>
      <c r="G122" s="3085">
        <f t="shared" si="37"/>
        <v>0.86580000000000001</v>
      </c>
      <c r="H122" s="3085">
        <f t="shared" si="37"/>
        <v>0.86580000000000001</v>
      </c>
      <c r="I122" s="3085">
        <f>ROUND(0.7632-0.0166*B116,4)</f>
        <v>0.72670000000000001</v>
      </c>
      <c r="J122" s="3085">
        <f t="shared" si="35"/>
        <v>0.72670000000000001</v>
      </c>
      <c r="K122" s="3085">
        <f t="shared" si="35"/>
        <v>0.72670000000000001</v>
      </c>
      <c r="L122" s="3085">
        <f t="shared" si="35"/>
        <v>0.72670000000000001</v>
      </c>
      <c r="M122" s="3105">
        <f t="shared" si="35"/>
        <v>0.72670000000000001</v>
      </c>
      <c r="N122" s="3093"/>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7" type="noConversion"/>
  <conditionalFormatting sqref="F50">
    <cfRule type="cellIs" dxfId="38" priority="6" stopIfTrue="1" operator="notEqual">
      <formula>"——"</formula>
    </cfRule>
  </conditionalFormatting>
  <conditionalFormatting sqref="F61">
    <cfRule type="cellIs" dxfId="37" priority="5" stopIfTrue="1" operator="notEqual">
      <formula>"——"</formula>
    </cfRule>
  </conditionalFormatting>
  <conditionalFormatting sqref="F72">
    <cfRule type="cellIs" dxfId="36" priority="4" stopIfTrue="1" operator="notEqual">
      <formula>"——"</formula>
    </cfRule>
  </conditionalFormatting>
  <conditionalFormatting sqref="F83">
    <cfRule type="cellIs" dxfId="35" priority="3" stopIfTrue="1" operator="notEqual">
      <formula>"——"</formula>
    </cfRule>
  </conditionalFormatting>
  <conditionalFormatting sqref="H50:H58 H61:H69 H72:H80 H83:H91">
    <cfRule type="cellIs" dxfId="34" priority="2" operator="notEqual">
      <formula>"——"</formula>
    </cfRule>
  </conditionalFormatting>
  <conditionalFormatting sqref="H93:H101">
    <cfRule type="cellIs" dxfId="33" priority="1" operator="notEqual">
      <formula>"——"</formula>
    </cfRule>
  </conditionalFormatting>
  <dataValidations count="12">
    <dataValidation type="list" allowBlank="1" showInputMessage="1" showErrorMessage="1" sqref="J23" xr:uid="{00000000-0002-0000-2600-000000000000}">
      <formula1>"不用分区数据,中心城区,中心城区以外"</formula1>
    </dataValidation>
    <dataValidation type="list" allowBlank="1" showInputMessage="1" showErrorMessage="1" sqref="H20:O20" xr:uid="{00000000-0002-0000-2600-000001000000}">
      <formula1>七通一平</formula1>
    </dataValidation>
    <dataValidation type="list" allowBlank="1" showInputMessage="1" showErrorMessage="1" sqref="H23" xr:uid="{00000000-0002-0000-2600-000002000000}">
      <formula1>"地价指数,季度增幅（自定义）,按公示增长率计算"</formula1>
    </dataValidation>
    <dataValidation type="list" allowBlank="1" showInputMessage="1" showErrorMessage="1" sqref="C61:C69 C72:C80 C50:C58 C83:C91 C93:C101" xr:uid="{00000000-0002-0000-2600-000003000000}">
      <formula1>五等判定</formula1>
    </dataValidation>
    <dataValidation type="list" allowBlank="1" showInputMessage="1" showErrorMessage="1" sqref="E3" xr:uid="{00000000-0002-0000-2600-000004000000}">
      <formula1>二级分类</formula1>
    </dataValidation>
    <dataValidation type="list" allowBlank="1" showInputMessage="1" showErrorMessage="1" sqref="C8" xr:uid="{00000000-0002-0000-2600-000005000000}">
      <formula1>商业街名称</formula1>
    </dataValidation>
    <dataValidation type="list" allowBlank="1" showInputMessage="1" showErrorMessage="1" sqref="F3" xr:uid="{00000000-0002-0000-2600-000006000000}">
      <formula1>"宗地容积率,估价对象容积率,自定义容积率"</formula1>
    </dataValidation>
    <dataValidation type="list" allowBlank="1" showInputMessage="1" showErrorMessage="1" sqref="E2" xr:uid="{00000000-0002-0000-2600-000007000000}">
      <formula1>"商业,办公,住宅,工业,公共服务"</formula1>
    </dataValidation>
    <dataValidation type="list" allowBlank="1" showInputMessage="1" showErrorMessage="1" sqref="F21" xr:uid="{00000000-0002-0000-2600-000008000000}">
      <formula1>"与级别开发程度一致,与级别开发程度不一致"</formula1>
    </dataValidation>
    <dataValidation type="list" allowBlank="1" showInputMessage="1" showErrorMessage="1" sqref="B25" xr:uid="{00000000-0002-0000-2600-000009000000}">
      <formula1>"容积率修正,楼层修正"</formula1>
    </dataValidation>
    <dataValidation type="list" allowBlank="1" showInputMessage="1" showErrorMessage="1" sqref="C15:D15" xr:uid="{00000000-0002-0000-2600-00000A000000}">
      <formula1>"有,无"</formula1>
    </dataValidation>
    <dataValidation type="list" allowBlank="1" showInputMessage="1" showErrorMessage="1" sqref="E15" xr:uid="{00000000-0002-0000-26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3330</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449" t="s">
        <v>1770</v>
      </c>
      <c r="D4" s="3450"/>
      <c r="E4" s="3451" t="s">
        <v>1771</v>
      </c>
      <c r="F4" s="3452"/>
      <c r="G4" s="3449" t="s">
        <v>1772</v>
      </c>
      <c r="H4" s="3450"/>
      <c r="I4" s="3449" t="s">
        <v>1773</v>
      </c>
      <c r="J4" s="3450"/>
      <c r="K4" s="537" t="s">
        <v>1774</v>
      </c>
      <c r="L4" s="2482"/>
      <c r="M4" s="2483"/>
      <c r="N4" s="2483"/>
      <c r="O4" s="2483"/>
      <c r="P4" s="3453" t="s">
        <v>1775</v>
      </c>
      <c r="Q4" s="3454"/>
      <c r="R4" s="3459" t="s">
        <v>1771</v>
      </c>
      <c r="S4" s="3460"/>
      <c r="T4" s="3459" t="s">
        <v>1772</v>
      </c>
      <c r="U4" s="3460"/>
      <c r="V4" s="3435" t="s">
        <v>1773</v>
      </c>
      <c r="W4" s="3435"/>
      <c r="X4" s="1264"/>
      <c r="Y4" s="3459" t="s">
        <v>1775</v>
      </c>
      <c r="Z4" s="3460"/>
      <c r="AA4" s="3446" t="s">
        <v>1771</v>
      </c>
      <c r="AB4" s="3447" t="s">
        <v>1772</v>
      </c>
      <c r="AC4" s="3446" t="s">
        <v>1773</v>
      </c>
    </row>
    <row r="5" spans="1:29">
      <c r="A5" s="348"/>
      <c r="B5" s="349"/>
      <c r="C5" s="3478" t="s">
        <v>1673</v>
      </c>
      <c r="D5" s="3479"/>
      <c r="E5" s="3480" t="s">
        <v>1674</v>
      </c>
      <c r="F5" s="3481"/>
      <c r="G5" s="3478" t="s">
        <v>1675</v>
      </c>
      <c r="H5" s="3479"/>
      <c r="I5" s="3478" t="s">
        <v>1676</v>
      </c>
      <c r="J5" s="3479"/>
      <c r="K5" s="537"/>
      <c r="L5" s="2482"/>
      <c r="M5" s="2483"/>
      <c r="N5" s="2483"/>
      <c r="O5" s="2483"/>
      <c r="P5" s="3455"/>
      <c r="Q5" s="3456"/>
      <c r="R5" s="3461"/>
      <c r="S5" s="3462"/>
      <c r="T5" s="3461"/>
      <c r="U5" s="3462"/>
      <c r="V5" s="3435"/>
      <c r="W5" s="3435"/>
      <c r="X5" s="1264"/>
      <c r="Y5" s="3461"/>
      <c r="Z5" s="3462"/>
      <c r="AA5" s="3447"/>
      <c r="AB5" s="3447"/>
      <c r="AC5" s="3447"/>
    </row>
    <row r="6" spans="1:29" ht="15" thickBot="1">
      <c r="A6" s="350"/>
      <c r="B6" s="351"/>
      <c r="C6" s="3465" t="s">
        <v>1677</v>
      </c>
      <c r="D6" s="3466"/>
      <c r="E6" s="3472" t="s">
        <v>1677</v>
      </c>
      <c r="F6" s="3473"/>
      <c r="G6" s="3465" t="s">
        <v>1677</v>
      </c>
      <c r="H6" s="3466"/>
      <c r="I6" s="3465" t="s">
        <v>1677</v>
      </c>
      <c r="J6" s="3466"/>
      <c r="K6" s="537" t="s">
        <v>1678</v>
      </c>
      <c r="L6" s="2482"/>
      <c r="M6" s="2483"/>
      <c r="N6" s="2483"/>
      <c r="O6" s="2483"/>
      <c r="P6" s="3457"/>
      <c r="Q6" s="3458"/>
      <c r="R6" s="3461"/>
      <c r="S6" s="3462"/>
      <c r="T6" s="3463"/>
      <c r="U6" s="3464"/>
      <c r="V6" s="3435"/>
      <c r="W6" s="3435"/>
      <c r="X6" s="1264"/>
      <c r="Y6" s="3463"/>
      <c r="Z6" s="3464"/>
      <c r="AA6" s="3448"/>
      <c r="AB6" s="3448"/>
      <c r="AC6" s="3448"/>
    </row>
    <row r="7" spans="1:29" s="102" customFormat="1" ht="15" thickBot="1">
      <c r="A7" s="352" t="s">
        <v>1679</v>
      </c>
      <c r="B7" s="353"/>
      <c r="C7" s="354">
        <f>'数据-取费表'!B2</f>
        <v>45826</v>
      </c>
      <c r="D7" s="355">
        <v>100</v>
      </c>
      <c r="E7" s="356"/>
      <c r="F7" s="357">
        <f>SUMIF(46:46,YEAR(E7)&amp;"-"&amp;MONTH(E7),47:47)</f>
        <v>0</v>
      </c>
      <c r="G7" s="1818"/>
      <c r="H7" s="355">
        <f>SUMIF(46:46,YEAR(G7)&amp;"-"&amp;MONTH(G7),47:47)</f>
        <v>0</v>
      </c>
      <c r="I7" s="356"/>
      <c r="J7" s="355">
        <f>SUMIF(46:46,YEAR(I7)&amp;"-"&amp;MONTH(I7),47:47)</f>
        <v>0</v>
      </c>
      <c r="K7" s="38"/>
      <c r="L7" s="2484"/>
      <c r="M7" s="2436"/>
      <c r="N7" s="2436"/>
      <c r="O7" s="2436"/>
      <c r="P7" s="3469" t="s">
        <v>1680</v>
      </c>
      <c r="Q7" s="3471"/>
      <c r="R7" s="664" t="s">
        <v>14</v>
      </c>
      <c r="S7" s="665">
        <f t="shared" ref="S7:S14" si="0">F7</f>
        <v>0</v>
      </c>
      <c r="T7" s="664" t="s">
        <v>14</v>
      </c>
      <c r="U7" s="665">
        <f t="shared" ref="U7:U14" si="1">H7</f>
        <v>0</v>
      </c>
      <c r="V7" s="664" t="s">
        <v>14</v>
      </c>
      <c r="W7" s="665">
        <f t="shared" ref="W7:W14" si="2">J7</f>
        <v>0</v>
      </c>
      <c r="X7" s="666"/>
      <c r="Y7" s="3469" t="s">
        <v>1680</v>
      </c>
      <c r="Z7" s="347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469" t="s">
        <v>1683</v>
      </c>
      <c r="Q8" s="3470"/>
      <c r="R8" s="664" t="s">
        <v>14</v>
      </c>
      <c r="S8" s="665">
        <f t="shared" si="0"/>
        <v>100</v>
      </c>
      <c r="T8" s="664" t="s">
        <v>14</v>
      </c>
      <c r="U8" s="665">
        <f t="shared" si="1"/>
        <v>100</v>
      </c>
      <c r="V8" s="664" t="s">
        <v>14</v>
      </c>
      <c r="W8" s="665">
        <f t="shared" si="2"/>
        <v>100</v>
      </c>
      <c r="X8" s="666"/>
      <c r="Y8" s="3469" t="s">
        <v>1683</v>
      </c>
      <c r="Z8" s="347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434" t="s">
        <v>1686</v>
      </c>
      <c r="Q9" s="530" t="str">
        <f t="shared" ref="Q9:Q14" si="6">B9</f>
        <v>用途</v>
      </c>
      <c r="R9" s="664" t="s">
        <v>14</v>
      </c>
      <c r="S9" s="665">
        <f t="shared" si="0"/>
        <v>100</v>
      </c>
      <c r="T9" s="664" t="s">
        <v>14</v>
      </c>
      <c r="U9" s="665">
        <f t="shared" si="1"/>
        <v>100</v>
      </c>
      <c r="V9" s="664" t="s">
        <v>14</v>
      </c>
      <c r="W9" s="665">
        <f t="shared" si="2"/>
        <v>100</v>
      </c>
      <c r="X9" s="666"/>
      <c r="Y9" s="3334"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434"/>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434"/>
      <c r="Q11" s="530">
        <f t="shared" si="6"/>
        <v>111</v>
      </c>
      <c r="R11" s="664" t="s">
        <v>14</v>
      </c>
      <c r="S11" s="665">
        <f t="shared" si="0"/>
        <v>100</v>
      </c>
      <c r="T11" s="664" t="s">
        <v>14</v>
      </c>
      <c r="U11" s="665">
        <f t="shared" si="1"/>
        <v>100</v>
      </c>
      <c r="V11" s="664" t="s">
        <v>14</v>
      </c>
      <c r="W11" s="665">
        <f t="shared" si="2"/>
        <v>100</v>
      </c>
      <c r="X11" s="666"/>
      <c r="Y11" s="333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434"/>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8"/>
      <c r="M13" s="2483"/>
      <c r="N13" s="2483"/>
      <c r="O13" s="2538"/>
      <c r="P13" s="3434"/>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96.6">
      <c r="A14" s="379" t="s">
        <v>1690</v>
      </c>
      <c r="B14" s="58" t="s">
        <v>1833</v>
      </c>
      <c r="C14" s="1815"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36" t="s">
        <v>1691</v>
      </c>
      <c r="Q14" s="1262" t="str">
        <f t="shared" si="6"/>
        <v>交通便捷度</v>
      </c>
      <c r="R14" s="667" t="s">
        <v>14</v>
      </c>
      <c r="S14" s="668">
        <f t="shared" si="0"/>
        <v>100</v>
      </c>
      <c r="T14" s="667" t="s">
        <v>14</v>
      </c>
      <c r="U14" s="668">
        <f t="shared" si="1"/>
        <v>100</v>
      </c>
      <c r="V14" s="667" t="s">
        <v>14</v>
      </c>
      <c r="W14" s="668">
        <f t="shared" si="2"/>
        <v>100</v>
      </c>
      <c r="X14" s="1264"/>
      <c r="Y14" s="343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437"/>
      <c r="Q15" s="1262"/>
      <c r="R15" s="667"/>
      <c r="S15" s="668"/>
      <c r="T15" s="667"/>
      <c r="U15" s="668"/>
      <c r="V15" s="667"/>
      <c r="W15" s="668"/>
      <c r="X15" s="1264"/>
      <c r="Y15" s="3437"/>
      <c r="Z15" s="1263"/>
      <c r="AA15" s="1263">
        <v>1</v>
      </c>
      <c r="AB15" s="1263">
        <v>1</v>
      </c>
      <c r="AC15" s="1263">
        <v>1</v>
      </c>
    </row>
    <row r="16" spans="1:29" ht="41.4">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37"/>
      <c r="Q16" s="1262" t="str">
        <f>B16</f>
        <v>公共配套设施</v>
      </c>
      <c r="R16" s="667" t="s">
        <v>14</v>
      </c>
      <c r="S16" s="668">
        <f>F16</f>
        <v>100</v>
      </c>
      <c r="T16" s="667" t="s">
        <v>14</v>
      </c>
      <c r="U16" s="668">
        <f>H16</f>
        <v>100</v>
      </c>
      <c r="V16" s="667" t="s">
        <v>14</v>
      </c>
      <c r="W16" s="668">
        <f>J16</f>
        <v>100</v>
      </c>
      <c r="X16" s="1264"/>
      <c r="Y16" s="3437"/>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88"/>
      <c r="M17" s="2483"/>
      <c r="N17" s="2483"/>
      <c r="O17" s="2538"/>
      <c r="P17" s="3437"/>
      <c r="Q17" s="1262"/>
      <c r="R17" s="667"/>
      <c r="S17" s="668"/>
      <c r="T17" s="667"/>
      <c r="U17" s="668"/>
      <c r="V17" s="667"/>
      <c r="W17" s="668"/>
      <c r="X17" s="1264"/>
      <c r="Y17" s="3437"/>
      <c r="Z17" s="1263"/>
      <c r="AA17" s="1263">
        <v>1</v>
      </c>
      <c r="AB17" s="1263">
        <v>1</v>
      </c>
      <c r="AC17" s="1263">
        <v>1</v>
      </c>
    </row>
    <row r="18" spans="1:29" ht="41.4">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37"/>
      <c r="Q18" s="1262" t="str">
        <f>B18</f>
        <v>基础设施水平</v>
      </c>
      <c r="R18" s="667" t="s">
        <v>14</v>
      </c>
      <c r="S18" s="668">
        <f>F18</f>
        <v>100</v>
      </c>
      <c r="T18" s="667" t="s">
        <v>14</v>
      </c>
      <c r="U18" s="668">
        <f>H18</f>
        <v>100</v>
      </c>
      <c r="V18" s="667" t="s">
        <v>14</v>
      </c>
      <c r="W18" s="668">
        <f>J18</f>
        <v>100</v>
      </c>
      <c r="X18" s="1264"/>
      <c r="Y18" s="3437"/>
      <c r="Z18" s="1263" t="str">
        <f>Q18</f>
        <v>基础设施水平</v>
      </c>
      <c r="AA18" s="1263">
        <f t="shared" ref="AA18" si="8">D18/F18</f>
        <v>1</v>
      </c>
      <c r="AB18" s="1263">
        <f t="shared" ref="AB18" si="9">D18/H18</f>
        <v>1</v>
      </c>
      <c r="AC18" s="1263">
        <f t="shared" ref="AC18" si="10">D18/J18</f>
        <v>1</v>
      </c>
    </row>
    <row r="19" spans="1:29" ht="15">
      <c r="A19" s="367"/>
      <c r="B19" s="586"/>
      <c r="C19" s="1753"/>
      <c r="D19" s="389"/>
      <c r="E19" s="1753"/>
      <c r="F19" s="392"/>
      <c r="G19" s="1753"/>
      <c r="H19" s="387"/>
      <c r="I19" s="386"/>
      <c r="J19" s="387"/>
      <c r="K19" s="1064"/>
      <c r="L19" s="2488"/>
      <c r="M19" s="2483"/>
      <c r="N19" s="2483"/>
      <c r="O19" s="2538"/>
      <c r="P19" s="3437"/>
      <c r="Q19" s="1262"/>
      <c r="R19" s="667"/>
      <c r="S19" s="668"/>
      <c r="T19" s="667"/>
      <c r="U19" s="668"/>
      <c r="V19" s="667"/>
      <c r="W19" s="668"/>
      <c r="X19" s="1264"/>
      <c r="Y19" s="3437"/>
      <c r="Z19" s="1263"/>
      <c r="AA19" s="1263">
        <v>1</v>
      </c>
      <c r="AB19" s="1263">
        <v>1</v>
      </c>
      <c r="AC19" s="1263">
        <v>1</v>
      </c>
    </row>
    <row r="20" spans="1:29" ht="55.2">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37"/>
      <c r="Q20" s="1262" t="str">
        <f>B20</f>
        <v>自然及人文环境</v>
      </c>
      <c r="R20" s="667" t="s">
        <v>14</v>
      </c>
      <c r="S20" s="668">
        <f>F20</f>
        <v>100</v>
      </c>
      <c r="T20" s="667" t="s">
        <v>14</v>
      </c>
      <c r="U20" s="668">
        <f>H20</f>
        <v>100</v>
      </c>
      <c r="V20" s="667" t="s">
        <v>14</v>
      </c>
      <c r="W20" s="668">
        <f>J20</f>
        <v>100</v>
      </c>
      <c r="X20" s="1264"/>
      <c r="Y20" s="343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437"/>
      <c r="Q21" s="1262"/>
      <c r="R21" s="667"/>
      <c r="S21" s="668"/>
      <c r="T21" s="667"/>
      <c r="U21" s="668"/>
      <c r="V21" s="667"/>
      <c r="W21" s="668"/>
      <c r="X21" s="1264"/>
      <c r="Y21" s="343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37"/>
      <c r="Q22" s="1262" t="str">
        <f>B22</f>
        <v>楼层</v>
      </c>
      <c r="R22" s="667" t="s">
        <v>14</v>
      </c>
      <c r="S22" s="668">
        <f>F22</f>
        <v>100</v>
      </c>
      <c r="T22" s="667" t="s">
        <v>14</v>
      </c>
      <c r="U22" s="668">
        <f>H22</f>
        <v>100</v>
      </c>
      <c r="V22" s="667" t="s">
        <v>14</v>
      </c>
      <c r="W22" s="668">
        <f>J22</f>
        <v>100</v>
      </c>
      <c r="X22" s="1264"/>
      <c r="Y22" s="343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37"/>
      <c r="Q23" s="1262">
        <f>B23</f>
        <v>111</v>
      </c>
      <c r="R23" s="667" t="s">
        <v>14</v>
      </c>
      <c r="S23" s="668">
        <f>F23</f>
        <v>100</v>
      </c>
      <c r="T23" s="667" t="s">
        <v>14</v>
      </c>
      <c r="U23" s="668">
        <f>H23</f>
        <v>100</v>
      </c>
      <c r="V23" s="667" t="s">
        <v>14</v>
      </c>
      <c r="W23" s="668">
        <f>J23</f>
        <v>100</v>
      </c>
      <c r="X23" s="1264"/>
      <c r="Y23" s="343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37"/>
      <c r="Q24" s="1262">
        <f t="shared" ref="Q24:Q34" si="11">B24</f>
        <v>111</v>
      </c>
      <c r="R24" s="667" t="s">
        <v>14</v>
      </c>
      <c r="S24" s="668">
        <f>F24</f>
        <v>100</v>
      </c>
      <c r="T24" s="667" t="s">
        <v>14</v>
      </c>
      <c r="U24" s="668">
        <f>H24</f>
        <v>100</v>
      </c>
      <c r="V24" s="667" t="s">
        <v>14</v>
      </c>
      <c r="W24" s="668">
        <f>J24</f>
        <v>100</v>
      </c>
      <c r="X24" s="1264"/>
      <c r="Y24" s="3437"/>
      <c r="Z24" s="1263">
        <f>Q24</f>
        <v>111</v>
      </c>
      <c r="AA24" s="1263">
        <f t="shared" si="3"/>
        <v>1</v>
      </c>
      <c r="AB24" s="1263">
        <f t="shared" si="4"/>
        <v>1</v>
      </c>
      <c r="AC24" s="1263">
        <f t="shared" si="5"/>
        <v>1</v>
      </c>
    </row>
    <row r="25" spans="1:29" s="102" customFormat="1" ht="15.6"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4"/>
      <c r="M25" s="2436"/>
      <c r="N25" s="2436"/>
      <c r="O25" s="2536"/>
      <c r="P25" s="3437"/>
      <c r="Q25" s="530">
        <f t="shared" si="11"/>
        <v>111</v>
      </c>
      <c r="R25" s="664" t="s">
        <v>14</v>
      </c>
      <c r="S25" s="665">
        <f>F25</f>
        <v>100</v>
      </c>
      <c r="T25" s="664" t="s">
        <v>14</v>
      </c>
      <c r="U25" s="665">
        <f>H25</f>
        <v>100</v>
      </c>
      <c r="V25" s="664" t="s">
        <v>14</v>
      </c>
      <c r="W25" s="665">
        <f>J25</f>
        <v>100</v>
      </c>
      <c r="X25" s="666"/>
      <c r="Y25" s="3437"/>
      <c r="Z25" s="50">
        <f>Q25</f>
        <v>111</v>
      </c>
      <c r="AA25" s="1263">
        <f>D25/F25</f>
        <v>1</v>
      </c>
      <c r="AB25" s="1263">
        <f>D25/H25</f>
        <v>1</v>
      </c>
      <c r="AC25" s="1263">
        <f>D25/J25</f>
        <v>1</v>
      </c>
    </row>
    <row r="26" spans="1:29" ht="30">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88"/>
      <c r="M26" s="2483"/>
      <c r="N26" s="2483"/>
      <c r="O26" s="2538"/>
      <c r="P26" s="3477"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4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41"/>
      <c r="Q27" s="531" t="str">
        <f t="shared" si="11"/>
        <v>成新率</v>
      </c>
      <c r="R27" s="669" t="s">
        <v>14</v>
      </c>
      <c r="S27" s="670" t="e">
        <f t="shared" si="12"/>
        <v>#N/A</v>
      </c>
      <c r="T27" s="669" t="s">
        <v>14</v>
      </c>
      <c r="U27" s="670" t="e">
        <f t="shared" si="13"/>
        <v>#N/A</v>
      </c>
      <c r="V27" s="669" t="s">
        <v>14</v>
      </c>
      <c r="W27" s="670" t="e">
        <f t="shared" si="14"/>
        <v>#N/A</v>
      </c>
      <c r="X27" s="671"/>
      <c r="Y27" s="3441"/>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41"/>
      <c r="Q28" s="1262" t="str">
        <f t="shared" si="11"/>
        <v>物业等级</v>
      </c>
      <c r="R28" s="667" t="s">
        <v>14</v>
      </c>
      <c r="S28" s="668">
        <f t="shared" si="12"/>
        <v>100</v>
      </c>
      <c r="T28" s="667" t="s">
        <v>14</v>
      </c>
      <c r="U28" s="668">
        <f t="shared" si="13"/>
        <v>100</v>
      </c>
      <c r="V28" s="667" t="s">
        <v>14</v>
      </c>
      <c r="W28" s="668">
        <f t="shared" si="14"/>
        <v>100</v>
      </c>
      <c r="X28" s="1264"/>
      <c r="Y28" s="3441"/>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41"/>
      <c r="Q29" s="1262" t="str">
        <f t="shared" si="11"/>
        <v>有无电梯</v>
      </c>
      <c r="R29" s="667" t="s">
        <v>14</v>
      </c>
      <c r="S29" s="668">
        <f t="shared" si="12"/>
        <v>100</v>
      </c>
      <c r="T29" s="667" t="s">
        <v>14</v>
      </c>
      <c r="U29" s="668">
        <f t="shared" si="13"/>
        <v>100</v>
      </c>
      <c r="V29" s="667" t="s">
        <v>14</v>
      </c>
      <c r="W29" s="668">
        <f t="shared" si="14"/>
        <v>100</v>
      </c>
      <c r="X29" s="1264"/>
      <c r="Y29" s="344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41"/>
      <c r="Q30" s="1262" t="str">
        <f t="shared" si="11"/>
        <v>建筑面积</v>
      </c>
      <c r="R30" s="667" t="s">
        <v>14</v>
      </c>
      <c r="S30" s="668" t="e">
        <f t="shared" si="12"/>
        <v>#N/A</v>
      </c>
      <c r="T30" s="667" t="s">
        <v>14</v>
      </c>
      <c r="U30" s="668" t="e">
        <f t="shared" si="13"/>
        <v>#N/A</v>
      </c>
      <c r="V30" s="667" t="s">
        <v>14</v>
      </c>
      <c r="W30" s="668" t="e">
        <f t="shared" si="14"/>
        <v>#N/A</v>
      </c>
      <c r="X30" s="1264"/>
      <c r="Y30" s="3441"/>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441"/>
      <c r="Q31" s="530" t="str">
        <f t="shared" si="11"/>
        <v>是否封闭</v>
      </c>
      <c r="R31" s="664" t="s">
        <v>14</v>
      </c>
      <c r="S31" s="665">
        <f t="shared" si="12"/>
        <v>100</v>
      </c>
      <c r="T31" s="664" t="s">
        <v>14</v>
      </c>
      <c r="U31" s="665">
        <f t="shared" si="13"/>
        <v>100</v>
      </c>
      <c r="V31" s="664" t="s">
        <v>14</v>
      </c>
      <c r="W31" s="665">
        <f t="shared" si="14"/>
        <v>100</v>
      </c>
      <c r="X31" s="666"/>
      <c r="Y31" s="344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41" t="s">
        <v>1696</v>
      </c>
      <c r="Q32" s="1262">
        <f t="shared" si="11"/>
        <v>111</v>
      </c>
      <c r="R32" s="667" t="s">
        <v>14</v>
      </c>
      <c r="S32" s="668">
        <f t="shared" si="12"/>
        <v>100</v>
      </c>
      <c r="T32" s="667" t="s">
        <v>14</v>
      </c>
      <c r="U32" s="668">
        <f t="shared" si="13"/>
        <v>100</v>
      </c>
      <c r="V32" s="667" t="s">
        <v>14</v>
      </c>
      <c r="W32" s="668">
        <f t="shared" si="14"/>
        <v>100</v>
      </c>
      <c r="X32" s="1264"/>
      <c r="Y32" s="344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41"/>
      <c r="Q33" s="1262">
        <f t="shared" si="11"/>
        <v>111</v>
      </c>
      <c r="R33" s="667" t="s">
        <v>14</v>
      </c>
      <c r="S33" s="668">
        <f t="shared" si="12"/>
        <v>100</v>
      </c>
      <c r="T33" s="667" t="s">
        <v>14</v>
      </c>
      <c r="U33" s="668">
        <f t="shared" si="13"/>
        <v>100</v>
      </c>
      <c r="V33" s="667" t="s">
        <v>14</v>
      </c>
      <c r="W33" s="668">
        <f t="shared" si="14"/>
        <v>100</v>
      </c>
      <c r="X33" s="1264"/>
      <c r="Y33" s="3441"/>
      <c r="Z33" s="1263">
        <f t="shared" si="15"/>
        <v>111</v>
      </c>
      <c r="AA33" s="1263">
        <f t="shared" si="3"/>
        <v>1</v>
      </c>
      <c r="AB33" s="1263">
        <f t="shared" si="4"/>
        <v>1</v>
      </c>
      <c r="AC33" s="1263">
        <f t="shared" si="5"/>
        <v>1</v>
      </c>
    </row>
    <row r="34" spans="1:30" ht="15.6" thickBot="1">
      <c r="A34" s="415"/>
      <c r="B34" s="1747">
        <v>111</v>
      </c>
      <c r="C34" s="376"/>
      <c r="D34" s="377">
        <v>100</v>
      </c>
      <c r="E34" s="1819"/>
      <c r="F34" s="378">
        <f>SUMIF(95:95,E34,96:96)-SUMIF(95:95,C34,96:96)+100</f>
        <v>100</v>
      </c>
      <c r="G34" s="1819"/>
      <c r="H34" s="377">
        <f>SUMIF(95:95,G34,96:96)-SUMIF(95:95,C34,96:96)+100</f>
        <v>100</v>
      </c>
      <c r="I34" s="1819"/>
      <c r="J34" s="377">
        <f>SUMIF(95:95,I34,96:96)-SUMIF(95:95,C34,96:96)+100</f>
        <v>100</v>
      </c>
      <c r="K34" s="539"/>
      <c r="L34" s="2488"/>
      <c r="M34" s="2483"/>
      <c r="N34" s="2483"/>
      <c r="O34" s="2538"/>
      <c r="P34" s="3441"/>
      <c r="Q34" s="1262">
        <f t="shared" si="11"/>
        <v>111</v>
      </c>
      <c r="R34" s="667" t="s">
        <v>14</v>
      </c>
      <c r="S34" s="668">
        <f t="shared" si="12"/>
        <v>100</v>
      </c>
      <c r="T34" s="667" t="s">
        <v>14</v>
      </c>
      <c r="U34" s="668">
        <f t="shared" si="13"/>
        <v>100</v>
      </c>
      <c r="V34" s="667" t="s">
        <v>14</v>
      </c>
      <c r="W34" s="668">
        <f t="shared" si="14"/>
        <v>100</v>
      </c>
      <c r="X34" s="1264"/>
      <c r="Y34" s="3441"/>
      <c r="Z34" s="1263">
        <f t="shared" si="15"/>
        <v>111</v>
      </c>
      <c r="AA34" s="1263">
        <f t="shared" si="3"/>
        <v>1</v>
      </c>
      <c r="AB34" s="1263">
        <f t="shared" si="4"/>
        <v>1</v>
      </c>
      <c r="AC34" s="1263">
        <f t="shared" si="5"/>
        <v>1</v>
      </c>
    </row>
    <row r="35" spans="1:30" ht="14.4">
      <c r="A35" s="416" t="s">
        <v>1708</v>
      </c>
      <c r="B35" s="417"/>
      <c r="C35" s="1081" t="s">
        <v>0</v>
      </c>
      <c r="D35" s="418"/>
      <c r="E35" s="419"/>
      <c r="F35" s="420"/>
      <c r="G35" s="421"/>
      <c r="H35" s="422"/>
      <c r="I35" s="419"/>
      <c r="J35" s="422"/>
      <c r="K35" s="674"/>
      <c r="L35" s="2490"/>
      <c r="M35" s="2483"/>
      <c r="N35" s="2483"/>
      <c r="O35" s="2483"/>
      <c r="P35" s="3434" t="str">
        <f>A35</f>
        <v>成交单价（元/平方米）</v>
      </c>
      <c r="Q35" s="3434"/>
      <c r="R35" s="3435">
        <f>E35</f>
        <v>0</v>
      </c>
      <c r="S35" s="3435"/>
      <c r="T35" s="3435">
        <f>G35</f>
        <v>0</v>
      </c>
      <c r="U35" s="3435"/>
      <c r="V35" s="3435">
        <f>I35</f>
        <v>0</v>
      </c>
      <c r="W35" s="3435"/>
      <c r="X35" s="385"/>
      <c r="Y35" s="673"/>
      <c r="Z35" s="385"/>
      <c r="AA35" s="385"/>
      <c r="AB35" s="385"/>
      <c r="AC35" s="385"/>
    </row>
    <row r="36" spans="1:30" ht="15" thickBot="1">
      <c r="A36" s="423" t="s">
        <v>1793</v>
      </c>
      <c r="B36" s="424"/>
      <c r="C36" s="1082" t="e">
        <f>R37</f>
        <v>#DIV/0!</v>
      </c>
      <c r="D36" s="2137" t="s">
        <v>2135</v>
      </c>
      <c r="E36" s="1083" t="e">
        <f>R36</f>
        <v>#DIV/0!</v>
      </c>
      <c r="F36" s="2138"/>
      <c r="G36" s="1082" t="e">
        <f>T36</f>
        <v>#DIV/0!</v>
      </c>
      <c r="H36" s="2138"/>
      <c r="I36" s="1083" t="e">
        <f>V36</f>
        <v>#DIV/0!</v>
      </c>
      <c r="J36" s="2138"/>
      <c r="K36" s="2140">
        <f>F36+H36+J36</f>
        <v>0</v>
      </c>
      <c r="L36" s="2490"/>
      <c r="M36" s="2483"/>
      <c r="N36" s="2483"/>
      <c r="O36" s="2483"/>
      <c r="P36" s="3434" t="str">
        <f>A36</f>
        <v>比较价值（元/平方米）</v>
      </c>
      <c r="Q36" s="3434"/>
      <c r="R36" s="3435" t="e">
        <f>IF(F1="售价",ROUND(PRODUCT(R35,AA7:AA34),0),ROUND(PRODUCT(R35,AA7:AA34),1))</f>
        <v>#DIV/0!</v>
      </c>
      <c r="S36" s="3435"/>
      <c r="T36" s="3435" t="e">
        <f>IF(F1="售价",ROUND(PRODUCT(T35,AB7:AB34),0),ROUND(PRODUCT(T35,AB7:AB34),1))</f>
        <v>#DIV/0!</v>
      </c>
      <c r="U36" s="3435"/>
      <c r="V36" s="3435" t="e">
        <f>IF(F1="售价",ROUND(PRODUCT(V35,AC7:AC34),0),ROUND(PRODUCT(V35,AC7:AC34),1))</f>
        <v>#DIV/0!</v>
      </c>
      <c r="W36" s="343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0"/>
      <c r="M37" s="2483"/>
      <c r="N37" s="2483"/>
      <c r="O37" s="2483"/>
      <c r="P37" s="3431" t="str">
        <f>A37</f>
        <v>估价对象XX用房的比较价值（楼面单价，元/平方米）</v>
      </c>
      <c r="Q37" s="3432"/>
      <c r="R37" s="3529" t="e">
        <f>IF(F1="售价",ROUND(IF(D36="简单平均",AVERAGE(R36:W36),R36*F36+T36*H36+V36*J36),0),ROUND(IF(D36="简单平均",AVERAGE(R36:V36),R36*F36+T36*H36+V36*J36),1))</f>
        <v>#DIV/0!</v>
      </c>
      <c r="S37" s="3529"/>
      <c r="T37" s="3529"/>
      <c r="U37" s="3529"/>
      <c r="V37" s="3529"/>
      <c r="W37" s="3529"/>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1679</v>
      </c>
      <c r="B46" s="441"/>
      <c r="C46" s="1102" t="str">
        <f>YEAR(C7)&amp;"-"&amp;MONTH(C7)</f>
        <v>2025-6</v>
      </c>
      <c r="D46" s="1103">
        <f>EDATE(C46,-1)</f>
        <v>45778</v>
      </c>
      <c r="E46" s="1103">
        <f t="shared" ref="E46:O46" si="16">EDATE(D46,-1)</f>
        <v>45748</v>
      </c>
      <c r="F46" s="1103">
        <f t="shared" si="16"/>
        <v>45717</v>
      </c>
      <c r="G46" s="1103">
        <f t="shared" si="16"/>
        <v>45689</v>
      </c>
      <c r="H46" s="1103">
        <f t="shared" si="16"/>
        <v>45658</v>
      </c>
      <c r="I46" s="1103">
        <f t="shared" si="16"/>
        <v>45627</v>
      </c>
      <c r="J46" s="1103">
        <f t="shared" si="16"/>
        <v>45597</v>
      </c>
      <c r="K46" s="1103">
        <f t="shared" si="16"/>
        <v>45566</v>
      </c>
      <c r="L46" s="1103">
        <f t="shared" si="16"/>
        <v>45536</v>
      </c>
      <c r="M46" s="1103">
        <f t="shared" si="16"/>
        <v>45505</v>
      </c>
      <c r="N46" s="1103">
        <f t="shared" si="16"/>
        <v>45474</v>
      </c>
      <c r="O46" s="1103">
        <f t="shared" si="16"/>
        <v>45444</v>
      </c>
      <c r="P46" s="2506"/>
      <c r="Q46" s="2506"/>
      <c r="R46" s="2506"/>
      <c r="S46" s="2506"/>
      <c r="T46" s="2506"/>
      <c r="U46" s="2506"/>
      <c r="V46" s="2506"/>
      <c r="W46" s="2506"/>
      <c r="X46" s="2506"/>
      <c r="Y46" s="2506"/>
      <c r="Z46" s="2506"/>
      <c r="AA46" s="2506"/>
      <c r="AB46" s="2506"/>
      <c r="AC46" s="2506"/>
      <c r="AD46" s="2506"/>
    </row>
    <row r="47" spans="1:30" s="102" customFormat="1">
      <c r="A47" s="443"/>
      <c r="B47" s="444"/>
      <c r="C47" s="1101">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4.4">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ht="14.4">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1813</v>
      </c>
      <c r="C65" s="581" t="s">
        <v>1799</v>
      </c>
      <c r="D65" s="581" t="s">
        <v>1800</v>
      </c>
      <c r="E65" s="581" t="s">
        <v>1801</v>
      </c>
      <c r="F65" s="581" t="s">
        <v>1802</v>
      </c>
      <c r="G65" s="581" t="s">
        <v>1803</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E40">
    <cfRule type="expression" dxfId="32" priority="13" stopIfTrue="1">
      <formula>$F$40="超过30%"</formula>
    </cfRule>
  </conditionalFormatting>
  <conditionalFormatting sqref="E41">
    <cfRule type="expression" dxfId="31" priority="11" stopIfTrue="1">
      <formula>$F$41="超过20%"</formula>
    </cfRule>
  </conditionalFormatting>
  <conditionalFormatting sqref="E42">
    <cfRule type="expression" dxfId="30" priority="10" stopIfTrue="1">
      <formula>$F$42="超过30%"</formula>
    </cfRule>
  </conditionalFormatting>
  <conditionalFormatting sqref="F7:F34 H7:H34 J7:J34">
    <cfRule type="cellIs" dxfId="29" priority="1" operator="notEqual">
      <formula>100</formula>
    </cfRule>
  </conditionalFormatting>
  <conditionalFormatting sqref="F36">
    <cfRule type="expression" dxfId="28" priority="4">
      <formula>$D$36="简单平均"</formula>
    </cfRule>
  </conditionalFormatting>
  <conditionalFormatting sqref="F40:F42 H40:H42 J40:J42">
    <cfRule type="containsText" dxfId="27" priority="14" stopIfTrue="1" operator="containsText" text="超过">
      <formula>NOT(ISERROR(SEARCH("超过",F40)))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G42">
    <cfRule type="expression" dxfId="24" priority="12" stopIfTrue="1">
      <formula>$H$54+$H$42="超过30%"</formula>
    </cfRule>
  </conditionalFormatting>
  <conditionalFormatting sqref="H36">
    <cfRule type="expression" dxfId="23" priority="3">
      <formula>$D$36="简单平均"</formula>
    </cfRule>
  </conditionalFormatting>
  <conditionalFormatting sqref="I40">
    <cfRule type="expression" dxfId="22" priority="7" stopIfTrue="1">
      <formula>$J$40="超过30%"</formula>
    </cfRule>
  </conditionalFormatting>
  <conditionalFormatting sqref="I41">
    <cfRule type="expression" dxfId="21" priority="6" stopIfTrue="1">
      <formula>$J$41="超过20%"</formula>
    </cfRule>
  </conditionalFormatting>
  <conditionalFormatting sqref="I42">
    <cfRule type="expression" dxfId="20" priority="5" stopIfTrue="1">
      <formula>$J$42="超过30%"</formula>
    </cfRule>
  </conditionalFormatting>
  <conditionalFormatting sqref="J36">
    <cfRule type="expression" dxfId="19" priority="2">
      <formula>$D$36="简单平均"</formula>
    </cfRule>
  </conditionalFormatting>
  <dataValidations count="18">
    <dataValidation type="list" allowBlank="1" showInputMessage="1" showErrorMessage="1" sqref="G15 E15 C15 I15" xr:uid="{00000000-0002-0000-2700-000000000000}">
      <formula1>交通便捷度</formula1>
    </dataValidation>
    <dataValidation type="list" allowBlank="1" showInputMessage="1" showErrorMessage="1" sqref="G17 C17 E17 I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C2" xr:uid="{00000000-0002-0000-2700-00000E000000}">
      <formula1>"需扣减承租人权益,——"</formula1>
    </dataValidation>
    <dataValidation type="list" allowBlank="1" showInputMessage="1" showErrorMessage="1" sqref="F2" xr:uid="{00000000-0002-0000-2700-00000F000000}">
      <formula1>估价方法</formula1>
    </dataValidation>
    <dataValidation type="list" allowBlank="1" showInputMessage="1" showErrorMessage="1" sqref="D36" xr:uid="{00000000-0002-0000-2700-000010000000}">
      <formula1>"简单平均,加权平均"</formula1>
    </dataValidation>
    <dataValidation type="list" allowBlank="1" showInputMessage="1" showErrorMessage="1" sqref="E1" xr:uid="{00000000-0002-0000-27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449" t="s">
        <v>1770</v>
      </c>
      <c r="D4" s="3450"/>
      <c r="E4" s="3451" t="s">
        <v>1771</v>
      </c>
      <c r="F4" s="3452"/>
      <c r="G4" s="3449" t="s">
        <v>1772</v>
      </c>
      <c r="H4" s="3450"/>
      <c r="I4" s="3449" t="s">
        <v>1773</v>
      </c>
      <c r="J4" s="3450"/>
      <c r="K4" s="537" t="s">
        <v>1774</v>
      </c>
      <c r="L4" s="2482"/>
      <c r="M4" s="2483"/>
      <c r="N4" s="2483"/>
      <c r="O4" s="2483"/>
      <c r="P4" s="3453" t="s">
        <v>1775</v>
      </c>
      <c r="Q4" s="3454"/>
      <c r="R4" s="3459" t="s">
        <v>1771</v>
      </c>
      <c r="S4" s="3460"/>
      <c r="T4" s="3459" t="s">
        <v>1772</v>
      </c>
      <c r="U4" s="3460"/>
      <c r="V4" s="3435" t="s">
        <v>1773</v>
      </c>
      <c r="W4" s="3435"/>
      <c r="X4" s="1264"/>
      <c r="Y4" s="3459" t="s">
        <v>1775</v>
      </c>
      <c r="Z4" s="3460"/>
      <c r="AA4" s="3446" t="s">
        <v>1771</v>
      </c>
      <c r="AB4" s="3447" t="s">
        <v>1772</v>
      </c>
      <c r="AC4" s="3446" t="s">
        <v>1773</v>
      </c>
    </row>
    <row r="5" spans="1:29">
      <c r="A5" s="348"/>
      <c r="B5" s="349"/>
      <c r="C5" s="3478" t="s">
        <v>1673</v>
      </c>
      <c r="D5" s="3479"/>
      <c r="E5" s="3480" t="s">
        <v>1674</v>
      </c>
      <c r="F5" s="3481"/>
      <c r="G5" s="3478" t="s">
        <v>1675</v>
      </c>
      <c r="H5" s="3479"/>
      <c r="I5" s="3478" t="s">
        <v>1676</v>
      </c>
      <c r="J5" s="3479"/>
      <c r="K5" s="537"/>
      <c r="L5" s="2482"/>
      <c r="M5" s="2483"/>
      <c r="N5" s="2483"/>
      <c r="O5" s="2483"/>
      <c r="P5" s="3455"/>
      <c r="Q5" s="3456"/>
      <c r="R5" s="3461"/>
      <c r="S5" s="3462"/>
      <c r="T5" s="3461"/>
      <c r="U5" s="3462"/>
      <c r="V5" s="3435"/>
      <c r="W5" s="3435"/>
      <c r="X5" s="1264"/>
      <c r="Y5" s="3461"/>
      <c r="Z5" s="3462"/>
      <c r="AA5" s="3447"/>
      <c r="AB5" s="3447"/>
      <c r="AC5" s="3447"/>
    </row>
    <row r="6" spans="1:29" ht="15" thickBot="1">
      <c r="A6" s="350"/>
      <c r="B6" s="351"/>
      <c r="C6" s="3549" t="s">
        <v>1919</v>
      </c>
      <c r="D6" s="3550"/>
      <c r="E6" s="3551" t="s">
        <v>1919</v>
      </c>
      <c r="F6" s="3552"/>
      <c r="G6" s="3549" t="s">
        <v>1919</v>
      </c>
      <c r="H6" s="3550"/>
      <c r="I6" s="3549" t="s">
        <v>1919</v>
      </c>
      <c r="J6" s="3550"/>
      <c r="K6" s="537" t="s">
        <v>1678</v>
      </c>
      <c r="L6" s="2482"/>
      <c r="M6" s="2483"/>
      <c r="N6" s="2483"/>
      <c r="O6" s="2483"/>
      <c r="P6" s="3457"/>
      <c r="Q6" s="3458"/>
      <c r="R6" s="3461"/>
      <c r="S6" s="3462"/>
      <c r="T6" s="3463"/>
      <c r="U6" s="3464"/>
      <c r="V6" s="3435"/>
      <c r="W6" s="3435"/>
      <c r="X6" s="1264"/>
      <c r="Y6" s="3463"/>
      <c r="Z6" s="3464"/>
      <c r="AA6" s="3448"/>
      <c r="AB6" s="3448"/>
      <c r="AC6" s="3448"/>
    </row>
    <row r="7" spans="1:29" s="102" customFormat="1" ht="15" thickBot="1">
      <c r="A7" s="352" t="s">
        <v>1679</v>
      </c>
      <c r="B7" s="353"/>
      <c r="C7" s="354">
        <f>'数据-取费表'!B2</f>
        <v>45826</v>
      </c>
      <c r="D7" s="355">
        <v>100</v>
      </c>
      <c r="E7" s="356"/>
      <c r="F7" s="357">
        <f>SUMIF(65:65,YEAR(E7)&amp;"-"&amp;INT((MONTH(E7)+2)/3),66:66)</f>
        <v>0</v>
      </c>
      <c r="G7" s="1818"/>
      <c r="H7" s="355">
        <f>SUMIF(65:65,YEAR(G7)&amp;"-"&amp;INT((MONTH(G7)+2)/3),66:66)</f>
        <v>0</v>
      </c>
      <c r="I7" s="1818"/>
      <c r="J7" s="355">
        <f>SUMIF(65:65,YEAR(I7)&amp;"-"&amp;INT((MONTH(I7)+2)/3),66:66)</f>
        <v>0</v>
      </c>
      <c r="K7" s="38"/>
      <c r="L7" s="2484"/>
      <c r="M7" s="2436"/>
      <c r="N7" s="2436"/>
      <c r="O7" s="2436"/>
      <c r="P7" s="3469" t="s">
        <v>1680</v>
      </c>
      <c r="Q7" s="3471"/>
      <c r="R7" s="664" t="s">
        <v>14</v>
      </c>
      <c r="S7" s="665">
        <f t="shared" ref="S7:S15" si="0">F7</f>
        <v>0</v>
      </c>
      <c r="T7" s="664" t="s">
        <v>14</v>
      </c>
      <c r="U7" s="665">
        <f t="shared" ref="U7:U15" si="1">H7</f>
        <v>0</v>
      </c>
      <c r="V7" s="664" t="s">
        <v>14</v>
      </c>
      <c r="W7" s="665">
        <f t="shared" ref="W7:W15" si="2">J7</f>
        <v>0</v>
      </c>
      <c r="X7" s="666"/>
      <c r="Y7" s="3469" t="s">
        <v>1680</v>
      </c>
      <c r="Z7" s="347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469" t="s">
        <v>1683</v>
      </c>
      <c r="Q8" s="3470"/>
      <c r="R8" s="664" t="s">
        <v>14</v>
      </c>
      <c r="S8" s="665">
        <f t="shared" si="0"/>
        <v>0</v>
      </c>
      <c r="T8" s="664" t="s">
        <v>14</v>
      </c>
      <c r="U8" s="665">
        <f t="shared" si="1"/>
        <v>0</v>
      </c>
      <c r="V8" s="664" t="s">
        <v>14</v>
      </c>
      <c r="W8" s="665">
        <f t="shared" si="2"/>
        <v>0</v>
      </c>
      <c r="X8" s="666"/>
      <c r="Y8" s="3469" t="s">
        <v>1683</v>
      </c>
      <c r="Z8" s="3470"/>
      <c r="AA8" s="50" t="e">
        <f t="shared" ref="AA8:AA40" si="3">D8/F8</f>
        <v>#DIV/0!</v>
      </c>
      <c r="AB8" s="50" t="e">
        <f t="shared" ref="AB8:AB40" si="4">D8/H8</f>
        <v>#DIV/0!</v>
      </c>
      <c r="AC8" s="50" t="e">
        <f t="shared" ref="AC8:AC40" si="5">D8/J8</f>
        <v>#DIV/0!</v>
      </c>
    </row>
    <row r="9" spans="1:29" s="102" customFormat="1" ht="14.4">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4"/>
      <c r="M9" s="2436"/>
      <c r="N9" s="2436"/>
      <c r="O9" s="2536"/>
      <c r="P9" s="3434"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103</v>
      </c>
      <c r="G10" s="371"/>
      <c r="H10" s="119">
        <f>ROUND(100/'数据-取费表'!G16,0)</f>
        <v>103</v>
      </c>
      <c r="I10" s="371"/>
      <c r="J10" s="119">
        <f>ROUND(100/'数据-取费表'!G16,0)</f>
        <v>103</v>
      </c>
      <c r="K10" s="592"/>
      <c r="L10" s="2485"/>
      <c r="M10" s="2486"/>
      <c r="N10" s="2486"/>
      <c r="O10" s="2537"/>
      <c r="P10" s="3434"/>
      <c r="Q10" s="530" t="str">
        <f t="shared" si="6"/>
        <v>土地使用年限（年）</v>
      </c>
      <c r="R10" s="664" t="s">
        <v>14</v>
      </c>
      <c r="S10" s="665">
        <f t="shared" si="0"/>
        <v>103</v>
      </c>
      <c r="T10" s="664" t="s">
        <v>14</v>
      </c>
      <c r="U10" s="665">
        <f t="shared" si="1"/>
        <v>103</v>
      </c>
      <c r="V10" s="664" t="s">
        <v>14</v>
      </c>
      <c r="W10" s="665">
        <f t="shared" si="2"/>
        <v>103</v>
      </c>
      <c r="X10" s="666"/>
      <c r="Y10" s="3334"/>
      <c r="Z10" s="50" t="str">
        <f t="shared" si="7"/>
        <v>土地使用年限（年）</v>
      </c>
      <c r="AA10" s="50">
        <f t="shared" si="3"/>
        <v>0.970873786407767</v>
      </c>
      <c r="AB10" s="50">
        <f t="shared" si="4"/>
        <v>0.970873786407767</v>
      </c>
      <c r="AC10" s="50">
        <f t="shared" si="5"/>
        <v>0.970873786407767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434"/>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434"/>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434"/>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6"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434"/>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69">
      <c r="A15" s="379" t="s">
        <v>1690</v>
      </c>
      <c r="B15" s="554" t="s">
        <v>1920</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36" t="s">
        <v>1691</v>
      </c>
      <c r="Q15" s="1262" t="str">
        <f t="shared" si="6"/>
        <v>产业集聚程度</v>
      </c>
      <c r="R15" s="667" t="s">
        <v>14</v>
      </c>
      <c r="S15" s="668">
        <f t="shared" si="0"/>
        <v>100</v>
      </c>
      <c r="T15" s="667" t="s">
        <v>14</v>
      </c>
      <c r="U15" s="668">
        <f t="shared" si="1"/>
        <v>100</v>
      </c>
      <c r="V15" s="667" t="s">
        <v>14</v>
      </c>
      <c r="W15" s="668">
        <f t="shared" si="2"/>
        <v>100</v>
      </c>
      <c r="X15" s="1264"/>
      <c r="Y15" s="3436"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88"/>
      <c r="M16" s="2483"/>
      <c r="N16" s="2483"/>
      <c r="O16" s="2538"/>
      <c r="P16" s="3437"/>
      <c r="Q16" s="1262"/>
      <c r="R16" s="667"/>
      <c r="S16" s="668"/>
      <c r="T16" s="667"/>
      <c r="U16" s="668"/>
      <c r="V16" s="667"/>
      <c r="W16" s="668"/>
      <c r="X16" s="1264"/>
      <c r="Y16" s="3437"/>
      <c r="Z16" s="1263"/>
      <c r="AA16" s="1263">
        <v>1</v>
      </c>
      <c r="AB16" s="1263">
        <v>1</v>
      </c>
      <c r="AC16" s="1263">
        <v>1</v>
      </c>
    </row>
    <row r="17" spans="1:29" ht="96.6">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37"/>
      <c r="Q17" s="1262" t="str">
        <f>B17</f>
        <v>交通便捷度</v>
      </c>
      <c r="R17" s="667" t="s">
        <v>14</v>
      </c>
      <c r="S17" s="668">
        <f>F17</f>
        <v>100</v>
      </c>
      <c r="T17" s="667" t="s">
        <v>14</v>
      </c>
      <c r="U17" s="668">
        <f>H17</f>
        <v>100</v>
      </c>
      <c r="V17" s="667" t="s">
        <v>14</v>
      </c>
      <c r="W17" s="668">
        <f>J17</f>
        <v>100</v>
      </c>
      <c r="X17" s="1264"/>
      <c r="Y17" s="3437"/>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88"/>
      <c r="M18" s="2483"/>
      <c r="N18" s="2483"/>
      <c r="O18" s="2538"/>
      <c r="P18" s="3437"/>
      <c r="Q18" s="1262"/>
      <c r="R18" s="667"/>
      <c r="S18" s="668"/>
      <c r="T18" s="667"/>
      <c r="U18" s="668"/>
      <c r="V18" s="667"/>
      <c r="W18" s="668"/>
      <c r="X18" s="1264"/>
      <c r="Y18" s="3437"/>
      <c r="Z18" s="1263"/>
      <c r="AA18" s="1263">
        <v>1</v>
      </c>
      <c r="AB18" s="1263">
        <v>1</v>
      </c>
      <c r="AC18" s="1263">
        <v>1</v>
      </c>
    </row>
    <row r="19" spans="1:29" ht="28.8">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37"/>
      <c r="Q19" s="1262" t="str">
        <f t="shared" ref="Q19:Q33" si="8">B19</f>
        <v>区域土地利用方向</v>
      </c>
      <c r="R19" s="667" t="s">
        <v>14</v>
      </c>
      <c r="S19" s="668">
        <f>F19</f>
        <v>100</v>
      </c>
      <c r="T19" s="667" t="s">
        <v>14</v>
      </c>
      <c r="U19" s="668">
        <f>H19</f>
        <v>100</v>
      </c>
      <c r="V19" s="667" t="s">
        <v>14</v>
      </c>
      <c r="W19" s="668">
        <f>J19</f>
        <v>100</v>
      </c>
      <c r="X19" s="1264"/>
      <c r="Y19" s="3437"/>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88"/>
      <c r="M20" s="2483"/>
      <c r="N20" s="2483"/>
      <c r="O20" s="2538"/>
      <c r="P20" s="3437"/>
      <c r="Q20" s="1262"/>
      <c r="R20" s="667"/>
      <c r="S20" s="668"/>
      <c r="T20" s="667"/>
      <c r="U20" s="668"/>
      <c r="V20" s="667"/>
      <c r="W20" s="668"/>
      <c r="X20" s="1264"/>
      <c r="Y20" s="3437"/>
      <c r="Z20" s="1263"/>
      <c r="AA20" s="1263"/>
      <c r="AB20" s="1263"/>
      <c r="AC20" s="1263"/>
    </row>
    <row r="21" spans="1:29" ht="82.8">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37"/>
      <c r="Q21" s="1262" t="str">
        <f t="shared" si="8"/>
        <v>环境状况</v>
      </c>
      <c r="R21" s="667" t="s">
        <v>14</v>
      </c>
      <c r="S21" s="668">
        <f>F21</f>
        <v>100</v>
      </c>
      <c r="T21" s="667" t="s">
        <v>14</v>
      </c>
      <c r="U21" s="668">
        <f>H21</f>
        <v>100</v>
      </c>
      <c r="V21" s="667" t="s">
        <v>14</v>
      </c>
      <c r="W21" s="668">
        <f>J21</f>
        <v>100</v>
      </c>
      <c r="X21" s="1264"/>
      <c r="Y21" s="3437"/>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88"/>
      <c r="M22" s="2483"/>
      <c r="N22" s="2483"/>
      <c r="O22" s="2538"/>
      <c r="P22" s="3437"/>
      <c r="Q22" s="1262"/>
      <c r="R22" s="667"/>
      <c r="S22" s="668"/>
      <c r="T22" s="667"/>
      <c r="U22" s="668"/>
      <c r="V22" s="667"/>
      <c r="W22" s="668"/>
      <c r="X22" s="1264"/>
      <c r="Y22" s="3437"/>
      <c r="Z22" s="1263"/>
      <c r="AA22" s="1263">
        <v>1</v>
      </c>
      <c r="AB22" s="1263">
        <v>1</v>
      </c>
      <c r="AC22" s="1263">
        <v>1</v>
      </c>
    </row>
    <row r="23" spans="1:29" s="102" customFormat="1" ht="41.4">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437"/>
      <c r="Q23" s="530" t="str">
        <f t="shared" si="8"/>
        <v>公共配套设施</v>
      </c>
      <c r="R23" s="664" t="s">
        <v>14</v>
      </c>
      <c r="S23" s="665">
        <f>F23</f>
        <v>100</v>
      </c>
      <c r="T23" s="664" t="s">
        <v>14</v>
      </c>
      <c r="U23" s="665">
        <f>H23</f>
        <v>100</v>
      </c>
      <c r="V23" s="664" t="s">
        <v>14</v>
      </c>
      <c r="W23" s="665">
        <f>J23</f>
        <v>100</v>
      </c>
      <c r="X23" s="666"/>
      <c r="Y23" s="3437"/>
      <c r="Z23" s="50" t="str">
        <f>Q23</f>
        <v>公共配套设施</v>
      </c>
      <c r="AA23" s="1263">
        <f>D23/F23</f>
        <v>1</v>
      </c>
      <c r="AB23" s="1263">
        <f>D23/H23</f>
        <v>1</v>
      </c>
      <c r="AC23" s="1263">
        <f>D23/J23</f>
        <v>1</v>
      </c>
    </row>
    <row r="24" spans="1:29" s="102" customFormat="1" ht="15">
      <c r="A24" s="443"/>
      <c r="B24" s="401"/>
      <c r="C24" s="1822"/>
      <c r="D24" s="387"/>
      <c r="E24" s="1756"/>
      <c r="F24" s="387"/>
      <c r="G24" s="1756"/>
      <c r="H24" s="387"/>
      <c r="I24" s="386"/>
      <c r="J24" s="387"/>
      <c r="K24" s="592"/>
      <c r="L24" s="2484"/>
      <c r="M24" s="2436"/>
      <c r="N24" s="2436"/>
      <c r="O24" s="2536"/>
      <c r="P24" s="3437"/>
      <c r="Q24" s="530"/>
      <c r="R24" s="664"/>
      <c r="S24" s="665"/>
      <c r="T24" s="664"/>
      <c r="U24" s="665"/>
      <c r="V24" s="664"/>
      <c r="W24" s="665"/>
      <c r="X24" s="666"/>
      <c r="Y24" s="3437"/>
      <c r="Z24" s="50"/>
      <c r="AA24" s="50">
        <v>1</v>
      </c>
      <c r="AB24" s="50">
        <v>1</v>
      </c>
      <c r="AC24" s="50">
        <v>1</v>
      </c>
    </row>
    <row r="25" spans="1:29" s="102" customFormat="1" ht="41.4">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437"/>
      <c r="Q25" s="530" t="str">
        <f t="shared" ref="Q25" si="9">B25</f>
        <v>基础设施水平</v>
      </c>
      <c r="R25" s="664" t="s">
        <v>14</v>
      </c>
      <c r="S25" s="665">
        <f>F25</f>
        <v>100</v>
      </c>
      <c r="T25" s="664" t="s">
        <v>14</v>
      </c>
      <c r="U25" s="665">
        <f>H25</f>
        <v>100</v>
      </c>
      <c r="V25" s="664" t="s">
        <v>14</v>
      </c>
      <c r="W25" s="665">
        <f>J25</f>
        <v>100</v>
      </c>
      <c r="X25" s="666"/>
      <c r="Y25" s="3437"/>
      <c r="Z25" s="50" t="str">
        <f>Q25</f>
        <v>基础设施水平</v>
      </c>
      <c r="AA25" s="1263">
        <f>D25/F25</f>
        <v>1</v>
      </c>
      <c r="AB25" s="1263">
        <f>D25/H25</f>
        <v>1</v>
      </c>
      <c r="AC25" s="1263">
        <f>D25/J25</f>
        <v>1</v>
      </c>
    </row>
    <row r="26" spans="1:29" s="102" customFormat="1" ht="15">
      <c r="A26" s="443"/>
      <c r="B26" s="401"/>
      <c r="C26" s="1822"/>
      <c r="D26" s="387"/>
      <c r="E26" s="1823"/>
      <c r="F26" s="387"/>
      <c r="G26" s="1823"/>
      <c r="H26" s="387"/>
      <c r="I26" s="1823"/>
      <c r="J26" s="387"/>
      <c r="K26" s="592"/>
      <c r="L26" s="2484"/>
      <c r="M26" s="2436"/>
      <c r="N26" s="2436"/>
      <c r="O26" s="2536"/>
      <c r="P26" s="3437"/>
      <c r="Q26" s="530"/>
      <c r="R26" s="664"/>
      <c r="S26" s="665"/>
      <c r="T26" s="664"/>
      <c r="U26" s="665"/>
      <c r="V26" s="664"/>
      <c r="W26" s="665"/>
      <c r="X26" s="666"/>
      <c r="Y26" s="343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37"/>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37"/>
      <c r="Z27" s="1263" t="str">
        <f t="shared" ref="Z27:Z40" si="13">Q27</f>
        <v>临街状况</v>
      </c>
      <c r="AA27" s="1263">
        <f t="shared" si="3"/>
        <v>1</v>
      </c>
      <c r="AB27" s="1263">
        <f t="shared" si="4"/>
        <v>1</v>
      </c>
      <c r="AC27" s="1263">
        <f t="shared" si="5"/>
        <v>1</v>
      </c>
    </row>
    <row r="28" spans="1:29" ht="28.8">
      <c r="A28" s="367"/>
      <c r="B28" s="557" t="s">
        <v>1815</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37"/>
      <c r="Q28" s="1262" t="str">
        <f t="shared" si="8"/>
        <v>毗邻道路的类型与等级</v>
      </c>
      <c r="R28" s="667" t="s">
        <v>14</v>
      </c>
      <c r="S28" s="668">
        <f t="shared" si="10"/>
        <v>100</v>
      </c>
      <c r="T28" s="667" t="s">
        <v>14</v>
      </c>
      <c r="U28" s="668">
        <f t="shared" si="11"/>
        <v>100</v>
      </c>
      <c r="V28" s="667" t="s">
        <v>14</v>
      </c>
      <c r="W28" s="668">
        <f t="shared" si="12"/>
        <v>100</v>
      </c>
      <c r="X28" s="1264"/>
      <c r="Y28" s="3437"/>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88"/>
      <c r="M29" s="2483"/>
      <c r="N29" s="2483"/>
      <c r="O29" s="2538"/>
      <c r="P29" s="3437"/>
      <c r="Q29" s="1262"/>
      <c r="R29" s="667"/>
      <c r="S29" s="668"/>
      <c r="T29" s="667"/>
      <c r="U29" s="668"/>
      <c r="V29" s="667"/>
      <c r="W29" s="668"/>
      <c r="X29" s="1264"/>
      <c r="Y29" s="3437"/>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37"/>
      <c r="Q30" s="1262" t="str">
        <f t="shared" si="8"/>
        <v>土地级别</v>
      </c>
      <c r="R30" s="667" t="s">
        <v>14</v>
      </c>
      <c r="S30" s="668">
        <f t="shared" si="10"/>
        <v>100</v>
      </c>
      <c r="T30" s="667" t="s">
        <v>14</v>
      </c>
      <c r="U30" s="668">
        <f t="shared" si="11"/>
        <v>100</v>
      </c>
      <c r="V30" s="667" t="s">
        <v>14</v>
      </c>
      <c r="W30" s="668">
        <f t="shared" si="12"/>
        <v>100</v>
      </c>
      <c r="X30" s="1264"/>
      <c r="Y30" s="3437"/>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37"/>
      <c r="Q31" s="1262">
        <f t="shared" si="8"/>
        <v>111</v>
      </c>
      <c r="R31" s="667" t="s">
        <v>14</v>
      </c>
      <c r="S31" s="668">
        <f t="shared" si="10"/>
        <v>100</v>
      </c>
      <c r="T31" s="667" t="s">
        <v>14</v>
      </c>
      <c r="U31" s="668">
        <f t="shared" si="11"/>
        <v>100</v>
      </c>
      <c r="V31" s="667" t="s">
        <v>14</v>
      </c>
      <c r="W31" s="668">
        <f t="shared" si="12"/>
        <v>100</v>
      </c>
      <c r="X31" s="1264"/>
      <c r="Y31" s="3437"/>
      <c r="Z31" s="1263">
        <f t="shared" si="13"/>
        <v>111</v>
      </c>
      <c r="AA31" s="1263">
        <f t="shared" si="3"/>
        <v>1</v>
      </c>
      <c r="AB31" s="1263">
        <f t="shared" si="4"/>
        <v>1</v>
      </c>
      <c r="AC31" s="1263">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77" t="s">
        <v>1696</v>
      </c>
      <c r="Q32" s="1262">
        <f t="shared" si="8"/>
        <v>111</v>
      </c>
      <c r="R32" s="667" t="s">
        <v>14</v>
      </c>
      <c r="S32" s="668">
        <f t="shared" si="10"/>
        <v>100</v>
      </c>
      <c r="T32" s="667" t="s">
        <v>14</v>
      </c>
      <c r="U32" s="668">
        <f t="shared" si="11"/>
        <v>100</v>
      </c>
      <c r="V32" s="667" t="s">
        <v>14</v>
      </c>
      <c r="W32" s="668">
        <f t="shared" si="12"/>
        <v>100</v>
      </c>
      <c r="X32" s="1264"/>
      <c r="Y32" s="3441" t="s">
        <v>1696</v>
      </c>
      <c r="Z32" s="1263">
        <f t="shared" si="13"/>
        <v>111</v>
      </c>
      <c r="AA32" s="1263">
        <f t="shared" si="3"/>
        <v>1</v>
      </c>
      <c r="AB32" s="1263">
        <f t="shared" si="4"/>
        <v>1</v>
      </c>
      <c r="AC32" s="1263">
        <f t="shared" si="5"/>
        <v>1</v>
      </c>
    </row>
    <row r="33" spans="1:31" s="408" customFormat="1" ht="15.6"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41"/>
      <c r="Q33" s="1262">
        <f t="shared" si="8"/>
        <v>111</v>
      </c>
      <c r="R33" s="669" t="s">
        <v>14</v>
      </c>
      <c r="S33" s="670">
        <f t="shared" si="10"/>
        <v>100</v>
      </c>
      <c r="T33" s="669" t="s">
        <v>14</v>
      </c>
      <c r="U33" s="670">
        <f t="shared" si="11"/>
        <v>100</v>
      </c>
      <c r="V33" s="669" t="s">
        <v>14</v>
      </c>
      <c r="W33" s="670">
        <f t="shared" si="12"/>
        <v>100</v>
      </c>
      <c r="X33" s="671"/>
      <c r="Y33" s="3441"/>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41"/>
      <c r="Q34" s="1262" t="str">
        <f>B34</f>
        <v>宗地面积</v>
      </c>
      <c r="R34" s="667" t="s">
        <v>14</v>
      </c>
      <c r="S34" s="668" t="e">
        <f t="shared" si="10"/>
        <v>#N/A</v>
      </c>
      <c r="T34" s="667" t="s">
        <v>14</v>
      </c>
      <c r="U34" s="668" t="e">
        <f t="shared" si="11"/>
        <v>#N/A</v>
      </c>
      <c r="V34" s="667" t="s">
        <v>14</v>
      </c>
      <c r="W34" s="668" t="e">
        <f t="shared" si="12"/>
        <v>#N/A</v>
      </c>
      <c r="X34" s="1264"/>
      <c r="Y34" s="3441"/>
      <c r="Z34" s="1263" t="str">
        <f t="shared" si="13"/>
        <v>宗地面积</v>
      </c>
      <c r="AA34" s="1263" t="e">
        <f t="shared" si="3"/>
        <v>#N/A</v>
      </c>
      <c r="AB34" s="1263" t="e">
        <f t="shared" si="4"/>
        <v>#N/A</v>
      </c>
      <c r="AC34" s="1263"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441"/>
      <c r="Q35" s="1262" t="str">
        <f t="shared" ref="Q35:Q40" si="14">B35</f>
        <v>宗地形状</v>
      </c>
      <c r="R35" s="667" t="s">
        <v>14</v>
      </c>
      <c r="S35" s="668">
        <f t="shared" si="10"/>
        <v>100</v>
      </c>
      <c r="T35" s="667" t="s">
        <v>14</v>
      </c>
      <c r="U35" s="668">
        <f t="shared" si="11"/>
        <v>100</v>
      </c>
      <c r="V35" s="667" t="s">
        <v>14</v>
      </c>
      <c r="W35" s="668">
        <f t="shared" si="12"/>
        <v>100</v>
      </c>
      <c r="X35" s="1264"/>
      <c r="Y35" s="3441"/>
      <c r="Z35" s="1263" t="str">
        <f t="shared" si="13"/>
        <v>宗地形状</v>
      </c>
      <c r="AA35" s="1263">
        <f t="shared" si="3"/>
        <v>1</v>
      </c>
      <c r="AB35" s="1263">
        <f t="shared" si="4"/>
        <v>1</v>
      </c>
      <c r="AC35" s="1263">
        <f t="shared" si="5"/>
        <v>1</v>
      </c>
    </row>
    <row r="36" spans="1:31" s="102" customFormat="1" ht="15">
      <c r="A36" s="410"/>
      <c r="B36" s="364" t="s">
        <v>1877</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4"/>
      <c r="M36" s="2436"/>
      <c r="N36" s="2436"/>
      <c r="O36" s="2536"/>
      <c r="P36" s="3441"/>
      <c r="Q36" s="1262" t="str">
        <f t="shared" si="14"/>
        <v>宗地开发程度</v>
      </c>
      <c r="R36" s="664" t="s">
        <v>14</v>
      </c>
      <c r="S36" s="665">
        <f t="shared" si="10"/>
        <v>100</v>
      </c>
      <c r="T36" s="664" t="s">
        <v>14</v>
      </c>
      <c r="U36" s="665">
        <f t="shared" si="11"/>
        <v>100</v>
      </c>
      <c r="V36" s="664" t="s">
        <v>14</v>
      </c>
      <c r="W36" s="665">
        <f t="shared" si="12"/>
        <v>100</v>
      </c>
      <c r="X36" s="666"/>
      <c r="Y36" s="3441"/>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441" t="s">
        <v>1696</v>
      </c>
      <c r="Q37" s="1262" t="str">
        <f t="shared" si="14"/>
        <v>工程地质条件</v>
      </c>
      <c r="R37" s="667" t="s">
        <v>14</v>
      </c>
      <c r="S37" s="668">
        <f t="shared" si="10"/>
        <v>100</v>
      </c>
      <c r="T37" s="667" t="s">
        <v>14</v>
      </c>
      <c r="U37" s="668">
        <f t="shared" si="11"/>
        <v>100</v>
      </c>
      <c r="V37" s="667" t="s">
        <v>14</v>
      </c>
      <c r="W37" s="668">
        <f t="shared" si="12"/>
        <v>100</v>
      </c>
      <c r="X37" s="1264"/>
      <c r="Y37" s="3441"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41"/>
      <c r="Q38" s="1262">
        <f t="shared" si="14"/>
        <v>111</v>
      </c>
      <c r="R38" s="667" t="s">
        <v>14</v>
      </c>
      <c r="S38" s="668">
        <f t="shared" si="10"/>
        <v>100</v>
      </c>
      <c r="T38" s="667" t="s">
        <v>14</v>
      </c>
      <c r="U38" s="668">
        <f t="shared" si="11"/>
        <v>100</v>
      </c>
      <c r="V38" s="667" t="s">
        <v>14</v>
      </c>
      <c r="W38" s="668">
        <f t="shared" si="12"/>
        <v>100</v>
      </c>
      <c r="X38" s="1264"/>
      <c r="Y38" s="3441"/>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41"/>
      <c r="Q39" s="1262">
        <f t="shared" si="14"/>
        <v>111</v>
      </c>
      <c r="R39" s="667" t="s">
        <v>14</v>
      </c>
      <c r="S39" s="668">
        <f t="shared" si="10"/>
        <v>100</v>
      </c>
      <c r="T39" s="667" t="s">
        <v>14</v>
      </c>
      <c r="U39" s="668">
        <f t="shared" si="11"/>
        <v>100</v>
      </c>
      <c r="V39" s="667" t="s">
        <v>14</v>
      </c>
      <c r="W39" s="668">
        <f t="shared" si="12"/>
        <v>100</v>
      </c>
      <c r="X39" s="1264"/>
      <c r="Y39" s="3441"/>
      <c r="Z39" s="1263">
        <f t="shared" si="13"/>
        <v>111</v>
      </c>
      <c r="AA39" s="1263">
        <f t="shared" si="3"/>
        <v>1</v>
      </c>
      <c r="AB39" s="1263">
        <f t="shared" si="4"/>
        <v>1</v>
      </c>
      <c r="AC39" s="1263">
        <f t="shared" si="5"/>
        <v>1</v>
      </c>
    </row>
    <row r="40" spans="1:31" s="408" customFormat="1" ht="15.6" thickBot="1">
      <c r="A40" s="406"/>
      <c r="B40" s="1067">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41"/>
      <c r="Q40" s="1262">
        <f t="shared" si="14"/>
        <v>111</v>
      </c>
      <c r="R40" s="669" t="s">
        <v>14</v>
      </c>
      <c r="S40" s="670">
        <f t="shared" si="10"/>
        <v>100</v>
      </c>
      <c r="T40" s="669" t="s">
        <v>14</v>
      </c>
      <c r="U40" s="670">
        <f t="shared" si="11"/>
        <v>100</v>
      </c>
      <c r="V40" s="669" t="s">
        <v>14</v>
      </c>
      <c r="W40" s="670">
        <f t="shared" si="12"/>
        <v>100</v>
      </c>
      <c r="X40" s="671"/>
      <c r="Y40" s="3441"/>
      <c r="Z40" s="672">
        <f t="shared" si="13"/>
        <v>111</v>
      </c>
      <c r="AA40" s="1263">
        <f t="shared" si="3"/>
        <v>1</v>
      </c>
      <c r="AB40" s="1263">
        <f t="shared" si="4"/>
        <v>1</v>
      </c>
      <c r="AC40" s="1263">
        <f t="shared" si="5"/>
        <v>1</v>
      </c>
    </row>
    <row r="41" spans="1:31" ht="14.4">
      <c r="A41" s="416" t="s">
        <v>1844</v>
      </c>
      <c r="B41" s="1826" t="s">
        <v>1922</v>
      </c>
      <c r="C41" s="602" t="s">
        <v>0</v>
      </c>
      <c r="D41" s="418"/>
      <c r="E41" s="419"/>
      <c r="F41" s="420"/>
      <c r="G41" s="421"/>
      <c r="H41" s="422"/>
      <c r="I41" s="419"/>
      <c r="J41" s="422"/>
      <c r="K41" s="674"/>
      <c r="L41" s="2490"/>
      <c r="M41" s="2483"/>
      <c r="N41" s="2483"/>
      <c r="O41" s="2483"/>
      <c r="P41" s="3434" t="str">
        <f>A41</f>
        <v>成交单价</v>
      </c>
      <c r="Q41" s="3434"/>
      <c r="R41" s="3435">
        <f>E41</f>
        <v>0</v>
      </c>
      <c r="S41" s="3435"/>
      <c r="T41" s="3435">
        <f>G41</f>
        <v>0</v>
      </c>
      <c r="U41" s="3435"/>
      <c r="V41" s="3435">
        <f>I41</f>
        <v>0</v>
      </c>
      <c r="W41" s="3435"/>
      <c r="X41" s="385"/>
      <c r="Y41" s="673"/>
      <c r="Z41" s="385"/>
      <c r="AA41" s="385"/>
      <c r="AB41" s="385"/>
      <c r="AC41" s="385"/>
    </row>
    <row r="42" spans="1:31" ht="15" thickBot="1">
      <c r="A42" s="423" t="s">
        <v>1793</v>
      </c>
      <c r="B42" s="603"/>
      <c r="C42" s="426" t="e">
        <f>R43</f>
        <v>#DIV/0!</v>
      </c>
      <c r="D42" s="2137" t="s">
        <v>2135</v>
      </c>
      <c r="E42" s="426" t="e">
        <f>R42</f>
        <v>#DIV/0!</v>
      </c>
      <c r="F42" s="2138"/>
      <c r="G42" s="425" t="e">
        <f>T42</f>
        <v>#DIV/0!</v>
      </c>
      <c r="H42" s="2138"/>
      <c r="I42" s="426" t="e">
        <f>V42</f>
        <v>#DIV/0!</v>
      </c>
      <c r="J42" s="2138"/>
      <c r="K42" s="2140">
        <f>F42+H42+J42</f>
        <v>0</v>
      </c>
      <c r="L42" s="2490"/>
      <c r="M42" s="2483"/>
      <c r="N42" s="2483"/>
      <c r="O42" s="2483"/>
      <c r="P42" s="3434" t="str">
        <f>A42</f>
        <v>比较价值（元/平方米）</v>
      </c>
      <c r="Q42" s="3434"/>
      <c r="R42" s="3474" t="e">
        <f>ROUND(PRODUCT(R41,AA7:AA40),0)</f>
        <v>#DIV/0!</v>
      </c>
      <c r="S42" s="3474"/>
      <c r="T42" s="3474" t="e">
        <f>ROUND(PRODUCT(T41,AB7:AB40),0)</f>
        <v>#DIV/0!</v>
      </c>
      <c r="U42" s="3474"/>
      <c r="V42" s="3474" t="e">
        <f>ROUND(PRODUCT(V41,AC7:AC40),0)</f>
        <v>#DIV/0!</v>
      </c>
      <c r="W42" s="347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0"/>
      <c r="M43" s="2483"/>
      <c r="N43" s="2483"/>
      <c r="O43" s="2483"/>
      <c r="P43" s="3431" t="str">
        <f>A43</f>
        <v>估价对象XX用房的比较价值（楼面单价，元/平方米）</v>
      </c>
      <c r="Q43" s="3432"/>
      <c r="R43" s="3475" t="e">
        <f>ROUND(IF(D42="简单平均",AVERAGE(R42:W42),R42*F42+T42*H42+V42*J42),0)</f>
        <v>#DIV/0!</v>
      </c>
      <c r="S43" s="3475"/>
      <c r="T43" s="3475"/>
      <c r="U43" s="3475"/>
      <c r="V43" s="3475"/>
      <c r="W43" s="3475"/>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1881</v>
      </c>
      <c r="B50" s="605" t="s">
        <v>1882</v>
      </c>
      <c r="C50" s="1827" t="s">
        <v>1883</v>
      </c>
      <c r="D50" s="1828" t="s">
        <v>1884</v>
      </c>
      <c r="E50" s="606" t="s">
        <v>1885</v>
      </c>
      <c r="F50" s="607" t="s">
        <v>1886</v>
      </c>
      <c r="G50" s="3449" t="s">
        <v>1887</v>
      </c>
      <c r="H50" s="3476"/>
      <c r="I50" s="1263" t="s">
        <v>1923</v>
      </c>
      <c r="J50" s="1263">
        <f>项目基本情况!F35</f>
        <v>0</v>
      </c>
      <c r="K50" s="1830"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90">
        <v>1</v>
      </c>
      <c r="E51" s="610">
        <f>'数据-汇总表'!E8+'数据-汇总表'!E9</f>
        <v>185.94</v>
      </c>
      <c r="F51" s="611" t="e">
        <f t="shared" ref="F51:F60" si="15">ROUND(B51*E51/10000,0)</f>
        <v>#DIV/0!</v>
      </c>
      <c r="G51" s="3445"/>
      <c r="H51" s="3434"/>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v>
      </c>
      <c r="D52" s="891">
        <v>0.25</v>
      </c>
      <c r="E52" s="614"/>
      <c r="F52" s="611" t="e">
        <f t="shared" si="15"/>
        <v>#DIV/0!</v>
      </c>
      <c r="G52" s="2746" t="s">
        <v>1892</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v>
      </c>
      <c r="D56" s="891">
        <v>0.25</v>
      </c>
      <c r="E56" s="209">
        <f>'数据-汇总表'!E11</f>
        <v>0</v>
      </c>
      <c r="F56" s="611" t="e">
        <f t="shared" si="15"/>
        <v>#DIV/0!</v>
      </c>
      <c r="G56" s="1831" t="s">
        <v>1896</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0.15</v>
      </c>
      <c r="D58" s="891">
        <v>0.25</v>
      </c>
      <c r="E58" s="209">
        <f>'数据-汇总表'!E13</f>
        <v>30.74</v>
      </c>
      <c r="F58" s="611" t="e">
        <f t="shared" si="15"/>
        <v>#DIV/0!</v>
      </c>
      <c r="G58" s="839" t="s">
        <v>1900</v>
      </c>
      <c r="H58" s="834" t="str">
        <f>IF(G58="商业",项目基本情况!B37,IF(G58="办公",项目基本情况!C37,IF(G58="住宅",项目基本情况!D37,项目基本情况!E37)))</f>
        <v>七级</v>
      </c>
      <c r="I58" s="727">
        <f>SUMIF(修正!A57:A68,H58,修正!G57:G68)</f>
        <v>0.15</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v>
      </c>
      <c r="D59" s="891">
        <v>0.25</v>
      </c>
      <c r="E59" s="209">
        <f>'数据-汇总表'!E14</f>
        <v>0</v>
      </c>
      <c r="F59" s="611" t="e">
        <f t="shared" si="15"/>
        <v>#DIV/0!</v>
      </c>
      <c r="G59" s="1831" t="s">
        <v>1892</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1902</v>
      </c>
      <c r="B60" s="210" t="e">
        <f t="shared" si="17"/>
        <v>#DIV/0!</v>
      </c>
      <c r="C60" s="163">
        <f t="shared" si="16"/>
        <v>0</v>
      </c>
      <c r="D60" s="891">
        <v>0.25</v>
      </c>
      <c r="E60" s="209">
        <f>'数据-汇总表'!E15</f>
        <v>0</v>
      </c>
      <c r="F60" s="611" t="e">
        <f t="shared" si="15"/>
        <v>#DIV/0!</v>
      </c>
      <c r="G60" s="1832" t="s">
        <v>1896</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3"/>
      <c r="Q63" s="2483"/>
      <c r="R63" s="2483"/>
      <c r="S63" s="2483"/>
      <c r="T63" s="2483"/>
      <c r="U63" s="2483"/>
      <c r="V63" s="2483"/>
      <c r="W63" s="2483"/>
      <c r="X63" s="2483"/>
      <c r="Y63" s="2483"/>
      <c r="Z63" s="2483"/>
      <c r="AA63" s="2483"/>
      <c r="AB63" s="2483"/>
      <c r="AC63" s="2483"/>
      <c r="AD63" s="2483"/>
      <c r="AE63" s="2483"/>
    </row>
    <row r="64" spans="1:31" ht="22.2" thickBot="1">
      <c r="A64" s="658" t="s">
        <v>1798</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4.4">
      <c r="A65" s="1629" t="s">
        <v>1904</v>
      </c>
      <c r="B65" s="1046"/>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7" t="s">
        <v>1924</v>
      </c>
      <c r="B66" s="280" t="str">
        <f>"北京市平均增长率"&amp;TEXT('基准地价修正-住宅'!P28,"0.00%")</f>
        <v>北京市平均增长率0.00%</v>
      </c>
      <c r="C66" s="530">
        <v>100</v>
      </c>
      <c r="D66" s="6"/>
      <c r="E66" s="6"/>
      <c r="F66" s="6"/>
      <c r="G66" s="6"/>
      <c r="H66" s="6"/>
      <c r="I66" s="6"/>
      <c r="J66" s="6"/>
      <c r="K66" s="6"/>
      <c r="L66" s="6"/>
      <c r="M66" s="1066"/>
      <c r="N66" s="1066"/>
      <c r="O66" s="1098"/>
      <c r="P66" s="2504"/>
      <c r="Q66" s="2436"/>
      <c r="R66" s="2436"/>
      <c r="S66" s="2436"/>
      <c r="T66" s="2436"/>
      <c r="U66" s="2436"/>
      <c r="V66" s="2436"/>
      <c r="W66" s="2436"/>
      <c r="X66" s="2436"/>
      <c r="Y66" s="2436"/>
      <c r="Z66" s="2436"/>
      <c r="AA66" s="2436"/>
      <c r="AB66" s="2436"/>
      <c r="AC66" s="2436"/>
      <c r="AD66" s="2436"/>
      <c r="AE66" s="2436"/>
    </row>
    <row r="67" spans="1:31" s="102" customFormat="1" ht="1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4.4">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ht="14.4">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5" type="noConversion"/>
  <conditionalFormatting sqref="E46">
    <cfRule type="expression" dxfId="18" priority="13" stopIfTrue="1">
      <formula>$F$46="超过30%"</formula>
    </cfRule>
  </conditionalFormatting>
  <conditionalFormatting sqref="E47">
    <cfRule type="expression" dxfId="17" priority="53" stopIfTrue="1">
      <formula>#REF!+$F$47="超过20%"</formula>
    </cfRule>
  </conditionalFormatting>
  <conditionalFormatting sqref="E48">
    <cfRule type="expression" dxfId="16" priority="10" stopIfTrue="1">
      <formula>$F$48="超过30%"</formula>
    </cfRule>
  </conditionalFormatting>
  <conditionalFormatting sqref="F7:F40 H7:H40 J7:J40">
    <cfRule type="cellIs" dxfId="15" priority="1" operator="notEqual">
      <formula>100</formula>
    </cfRule>
  </conditionalFormatting>
  <conditionalFormatting sqref="F42">
    <cfRule type="expression" dxfId="14" priority="4">
      <formula>$D$42="简单平均"</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H42">
    <cfRule type="expression" dxfId="9" priority="3">
      <formula>$D$42="简单平均"</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J42">
    <cfRule type="expression" dxfId="5" priority="2">
      <formula>$D$42="简单平均"</formula>
    </cfRule>
  </conditionalFormatting>
  <dataValidations count="20">
    <dataValidation type="list" allowBlank="1" showInputMessage="1" showErrorMessage="1" sqref="B41" xr:uid="{00000000-0002-0000-2900-000000000000}">
      <formula1>单价内涵</formula1>
    </dataValidation>
    <dataValidation type="list" allowBlank="1" showInputMessage="1" showErrorMessage="1" sqref="C22 E22 G22 I22" xr:uid="{00000000-0002-0000-2900-000001000000}">
      <formula1>环境</formula1>
    </dataValidation>
    <dataValidation type="list" allowBlank="1" showInputMessage="1" showErrorMessage="1" sqref="E18 C18 G18 I18" xr:uid="{00000000-0002-0000-2900-000002000000}">
      <formula1>交通便捷度</formula1>
    </dataValidation>
    <dataValidation type="list" allowBlank="1" showInputMessage="1" showErrorMessage="1" sqref="E24 C24 G24 I24" xr:uid="{00000000-0002-0000-2900-000003000000}">
      <formula1>公共配套设施</formula1>
    </dataValidation>
    <dataValidation type="list" allowBlank="1" showInputMessage="1" showErrorMessage="1" sqref="C8 E8 G8 I8" xr:uid="{00000000-0002-0000-2900-000004000000}">
      <formula1>套工交易情况</formula1>
    </dataValidation>
    <dataValidation type="list" allowBlank="1" showInputMessage="1" showErrorMessage="1" sqref="C9 E9 G9 I9" xr:uid="{00000000-0002-0000-2900-000005000000}">
      <formula1>套工用途</formula1>
    </dataValidation>
    <dataValidation type="list" allowBlank="1" showInputMessage="1" showErrorMessage="1" sqref="I30 E30 G30" xr:uid="{00000000-0002-0000-2900-000006000000}">
      <formula1>套工土地级别</formula1>
    </dataValidation>
    <dataValidation type="list" allowBlank="1" showInputMessage="1" showErrorMessage="1" sqref="C27 E27 G27 I27" xr:uid="{00000000-0002-0000-2900-000007000000}">
      <formula1>临街状况</formula1>
    </dataValidation>
    <dataValidation type="list" allowBlank="1" showInputMessage="1" showErrorMessage="1" sqref="E20 G20 I20 C20" xr:uid="{00000000-0002-0000-2900-000008000000}">
      <formula1>区域土地利用方向</formula1>
    </dataValidation>
    <dataValidation type="list" allowBlank="1" showInputMessage="1" showErrorMessage="1" sqref="C50" xr:uid="{00000000-0002-0000-2900-000009000000}">
      <formula1>"北京市系数,其他省市系数"</formula1>
    </dataValidation>
    <dataValidation type="list" allowBlank="1" showInputMessage="1" showErrorMessage="1" sqref="C16 E16 G16 I16" xr:uid="{00000000-0002-0000-2900-00000A000000}">
      <formula1>产业集聚程度</formula1>
    </dataValidation>
    <dataValidation type="list" allowBlank="1" showInputMessage="1" showErrorMessage="1" sqref="C29 E29 G29 I29" xr:uid="{00000000-0002-0000-2900-00000B000000}">
      <formula1>套工道路等级</formula1>
    </dataValidation>
    <dataValidation type="list" allowBlank="1" showInputMessage="1" showErrorMessage="1" sqref="C35 E35 G35 I35" xr:uid="{00000000-0002-0000-2900-00000C000000}">
      <formula1>套工宗地形状</formula1>
    </dataValidation>
    <dataValidation type="list" allowBlank="1" showInputMessage="1" showErrorMessage="1" sqref="C36 E36 G36 I36" xr:uid="{00000000-0002-0000-2900-00000D000000}">
      <formula1>套工宗地开发程度</formula1>
    </dataValidation>
    <dataValidation type="list" allowBlank="1" showInputMessage="1" showErrorMessage="1" sqref="C37 E37 G37 I37" xr:uid="{00000000-0002-0000-2900-00000E000000}">
      <formula1>套工地质条件</formula1>
    </dataValidation>
    <dataValidation type="list" allowBlank="1" showInputMessage="1" showErrorMessage="1" sqref="G58" xr:uid="{00000000-0002-0000-2900-00000F000000}">
      <formula1>"住宅,工业"</formula1>
    </dataValidation>
    <dataValidation type="list" allowBlank="1" showInputMessage="1" showErrorMessage="1" sqref="G57" xr:uid="{00000000-0002-0000-2900-000010000000}">
      <formula1>"商业,办公,住宅,工业"</formula1>
    </dataValidation>
    <dataValidation type="list" allowBlank="1" showInputMessage="1" showErrorMessage="1" sqref="D52:D60" xr:uid="{00000000-0002-0000-2900-000011000000}">
      <formula1>"25%,1"</formula1>
    </dataValidation>
    <dataValidation type="list" allowBlank="1" showInputMessage="1" showErrorMessage="1" sqref="C26 E26 G26 I26" xr:uid="{00000000-0002-0000-2900-000012000000}">
      <formula1>基础设施水平</formula1>
    </dataValidation>
    <dataValidation type="list" allowBlank="1" showInputMessage="1" showErrorMessage="1" sqref="D42" xr:uid="{00000000-0002-0000-29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63" t="str">
        <f>IF(项目基本情况!B9="房地产市场价值","估价结果一览表","结果表-2")</f>
        <v>结果表-2</v>
      </c>
      <c r="B1" s="3263"/>
      <c r="C1" s="3263"/>
      <c r="D1" s="3263"/>
      <c r="E1" s="3263"/>
      <c r="F1" s="3263"/>
      <c r="G1" s="3263"/>
      <c r="H1" s="3263"/>
      <c r="I1" s="3263"/>
    </row>
    <row r="2" spans="1:9" ht="30" customHeight="1" thickTop="1">
      <c r="A2" s="3264" t="s">
        <v>928</v>
      </c>
      <c r="B2" s="3264" t="s">
        <v>929</v>
      </c>
      <c r="C2" s="3264" t="s">
        <v>930</v>
      </c>
      <c r="D2" s="3264" t="str">
        <f>'结果表-住宅'!D116</f>
        <v>出让国有建设用地使用权价值</v>
      </c>
      <c r="E2" s="3264"/>
      <c r="F2" s="3264" t="str">
        <f>'结果表-住宅'!F116</f>
        <v>在建建筑物价值</v>
      </c>
      <c r="G2" s="3264"/>
      <c r="H2" s="3264" t="str">
        <f>IF(项目基本情况!B9="房地产市场价值","房地产市场价值","房地产价值")</f>
        <v>房地产价值</v>
      </c>
      <c r="I2" s="3264"/>
    </row>
    <row r="3" spans="1:9" ht="15.6">
      <c r="A3" s="3259"/>
      <c r="B3" s="3259"/>
      <c r="C3" s="3259"/>
      <c r="D3" s="801" t="s">
        <v>925</v>
      </c>
      <c r="E3" s="801" t="s">
        <v>931</v>
      </c>
      <c r="F3" s="801" t="s">
        <v>925</v>
      </c>
      <c r="G3" s="801" t="s">
        <v>926</v>
      </c>
      <c r="H3" s="801" t="s">
        <v>925</v>
      </c>
      <c r="I3" s="801" t="s">
        <v>926</v>
      </c>
    </row>
    <row r="4" spans="1:9" ht="60">
      <c r="A4" s="1402" t="str">
        <f>项目基本情况!S2</f>
        <v>北京市房山区揽秀南街15号院5号楼5-1-4等47套住宅、13号院10幢-1-1006等1147个地下车位房地产</v>
      </c>
      <c r="B4" s="801">
        <f>项目基本情况!C17</f>
        <v>216.68</v>
      </c>
      <c r="C4" s="801">
        <f>项目基本情况!C18</f>
        <v>0</v>
      </c>
      <c r="D4" s="801">
        <f>'结果表-住宅'!D118</f>
        <v>0</v>
      </c>
      <c r="E4" s="801">
        <f>'结果表-住宅'!E118</f>
        <v>0</v>
      </c>
      <c r="F4" s="801">
        <f>'结果表-住宅'!F118</f>
        <v>0</v>
      </c>
      <c r="G4" s="801">
        <f>'结果表-住宅'!G118</f>
        <v>0</v>
      </c>
      <c r="H4" s="801">
        <f ca="1">'结果表-住宅'!H118</f>
        <v>0</v>
      </c>
      <c r="I4" s="801">
        <f ca="1">'结果表-住宅'!I118</f>
        <v>36904</v>
      </c>
    </row>
    <row r="5" spans="1:9" ht="30" customHeight="1">
      <c r="A5" s="3259" t="s">
        <v>927</v>
      </c>
      <c r="B5" s="3259"/>
      <c r="C5" s="3259"/>
      <c r="D5" s="3259" t="str">
        <f>'结果表-住宅'!D119</f>
        <v>零元整</v>
      </c>
      <c r="E5" s="3259"/>
      <c r="F5" s="3259" t="str">
        <f>'结果表-住宅'!F119</f>
        <v>零元整</v>
      </c>
      <c r="G5" s="3259"/>
      <c r="H5" s="3259" t="str">
        <f ca="1">'结果表-住宅'!H119</f>
        <v>零元整</v>
      </c>
      <c r="I5" s="3259"/>
    </row>
    <row r="6" spans="1:9" ht="15.6">
      <c r="A6" s="3258" t="str">
        <f>'结果表-住宅'!A120</f>
        <v>估价师知悉的法定优先受偿款</v>
      </c>
      <c r="B6" s="3258"/>
      <c r="C6" s="3258"/>
      <c r="D6" s="3258">
        <f>'结果表-住宅'!D120</f>
        <v>0</v>
      </c>
      <c r="E6" s="3258"/>
      <c r="F6" s="3258"/>
      <c r="G6" s="3258"/>
      <c r="H6" s="3258"/>
      <c r="I6" s="3258"/>
    </row>
    <row r="7" spans="1:9" ht="15">
      <c r="A7" s="3259" t="s">
        <v>927</v>
      </c>
      <c r="B7" s="3259"/>
      <c r="C7" s="3259"/>
      <c r="D7" s="3260" t="str">
        <f>'结果表-住宅'!D121</f>
        <v>零元整</v>
      </c>
      <c r="E7" s="3261"/>
      <c r="F7" s="3261"/>
      <c r="G7" s="3261"/>
      <c r="H7" s="3261"/>
      <c r="I7" s="3262"/>
    </row>
    <row r="8" spans="1:9" ht="15.6">
      <c r="A8" s="3258" t="str">
        <f>'结果表-住宅'!A122</f>
        <v>房地产抵押价值</v>
      </c>
      <c r="B8" s="3258"/>
      <c r="C8" s="3258"/>
      <c r="D8" s="3258">
        <f ca="1">'结果表-住宅'!D122</f>
        <v>0</v>
      </c>
      <c r="E8" s="3258"/>
      <c r="F8" s="3258"/>
      <c r="G8" s="3258"/>
      <c r="H8" s="3258"/>
      <c r="I8" s="3258"/>
    </row>
    <row r="9" spans="1:9" ht="15">
      <c r="A9" s="3259" t="s">
        <v>927</v>
      </c>
      <c r="B9" s="3259"/>
      <c r="C9" s="3259"/>
      <c r="D9" s="3259" t="str">
        <f ca="1">'结果表-住宅'!D123</f>
        <v>零元整</v>
      </c>
      <c r="E9" s="3259"/>
      <c r="F9" s="3259"/>
      <c r="G9" s="3259"/>
      <c r="H9" s="3259"/>
      <c r="I9" s="3259"/>
    </row>
    <row r="10" spans="1:9" ht="15.6">
      <c r="A10" s="3258" t="str">
        <f>'结果表-住宅'!A124</f>
        <v/>
      </c>
      <c r="B10" s="3258"/>
      <c r="C10" s="3258"/>
      <c r="D10" s="3258" t="str">
        <f>'结果表-住宅'!D124</f>
        <v>——</v>
      </c>
      <c r="E10" s="3258"/>
      <c r="F10" s="3258"/>
      <c r="G10" s="3258"/>
      <c r="H10" s="3258"/>
      <c r="I10" s="3258"/>
    </row>
    <row r="11" spans="1:9" ht="15">
      <c r="A11" s="3259" t="s">
        <v>927</v>
      </c>
      <c r="B11" s="3259"/>
      <c r="C11" s="3259"/>
      <c r="D11" s="3259" t="e">
        <f>'结果表-住宅'!D125</f>
        <v>#VALUE!</v>
      </c>
      <c r="E11" s="3259"/>
      <c r="F11" s="3259"/>
      <c r="G11" s="3259"/>
      <c r="H11" s="3259"/>
      <c r="I11" s="3259"/>
    </row>
    <row r="12" spans="1:9" ht="15.6">
      <c r="A12" s="3258" t="str">
        <f>'结果表-住宅'!A126</f>
        <v/>
      </c>
      <c r="B12" s="3258"/>
      <c r="C12" s="3258"/>
      <c r="D12" s="3258" t="str">
        <f>'结果表-住宅'!D126</f>
        <v>——</v>
      </c>
      <c r="E12" s="3258"/>
      <c r="F12" s="3258"/>
      <c r="G12" s="3258"/>
      <c r="H12" s="3258"/>
      <c r="I12" s="3258"/>
    </row>
    <row r="13" spans="1:9" ht="15.6" thickBot="1">
      <c r="A13" s="3256" t="s">
        <v>927</v>
      </c>
      <c r="B13" s="3256"/>
      <c r="C13" s="3256"/>
      <c r="D13" s="3256" t="e">
        <f>'结果表-住宅'!D127</f>
        <v>#VALUE!</v>
      </c>
      <c r="E13" s="3256"/>
      <c r="F13" s="3256"/>
      <c r="G13" s="3256"/>
      <c r="H13" s="3256"/>
      <c r="I13" s="3256"/>
    </row>
    <row r="14" spans="1:9" ht="14.4" thickTop="1">
      <c r="A14" s="3257" t="s">
        <v>932</v>
      </c>
      <c r="B14" s="3257"/>
      <c r="C14" s="3257"/>
      <c r="D14" s="3257"/>
      <c r="E14" s="3257"/>
      <c r="F14" s="3257"/>
      <c r="G14" s="3257"/>
      <c r="H14" s="3257"/>
      <c r="I14" s="3257"/>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3509</v>
      </c>
      <c r="D1" s="1270" t="s">
        <v>43</v>
      </c>
      <c r="E1" s="1271" t="s">
        <v>678</v>
      </c>
      <c r="F1" s="999">
        <f ca="1">J53</f>
        <v>50</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4"/>
      <c r="H2" s="2464"/>
      <c r="I2" s="2464"/>
      <c r="J2" s="2464"/>
      <c r="K2" s="2465"/>
      <c r="L2" s="2464"/>
      <c r="M2" s="2464"/>
    </row>
    <row r="3" spans="1:37" ht="18" customHeight="1" thickBot="1">
      <c r="A3" s="1296" t="s">
        <v>806</v>
      </c>
      <c r="B3" s="1297">
        <f ca="1">IF(ISERROR(B2*10000/F43),0,ROUND(B2*10000/F43,0))</f>
        <v>0</v>
      </c>
      <c r="C3" s="1288" t="s">
        <v>807</v>
      </c>
      <c r="D3" s="1288"/>
      <c r="E3" s="1294"/>
      <c r="F3" s="1295"/>
      <c r="G3" s="2474"/>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13</v>
      </c>
      <c r="D5" s="1272" t="s">
        <v>693</v>
      </c>
      <c r="E5" s="1008"/>
      <c r="F5" s="1009"/>
      <c r="G5" s="1291"/>
      <c r="H5" s="291">
        <v>1</v>
      </c>
      <c r="I5" s="292" t="s">
        <v>692</v>
      </c>
      <c r="J5" s="1007">
        <f ca="1">J6+J10+J12</f>
        <v>0</v>
      </c>
      <c r="K5" s="1272" t="s">
        <v>693</v>
      </c>
      <c r="L5" s="1008"/>
      <c r="M5" s="1009"/>
    </row>
    <row r="6" spans="1:37" ht="18" customHeight="1">
      <c r="A6" s="1006" t="s">
        <v>398</v>
      </c>
      <c r="B6" s="3490" t="s">
        <v>694</v>
      </c>
      <c r="C6" s="1011">
        <f ca="1">ROUND(F6*F8*F7*(1-F9)/10000,0)</f>
        <v>13</v>
      </c>
      <c r="D6" s="147" t="s">
        <v>2106</v>
      </c>
      <c r="E6" s="294" t="s">
        <v>696</v>
      </c>
      <c r="F6" s="295">
        <f ca="1">INDIRECT("'数据-取费表'!u"&amp;$G$1)</f>
        <v>12000</v>
      </c>
      <c r="G6" s="1291"/>
      <c r="H6" s="1006" t="s">
        <v>398</v>
      </c>
      <c r="I6" s="3490" t="s">
        <v>694</v>
      </c>
      <c r="J6" s="293">
        <f ca="1">ROUND(M6*M8*M7*(1-M9)/10000,0)</f>
        <v>0</v>
      </c>
      <c r="K6" s="147" t="s">
        <v>2105</v>
      </c>
      <c r="L6" s="294" t="s">
        <v>696</v>
      </c>
      <c r="M6" s="295">
        <f ca="1">INDIRECT("'数据-取费表'!z"&amp;$G$1)</f>
        <v>0</v>
      </c>
    </row>
    <row r="7" spans="1:37" ht="18" customHeight="1">
      <c r="A7" s="1010"/>
      <c r="B7" s="3491"/>
      <c r="C7" s="1012"/>
      <c r="D7" s="299"/>
      <c r="E7" s="1013" t="s">
        <v>697</v>
      </c>
      <c r="F7" s="295">
        <f ca="1">IF(INDIRECT("'数据-取费表'!ah"&amp;$G$1)="",INDIRECT("'数据-取费表'!k"&amp;$G$1),INDIRECT("'数据-取费表'!ah"&amp;$G$1))</f>
        <v>1</v>
      </c>
      <c r="G7" s="1291"/>
      <c r="H7" s="296"/>
      <c r="I7" s="3491"/>
      <c r="J7" s="298"/>
      <c r="K7" s="299"/>
      <c r="L7" s="294" t="s">
        <v>697</v>
      </c>
      <c r="M7" s="295">
        <f ca="1">F7</f>
        <v>1</v>
      </c>
    </row>
    <row r="8" spans="1:37" ht="18" customHeight="1">
      <c r="A8" s="296"/>
      <c r="B8" s="3491"/>
      <c r="C8" s="298"/>
      <c r="D8" s="299"/>
      <c r="E8" s="294" t="s">
        <v>698</v>
      </c>
      <c r="F8" s="295">
        <f ca="1">INDIRECT("'数据-取费表'!ai"&amp;$G$1)</f>
        <v>12</v>
      </c>
      <c r="G8" s="1291"/>
      <c r="H8" s="296"/>
      <c r="I8" s="3491"/>
      <c r="J8" s="298"/>
      <c r="K8" s="299"/>
      <c r="L8" s="294" t="s">
        <v>698</v>
      </c>
      <c r="M8" s="295">
        <f ca="1">INDIRECT("'数据-取费表'!ai"&amp;$G$1)</f>
        <v>12</v>
      </c>
    </row>
    <row r="9" spans="1:37" ht="18" customHeight="1">
      <c r="A9" s="296"/>
      <c r="B9" s="3492"/>
      <c r="C9" s="298"/>
      <c r="D9" s="299"/>
      <c r="E9" s="294" t="s">
        <v>699</v>
      </c>
      <c r="F9" s="304">
        <f ca="1">INDIRECT("'数据-取费表'!w"&amp;$G$1)</f>
        <v>0.1</v>
      </c>
      <c r="G9" s="1291"/>
      <c r="H9" s="296"/>
      <c r="I9" s="3492"/>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2114</v>
      </c>
      <c r="E10" s="305" t="s">
        <v>701</v>
      </c>
      <c r="F10" s="1053" t="s">
        <v>3482</v>
      </c>
      <c r="G10" s="1291"/>
      <c r="H10" s="1006" t="s">
        <v>402</v>
      </c>
      <c r="I10" s="1273" t="s">
        <v>700</v>
      </c>
      <c r="J10" s="293">
        <f ca="1">ROUND(IF(M10="押一",J6/12*M11,IF(M10="押二",J6/12*2*M11,IF(M10="押三",J6/12*3*M11,J11*M11))),0)</f>
        <v>0</v>
      </c>
      <c r="K10" s="150" t="s">
        <v>2113</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149</v>
      </c>
      <c r="D13" s="1018" t="s">
        <v>705</v>
      </c>
      <c r="E13" s="1018" t="s">
        <v>706</v>
      </c>
      <c r="F13" s="1019">
        <f ca="1">INDIRECT("'数据-取费表'!y"&amp;$G$1)</f>
        <v>0.83</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112</v>
      </c>
      <c r="D14" s="1256" t="s">
        <v>708</v>
      </c>
      <c r="E14" s="1254"/>
      <c r="F14" s="311"/>
      <c r="G14" s="1291"/>
      <c r="H14" s="928" t="s">
        <v>398</v>
      </c>
      <c r="I14" s="294" t="s">
        <v>709</v>
      </c>
      <c r="J14" s="21">
        <f ca="1">C29</f>
        <v>179</v>
      </c>
      <c r="K14" s="12"/>
      <c r="L14" s="759"/>
      <c r="M14" s="760"/>
    </row>
    <row r="15" spans="1:37" s="1303" customFormat="1" ht="18" customHeight="1" thickBot="1">
      <c r="A15" s="928" t="s">
        <v>399</v>
      </c>
      <c r="B15" s="294" t="s">
        <v>710</v>
      </c>
      <c r="C15" s="21">
        <f ca="1">ROUND(C14*F15,0)</f>
        <v>6</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11</v>
      </c>
      <c r="D16" s="294" t="s">
        <v>711</v>
      </c>
      <c r="E16" s="294" t="s">
        <v>712</v>
      </c>
      <c r="F16" s="314">
        <f ca="1">IF(INDIRECT("'数据-取费表'!c"&amp;$G$1)="住宅",'数据-取费表'!B34,0)</f>
        <v>0.1</v>
      </c>
      <c r="G16" s="1291"/>
      <c r="H16" s="1016" t="s">
        <v>393</v>
      </c>
      <c r="I16" s="1017" t="s">
        <v>714</v>
      </c>
      <c r="J16" s="302">
        <f ca="1">ROUND(J17+J22+J23+J24,0)</f>
        <v>2</v>
      </c>
      <c r="K16" s="1024" t="s">
        <v>715</v>
      </c>
      <c r="L16" s="1025"/>
      <c r="M16" s="1009"/>
    </row>
    <row r="17" spans="1:37" s="1303" customFormat="1" ht="18" customHeight="1">
      <c r="A17" s="928" t="s">
        <v>681</v>
      </c>
      <c r="B17" s="294" t="s">
        <v>716</v>
      </c>
      <c r="C17" s="21">
        <f ca="1">ROUND(F17*(F43+INDIRECT("'数据-取费表'!S"&amp;$G$1))/10000,0)</f>
        <v>4</v>
      </c>
      <c r="D17" s="294" t="s">
        <v>717</v>
      </c>
      <c r="E17" s="294" t="s">
        <v>718</v>
      </c>
      <c r="F17" s="23">
        <f>'数据-取费表'!B35</f>
        <v>200</v>
      </c>
      <c r="G17" s="1302"/>
      <c r="H17" s="928" t="s">
        <v>398</v>
      </c>
      <c r="I17" s="294" t="s">
        <v>719</v>
      </c>
      <c r="J17" s="2136">
        <f ca="1">ROUND(IF(AND(项目基本情况!B11="自然人",项目基本情况!B10="北京市"),J6*M17/(1+'数据-取费表'!C42),J18+J19+J20),2)</f>
        <v>0</v>
      </c>
      <c r="K17" s="1256" t="s">
        <v>720</v>
      </c>
      <c r="L17" s="1255" t="s">
        <v>721</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135</v>
      </c>
      <c r="D19" s="123" t="s">
        <v>726</v>
      </c>
      <c r="E19" s="1268"/>
      <c r="F19" s="23"/>
      <c r="G19" s="1291"/>
      <c r="H19" s="928" t="s">
        <v>399</v>
      </c>
      <c r="I19" s="294" t="s">
        <v>727</v>
      </c>
      <c r="J19" s="21">
        <f ca="1">IF(K19="按租金收入计税",ROUND(J6*M19/(1+'数据-取费表'!C42),2),ROUND(C29*M19*0.7,2))</f>
        <v>0</v>
      </c>
      <c r="K19" s="1277" t="s">
        <v>3332</v>
      </c>
      <c r="L19" s="294" t="s">
        <v>712</v>
      </c>
      <c r="M19" s="314">
        <f>IF(K19="按租金收入计税",'数据-取费表'!B51,'数据-取费表'!B50)</f>
        <v>0.12</v>
      </c>
    </row>
    <row r="20" spans="1:37" s="1303" customFormat="1" ht="18" customHeight="1">
      <c r="A20" s="928" t="s">
        <v>402</v>
      </c>
      <c r="B20" s="294" t="s">
        <v>728</v>
      </c>
      <c r="C20" s="21">
        <f ca="1">ROUND(C19*F20,0)</f>
        <v>3</v>
      </c>
      <c r="D20" s="315" t="s">
        <v>729</v>
      </c>
      <c r="E20" s="294" t="s">
        <v>712</v>
      </c>
      <c r="F20" s="314">
        <f>'数据-取费表'!B37</f>
        <v>0.02</v>
      </c>
      <c r="G20" s="1302"/>
      <c r="H20" s="928"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1.79</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4</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2"/>
      <c r="H24" s="1026" t="s">
        <v>684</v>
      </c>
      <c r="I24" s="1027" t="s">
        <v>728</v>
      </c>
      <c r="J24" s="1028">
        <f ca="1">ROUND(J5*M24,2)</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-2</v>
      </c>
      <c r="K25" s="1032" t="s">
        <v>753</v>
      </c>
      <c r="L25" s="1033"/>
      <c r="M25" s="1034"/>
    </row>
    <row r="26" spans="1:37">
      <c r="A26" s="928" t="s">
        <v>397</v>
      </c>
      <c r="B26" s="294" t="s">
        <v>754</v>
      </c>
      <c r="C26" s="21">
        <f ca="1">ROUND((C19+C20)*F26,0)</f>
        <v>21</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179</v>
      </c>
      <c r="D29" s="1029"/>
      <c r="E29" s="1027"/>
      <c r="F29" s="1030"/>
      <c r="G29" s="1302"/>
      <c r="H29" s="325" t="s">
        <v>396</v>
      </c>
      <c r="I29" s="326" t="s">
        <v>768</v>
      </c>
      <c r="J29" s="327">
        <f ca="1">ROUND(J26/(1+F40)^F41,0)</f>
        <v>0</v>
      </c>
      <c r="K29" s="328" t="s">
        <v>769</v>
      </c>
      <c r="L29" s="329"/>
      <c r="M29" s="330">
        <f ca="1">INDIRECT("'数据-取费表'!k"&amp;$G$1)</f>
        <v>185.94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4</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ROUND(IF(AND(项目基本情况!B11="自然人",项目基本情况!B10="北京市"),C6*F31/(1+'数据-取费表'!C42),C32+C33+C34),2)</f>
        <v>2.1800000000000002</v>
      </c>
      <c r="D31" s="1256" t="s">
        <v>720</v>
      </c>
      <c r="E31" s="1255" t="s">
        <v>770</v>
      </c>
      <c r="F31" s="2135" t="str">
        <f>IF(项目基本情况!B11="企业","——",IF(M47="住宅",IF(F6*F7*F8/12/(1+'数据-取费表'!F30)&gt;100000,4%,2.5%),IF(F6*F7*F8/12/(1+'数据-取费表'!F30)&gt;100000,12%,7%)))</f>
        <v>——</v>
      </c>
      <c r="G31" s="1291"/>
      <c r="H31" s="2565" t="s">
        <v>2303</v>
      </c>
      <c r="I31" s="1304"/>
      <c r="J31" s="1305"/>
      <c r="K31" s="121"/>
      <c r="L31" s="2467"/>
      <c r="M31" s="2468"/>
    </row>
    <row r="32" spans="1:37" ht="18" customHeight="1">
      <c r="A32" s="928" t="s">
        <v>397</v>
      </c>
      <c r="B32" s="294" t="s">
        <v>723</v>
      </c>
      <c r="C32" s="21">
        <f ca="1">IF(项目基本情况!B11="自然人","——",ROUND(C6*F32/(1+'数据-取费表'!C42),2))</f>
        <v>0.69</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f ca="1">IF(项目基本情况!B11="自然人","——",IF(D33="按租金收入计税",ROUND(C6*F33/(1+'数据-取费表'!C42),2),IF(D33="按房产原值计税",ROUND(C29*F33*0.7,2),INDIRECT("'数据-取费表'!Aj"&amp;$G$1))))</f>
        <v>1.49</v>
      </c>
      <c r="D33" s="1277" t="s">
        <v>3332</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f ca="1">IF(项目基本情况!B11="自然人","——",ROUND(F34*F35/10000,2))</f>
        <v>0</v>
      </c>
      <c r="D34" s="316" t="s">
        <v>731</v>
      </c>
      <c r="E34" s="294" t="s">
        <v>732</v>
      </c>
      <c r="F34" s="317">
        <f>'数据-取费表'!B52</f>
        <v>1.5</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ROUND(C29*F36,2)</f>
        <v>1.79</v>
      </c>
      <c r="D36" s="1255" t="s">
        <v>771</v>
      </c>
      <c r="E36" s="294" t="s">
        <v>712</v>
      </c>
      <c r="F36" s="320">
        <f ca="1">INDIRECT("'数据-取费表'!Ak"&amp;$G$1)</f>
        <v>0.01</v>
      </c>
      <c r="G36" s="1291"/>
      <c r="H36" s="2469"/>
      <c r="I36" s="1304"/>
      <c r="J36" s="1305"/>
      <c r="K36" s="2327"/>
      <c r="L36" s="2469"/>
      <c r="M36" s="2469"/>
    </row>
    <row r="37" spans="1:18" ht="18" customHeight="1">
      <c r="A37" s="928" t="s">
        <v>437</v>
      </c>
      <c r="B37" s="294" t="s">
        <v>742</v>
      </c>
      <c r="C37" s="21">
        <f ca="1">ROUND(C13*F37,2)</f>
        <v>0.15</v>
      </c>
      <c r="D37" s="1255" t="s">
        <v>743</v>
      </c>
      <c r="E37" s="294" t="s">
        <v>744</v>
      </c>
      <c r="F37" s="321">
        <f ca="1">INDIRECT("'数据-取费表'!Al"&amp;$G$1)</f>
        <v>1E-3</v>
      </c>
      <c r="G37" s="1291"/>
      <c r="H37" s="2469"/>
      <c r="I37" s="1304"/>
      <c r="J37" s="1305"/>
      <c r="K37" s="2327"/>
      <c r="L37" s="2469"/>
      <c r="M37" s="2469"/>
    </row>
    <row r="38" spans="1:18" ht="18" customHeight="1" thickBot="1">
      <c r="A38" s="1026" t="s">
        <v>684</v>
      </c>
      <c r="B38" s="1027" t="s">
        <v>728</v>
      </c>
      <c r="C38" s="1028">
        <f ca="1">ROUND(C5*F38,2)</f>
        <v>0.13</v>
      </c>
      <c r="D38" s="1029" t="s">
        <v>748</v>
      </c>
      <c r="E38" s="1027" t="s">
        <v>744</v>
      </c>
      <c r="F38" s="1023">
        <f ca="1">INDIRECT("'数据-取费表'!Am"&amp;$G$1)</f>
        <v>0.01</v>
      </c>
      <c r="G38" s="1291"/>
      <c r="H38" s="2469"/>
      <c r="I38" s="1304"/>
      <c r="J38" s="1305"/>
      <c r="K38" s="2467"/>
      <c r="L38" s="2469"/>
      <c r="M38" s="2469"/>
    </row>
    <row r="39" spans="1:18" ht="24.6" customHeight="1" thickTop="1">
      <c r="A39" s="1016" t="s">
        <v>394</v>
      </c>
      <c r="B39" s="1031" t="s">
        <v>772</v>
      </c>
      <c r="C39" s="302">
        <f ca="1">C5-C30</f>
        <v>9</v>
      </c>
      <c r="D39" s="1032" t="s">
        <v>773</v>
      </c>
      <c r="E39" s="1033"/>
      <c r="F39" s="1034"/>
      <c r="G39" s="1291"/>
      <c r="H39" s="2469"/>
      <c r="I39" s="1304"/>
      <c r="J39" s="1305"/>
      <c r="K39" s="2467"/>
      <c r="L39" s="2469"/>
      <c r="M39" s="2469"/>
    </row>
    <row r="40" spans="1:18" ht="18" customHeight="1">
      <c r="A40" s="291" t="s">
        <v>395</v>
      </c>
      <c r="B40" s="292" t="s">
        <v>774</v>
      </c>
      <c r="C40" s="293">
        <f ca="1">ROUND(C39*(1-((1+F42)/(1+F40))^F41)/(F40-F42),0)</f>
        <v>210</v>
      </c>
      <c r="D40" s="316" t="s">
        <v>758</v>
      </c>
      <c r="E40" s="294" t="s">
        <v>759</v>
      </c>
      <c r="F40" s="304">
        <f ca="1">INDIRECT("'数据-取费表'!I"&amp;$G$1)</f>
        <v>5.5E-2</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50</v>
      </c>
      <c r="G41" s="1291"/>
      <c r="H41" s="121">
        <f ca="1">C39/C5</f>
        <v>0.69230769230769229</v>
      </c>
      <c r="I41" s="1304"/>
      <c r="J41" s="1305"/>
      <c r="K41" s="2327"/>
      <c r="L41" s="121"/>
      <c r="M41" s="121"/>
    </row>
    <row r="42" spans="1:18" ht="18" customHeight="1">
      <c r="A42" s="300"/>
      <c r="B42" s="301"/>
      <c r="C42" s="302"/>
      <c r="D42" s="319"/>
      <c r="E42" s="294" t="s">
        <v>766</v>
      </c>
      <c r="F42" s="304">
        <f ca="1">INDIRECT("'数据-取费表'!v"&amp;$G$1)</f>
        <v>0.02</v>
      </c>
      <c r="G42" s="1291"/>
      <c r="H42" s="121"/>
      <c r="I42" s="1304"/>
      <c r="J42" s="1305"/>
      <c r="K42" s="2327"/>
      <c r="L42" s="121"/>
      <c r="M42" s="121"/>
    </row>
    <row r="43" spans="1:18" ht="18" customHeight="1" thickBot="1">
      <c r="A43" s="325" t="s">
        <v>396</v>
      </c>
      <c r="B43" s="326" t="s">
        <v>776</v>
      </c>
      <c r="C43" s="327">
        <f ca="1">ROUND(C40*10000/F43,0)</f>
        <v>11294</v>
      </c>
      <c r="D43" s="328" t="s">
        <v>777</v>
      </c>
      <c r="E43" s="329" t="s">
        <v>778</v>
      </c>
      <c r="F43" s="330">
        <f ca="1">INDIRECT("'数据-取费表'!k"&amp;$G$1)</f>
        <v>185.94</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3" t="s">
        <v>808</v>
      </c>
      <c r="P45" s="1365"/>
      <c r="Q45" s="1365"/>
      <c r="R45" s="1365"/>
    </row>
    <row r="46" spans="1:18" s="1291" customFormat="1" ht="13.8" thickBot="1">
      <c r="A46" s="1310" t="s">
        <v>809</v>
      </c>
      <c r="C46" s="1311">
        <f ca="1">C68-C40</f>
        <v>-244</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2" t="s">
        <v>687</v>
      </c>
      <c r="B47" s="924" t="s">
        <v>688</v>
      </c>
      <c r="C47" s="1054" t="s">
        <v>689</v>
      </c>
      <c r="D47" s="924" t="s">
        <v>690</v>
      </c>
      <c r="E47" s="995" t="s">
        <v>691</v>
      </c>
      <c r="F47" s="996"/>
      <c r="G47" s="681"/>
      <c r="I47" s="1320" t="s">
        <v>815</v>
      </c>
      <c r="J47" s="1321" t="s">
        <v>3483</v>
      </c>
      <c r="K47" s="1322" t="s">
        <v>816</v>
      </c>
      <c r="L47" s="1323">
        <f ca="1">INDIRECT("'数据-取费表'!d"&amp;$G$1)</f>
        <v>70</v>
      </c>
      <c r="M47" s="1287" t="str">
        <f>IF(ISNUMBER(FIND("住宅",C1)),"住宅","非住宅")</f>
        <v>非住宅</v>
      </c>
      <c r="O47" s="1324" t="s">
        <v>403</v>
      </c>
      <c r="P47" s="1325" t="s">
        <v>817</v>
      </c>
      <c r="Q47" s="1326">
        <f ca="1">C40+J29</f>
        <v>210</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3484</v>
      </c>
      <c r="K48" s="1329" t="s">
        <v>820</v>
      </c>
      <c r="L48" s="1330">
        <f ca="1">INDIRECT("'数据-取费表'!f"&amp;$G$1)</f>
        <v>60.17</v>
      </c>
      <c r="O48" s="1324" t="s">
        <v>404</v>
      </c>
      <c r="P48" s="1325" t="s">
        <v>821</v>
      </c>
      <c r="Q48" s="1326" t="str">
        <f ca="1">J60</f>
        <v>0</v>
      </c>
      <c r="R48" s="1326" t="s">
        <v>822</v>
      </c>
    </row>
    <row r="49" spans="1:18" s="1291" customFormat="1" ht="13.8" thickBot="1">
      <c r="A49" s="921" t="s">
        <v>439</v>
      </c>
      <c r="B49" s="1278" t="s">
        <v>779</v>
      </c>
      <c r="C49" s="1051">
        <f ca="1">ROUND(F49*F51*F50*(1-F52)/10000,0)</f>
        <v>0</v>
      </c>
      <c r="D49" s="992" t="s">
        <v>2107</v>
      </c>
      <c r="E49" s="1279" t="s">
        <v>780</v>
      </c>
      <c r="F49" s="997"/>
      <c r="H49" s="682"/>
      <c r="I49" s="1327" t="s">
        <v>823</v>
      </c>
      <c r="J49" s="1331">
        <f>'数据-取费表'!N17</f>
        <v>2015</v>
      </c>
      <c r="K49" s="1329" t="s">
        <v>824</v>
      </c>
      <c r="L49" s="1332"/>
      <c r="O49" s="1333" t="s">
        <v>405</v>
      </c>
      <c r="P49" s="1325" t="s">
        <v>825</v>
      </c>
      <c r="Q49" s="1326">
        <f ca="1">C29</f>
        <v>179</v>
      </c>
      <c r="R49" s="1326" t="s">
        <v>818</v>
      </c>
    </row>
    <row r="50" spans="1:18" s="1291" customFormat="1" ht="13.8" thickBot="1">
      <c r="A50" s="922"/>
      <c r="B50" s="925"/>
      <c r="C50" s="1055"/>
      <c r="D50" s="899"/>
      <c r="E50" s="993" t="s">
        <v>697</v>
      </c>
      <c r="F50" s="994">
        <f ca="1">F7</f>
        <v>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8" thickBot="1">
      <c r="A51" s="923"/>
      <c r="B51" s="925"/>
      <c r="C51" s="926"/>
      <c r="D51" s="899"/>
      <c r="E51" s="927" t="s">
        <v>698</v>
      </c>
      <c r="F51" s="295">
        <f ca="1">F8</f>
        <v>12</v>
      </c>
      <c r="I51" s="1337" t="s">
        <v>829</v>
      </c>
      <c r="J51" s="1330">
        <f>IF(J49="",J50,J49+J50-YEAR('数据-取费表'!B2))</f>
        <v>50</v>
      </c>
      <c r="K51" s="1338" t="s">
        <v>830</v>
      </c>
      <c r="L51" s="1339">
        <f ca="1">ROUND(-PV(INDIRECT("'数据-取费表'!h"&amp;$G$1),J51,(C39-C13*C76),0),0)</f>
        <v>-26</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50</v>
      </c>
      <c r="R52" s="1326" t="s">
        <v>835</v>
      </c>
    </row>
    <row r="53" spans="1:18" s="1291" customFormat="1" ht="36.6" thickBot="1">
      <c r="A53" s="1079" t="s">
        <v>440</v>
      </c>
      <c r="B53" s="1280" t="s">
        <v>700</v>
      </c>
      <c r="C53" s="308">
        <f ca="1">ROUND(IF(F53="押一",C49/12*F11,IF(F53="押二",C49/12*2*F11,IF(F53="押三",C49/12*3*F11,C54*F11))),0)</f>
        <v>0</v>
      </c>
      <c r="D53" s="150" t="s">
        <v>2113</v>
      </c>
      <c r="E53" s="305" t="s">
        <v>701</v>
      </c>
      <c r="F53" s="1053"/>
      <c r="I53" s="1343" t="s">
        <v>836</v>
      </c>
      <c r="J53" s="2002">
        <f ca="1">IF(M47="住宅",IF(D1="——",MAX(J51,L48),MAX(J51,L48-'数据-取费表'!B24)),IF(D1="——",MIN(J51,L48),MIN(J51,L48-'数据-取费表'!B24)))</f>
        <v>50</v>
      </c>
      <c r="K53" s="3488" t="s">
        <v>837</v>
      </c>
      <c r="L53" s="3489"/>
      <c r="O53" s="1324" t="s">
        <v>409</v>
      </c>
      <c r="P53" s="1325" t="s">
        <v>838</v>
      </c>
      <c r="Q53" s="1326">
        <f ca="1">Q47+Q48</f>
        <v>210</v>
      </c>
      <c r="R53" s="1326" t="s">
        <v>410</v>
      </c>
    </row>
    <row r="54" spans="1:18" s="1291" customFormat="1" ht="24.6"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149</v>
      </c>
      <c r="D56" s="1351"/>
      <c r="E56" s="1352"/>
      <c r="F56" s="1344"/>
      <c r="I56" s="1353" t="s">
        <v>842</v>
      </c>
      <c r="J56" s="1354" t="s">
        <v>3485</v>
      </c>
      <c r="K56" s="1327" t="s">
        <v>843</v>
      </c>
      <c r="L56" s="1330">
        <f ca="1">IF(L48&lt;J51,"——",L48-J53)</f>
        <v>10.170000000000002</v>
      </c>
      <c r="O56" s="1324" t="s">
        <v>403</v>
      </c>
      <c r="P56" s="1325" t="s">
        <v>817</v>
      </c>
      <c r="Q56" s="1326">
        <f ca="1">C40+J29</f>
        <v>210</v>
      </c>
      <c r="R56" s="1326" t="s">
        <v>818</v>
      </c>
    </row>
    <row r="57" spans="1:18" s="1291" customFormat="1" ht="24.6" thickBot="1">
      <c r="A57" s="1355"/>
      <c r="B57" s="896" t="s">
        <v>767</v>
      </c>
      <c r="C57" s="230">
        <f ca="1">C29</f>
        <v>179</v>
      </c>
      <c r="D57" s="1356"/>
      <c r="E57" s="1357"/>
      <c r="F57" s="1358"/>
      <c r="I57" s="1359" t="s">
        <v>844</v>
      </c>
      <c r="J57" s="1360" t="str">
        <f ca="1">IF(OR(M47="住宅",J51&lt;L48,J56="是"),"——",J51-L48)</f>
        <v>——</v>
      </c>
      <c r="K57" s="1327" t="s">
        <v>845</v>
      </c>
      <c r="L57" s="1330">
        <f ca="1">IF(L48&lt;J51,"——",IF(L55="比较法",L49,IF(L55="基准地价",L50,L51)))</f>
        <v>-26</v>
      </c>
      <c r="O57" s="1324" t="s">
        <v>404</v>
      </c>
      <c r="P57" s="1325" t="s">
        <v>846</v>
      </c>
      <c r="Q57" s="1326" t="e">
        <f ca="1">L60</f>
        <v>#DIV/0!</v>
      </c>
      <c r="R57" s="1326" t="s">
        <v>847</v>
      </c>
    </row>
    <row r="58" spans="1:18" s="1291" customFormat="1" ht="24.6" thickBot="1">
      <c r="A58" s="307" t="s">
        <v>393</v>
      </c>
      <c r="B58" s="904" t="s">
        <v>714</v>
      </c>
      <c r="C58" s="308">
        <f ca="1">ROUND(C59+C64+C65+C66,0)</f>
        <v>2</v>
      </c>
      <c r="D58" s="906" t="s">
        <v>715</v>
      </c>
      <c r="E58" s="907"/>
      <c r="F58" s="908"/>
      <c r="I58" s="1359" t="s">
        <v>848</v>
      </c>
      <c r="J58" s="1361" t="e">
        <f ca="1">IF(J55&lt;0.4,0.4,J55)</f>
        <v>#VALUE!</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6">
        <f ca="1">ROUND(IF(AND(项目基本情况!B11="自然人",项目基本情况!B10="北京市"),C49*F59/(1+'数据-取费表'!C42),C60+C61+C62),0)</f>
        <v>0</v>
      </c>
      <c r="D59" s="909" t="s">
        <v>720</v>
      </c>
      <c r="E59" s="910" t="s">
        <v>721</v>
      </c>
      <c r="F59" s="2135"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t="str">
        <f ca="1">IF(OR(M47="住宅",J51&lt;L48,J56="是"),"0",ROUND(J59/(1+J52)^J53,0))</f>
        <v>0</v>
      </c>
      <c r="K60" s="1364" t="s">
        <v>854</v>
      </c>
      <c r="L60" s="1363" t="e">
        <f ca="1">IF(OR(M47="住宅",L48&lt;J51),0,ROUND(L57*(L58/L59-1),0))</f>
        <v>#DIV/0!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IF(项目基本情况!B11="自然人","——",IF(D61="按租金收入计税",ROUND(C49*F61/(1+'数据-取费表'!C42),2),IF(D61="按房产原值计税",ROUND(C57*F61*0.7,2),INDIRECT("'数据-取费表'!Aj"&amp;$G$1))))</f>
        <v>0</v>
      </c>
      <c r="D61" s="1277" t="s">
        <v>3332</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IF(项目基本情况!B11="自然人","——",ROUND(F62*F63/10000,2))</f>
        <v>0</v>
      </c>
      <c r="D62" s="911" t="s">
        <v>786</v>
      </c>
      <c r="E62" s="896"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ROUND(C57*F64,2)</f>
        <v>1.79</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0.15</v>
      </c>
      <c r="D65" s="910" t="s">
        <v>743</v>
      </c>
      <c r="E65" s="896" t="s">
        <v>744</v>
      </c>
      <c r="F65" s="321">
        <f t="shared" ca="1" si="0"/>
        <v>1E-3</v>
      </c>
      <c r="I65" s="1366" t="s">
        <v>867</v>
      </c>
      <c r="J65" s="610">
        <v>40</v>
      </c>
      <c r="K65" s="610">
        <v>30</v>
      </c>
      <c r="L65" s="610">
        <v>50</v>
      </c>
      <c r="M65" s="1368">
        <v>0.02</v>
      </c>
      <c r="O65" s="1324" t="s">
        <v>403</v>
      </c>
      <c r="P65" s="1325" t="s">
        <v>868</v>
      </c>
      <c r="Q65" s="1326">
        <f ca="1">C40+J29</f>
        <v>210</v>
      </c>
      <c r="R65" s="1326" t="s">
        <v>818</v>
      </c>
    </row>
    <row r="66" spans="1:18" s="1291" customFormat="1" ht="16.2" thickBot="1">
      <c r="A66" s="928" t="s">
        <v>793</v>
      </c>
      <c r="B66" s="896" t="s">
        <v>728</v>
      </c>
      <c r="C66" s="21">
        <f ca="1">ROUND(C48*F66,2)</f>
        <v>0</v>
      </c>
      <c r="D66" s="910" t="s">
        <v>794</v>
      </c>
      <c r="E66" s="896" t="s">
        <v>712</v>
      </c>
      <c r="F66" s="304">
        <f t="shared" ca="1" si="0"/>
        <v>0.01</v>
      </c>
      <c r="O66" s="1324" t="s">
        <v>404</v>
      </c>
      <c r="P66" s="1325" t="s">
        <v>846</v>
      </c>
      <c r="Q66" s="1326" t="e">
        <f ca="1">L60</f>
        <v>#DIV/0!</v>
      </c>
      <c r="R66" s="1326" t="s">
        <v>869</v>
      </c>
    </row>
    <row r="67" spans="1:18" s="1291" customFormat="1" ht="24.6" thickBot="1">
      <c r="A67" s="903" t="s">
        <v>394</v>
      </c>
      <c r="B67" s="913" t="s">
        <v>752</v>
      </c>
      <c r="C67" s="308">
        <f ca="1">C48-C58</f>
        <v>-2</v>
      </c>
      <c r="D67" s="909" t="s">
        <v>753</v>
      </c>
      <c r="E67" s="914"/>
      <c r="F67" s="915"/>
      <c r="O67" s="1333" t="s">
        <v>405</v>
      </c>
      <c r="P67" s="1325" t="s">
        <v>850</v>
      </c>
      <c r="Q67" s="1369">
        <f ca="1">L51</f>
        <v>-26</v>
      </c>
      <c r="R67" s="1326" t="s">
        <v>870</v>
      </c>
    </row>
    <row r="68" spans="1:18" s="1291" customFormat="1" ht="16.2" thickBot="1">
      <c r="A68" s="893" t="s">
        <v>395</v>
      </c>
      <c r="B68" s="894" t="s">
        <v>774</v>
      </c>
      <c r="C68" s="293">
        <f ca="1">ROUND(C67*(1-((1+F70)/(1+F68))^F69)/(F68-F70),0)</f>
        <v>-34</v>
      </c>
      <c r="D68" s="911" t="s">
        <v>758</v>
      </c>
      <c r="E68" s="896" t="s">
        <v>759</v>
      </c>
      <c r="F68" s="304">
        <f ca="1">F40</f>
        <v>5.5E-2</v>
      </c>
      <c r="O68" s="1333" t="s">
        <v>406</v>
      </c>
      <c r="P68" s="1370" t="s">
        <v>871</v>
      </c>
      <c r="Q68" s="1326">
        <f ca="1">ROUND(Q69-Q70*Q71,0)</f>
        <v>-1</v>
      </c>
      <c r="R68" s="1326" t="s">
        <v>414</v>
      </c>
    </row>
    <row r="69" spans="1:18" s="1291" customFormat="1" ht="13.8" thickBot="1">
      <c r="A69" s="897"/>
      <c r="B69" s="898"/>
      <c r="C69" s="298"/>
      <c r="D69" s="916" t="s">
        <v>762</v>
      </c>
      <c r="E69" s="896" t="s">
        <v>763</v>
      </c>
      <c r="F69" s="324">
        <f ca="1">F41</f>
        <v>50</v>
      </c>
      <c r="O69" s="1333" t="s">
        <v>411</v>
      </c>
      <c r="P69" s="1370" t="s">
        <v>872</v>
      </c>
      <c r="Q69" s="1326">
        <f ca="1">C39</f>
        <v>9</v>
      </c>
      <c r="R69" s="1326" t="s">
        <v>818</v>
      </c>
    </row>
    <row r="70" spans="1:18" s="1291" customFormat="1" ht="13.8" thickBot="1">
      <c r="A70" s="900"/>
      <c r="B70" s="901"/>
      <c r="C70" s="302"/>
      <c r="D70" s="912"/>
      <c r="E70" s="896" t="s">
        <v>766</v>
      </c>
      <c r="F70" s="991"/>
      <c r="O70" s="1333" t="s">
        <v>412</v>
      </c>
      <c r="P70" s="1370" t="s">
        <v>873</v>
      </c>
      <c r="Q70" s="1326">
        <f ca="1">C13</f>
        <v>149</v>
      </c>
      <c r="R70" s="1326" t="s">
        <v>818</v>
      </c>
    </row>
    <row r="71" spans="1:18" s="1291" customFormat="1" ht="13.8" thickBot="1">
      <c r="A71" s="917" t="s">
        <v>396</v>
      </c>
      <c r="B71" s="918" t="s">
        <v>776</v>
      </c>
      <c r="C71" s="327">
        <f ca="1">ROUND(C68*10000/F71,0)</f>
        <v>-1829</v>
      </c>
      <c r="D71" s="919" t="s">
        <v>777</v>
      </c>
      <c r="E71" s="920" t="s">
        <v>778</v>
      </c>
      <c r="F71" s="330">
        <f ca="1">F43</f>
        <v>185.94</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10</v>
      </c>
      <c r="D75" s="1291"/>
      <c r="E75" s="1291"/>
      <c r="F75" s="1291"/>
      <c r="K75" s="1308"/>
      <c r="L75" s="1291"/>
      <c r="O75" s="1324" t="s">
        <v>409</v>
      </c>
      <c r="P75" s="1325" t="s">
        <v>838</v>
      </c>
      <c r="Q75" s="1326" t="e">
        <f ca="1">Q65+Q66</f>
        <v>#DIV/0!</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-0.11099999999999999</v>
      </c>
    </row>
    <row r="80" spans="1:18">
      <c r="B80" s="331" t="s">
        <v>800</v>
      </c>
      <c r="C80" s="266">
        <f ca="1">ROUND(C75/C39,3)</f>
        <v>1.111</v>
      </c>
    </row>
    <row r="81" spans="2:3">
      <c r="B81" s="262" t="s">
        <v>801</v>
      </c>
      <c r="C81" s="230"/>
    </row>
    <row r="82" spans="2:3">
      <c r="B82" s="265" t="s">
        <v>802</v>
      </c>
      <c r="C82" s="267">
        <f ca="1">1-C83</f>
        <v>0.29000000000000004</v>
      </c>
    </row>
    <row r="83" spans="2:3">
      <c r="B83" s="265" t="s">
        <v>803</v>
      </c>
      <c r="C83" s="266">
        <f ca="1">ROUND(C13/C40,3)</f>
        <v>0.71</v>
      </c>
    </row>
  </sheetData>
  <sheetProtection password="CEE9" sheet="1" objects="1" scenarios="1" formatCells="0" formatColumns="0" formatRows="0"/>
  <mergeCells count="3">
    <mergeCell ref="K53:L53"/>
    <mergeCell ref="B6:B9"/>
    <mergeCell ref="I6:I9"/>
  </mergeCells>
  <phoneticPr fontId="6"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7">
      <formula>$J$51&gt;$L$48</formula>
    </cfRule>
  </conditionalFormatting>
  <conditionalFormatting sqref="J11">
    <cfRule type="expression" dxfId="117" priority="2">
      <formula>$M$10="自定义"</formula>
    </cfRule>
  </conditionalFormatting>
  <conditionalFormatting sqref="K55 K60">
    <cfRule type="expression" dxfId="11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6388</v>
      </c>
      <c r="D1" s="1270" t="s">
        <v>43</v>
      </c>
      <c r="E1" s="1271" t="s">
        <v>678</v>
      </c>
      <c r="F1" s="999">
        <f ca="1">J53</f>
        <v>40.15</v>
      </c>
      <c r="G1" s="1285">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1</v>
      </c>
      <c r="C2" s="1288" t="s">
        <v>805</v>
      </c>
      <c r="D2" s="1288"/>
      <c r="E2" s="1294"/>
      <c r="F2" s="1295"/>
      <c r="G2" s="2474"/>
      <c r="H2" s="2464"/>
      <c r="I2" s="2464"/>
      <c r="J2" s="2464"/>
      <c r="K2" s="2465"/>
      <c r="L2" s="2464"/>
      <c r="M2" s="2464"/>
    </row>
    <row r="3" spans="1:37" ht="18" customHeight="1" thickBot="1">
      <c r="A3" s="1296" t="s">
        <v>806</v>
      </c>
      <c r="B3" s="1297">
        <f ca="1">IF(ISERROR(B2*10000/F43),0,ROUND(B2*10000/F43,0))</f>
        <v>325</v>
      </c>
      <c r="C3" s="1288" t="s">
        <v>807</v>
      </c>
      <c r="D3" s="1288"/>
      <c r="E3" s="1294"/>
      <c r="F3" s="1295"/>
      <c r="G3" s="2474"/>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90" t="s">
        <v>694</v>
      </c>
      <c r="C6" s="1011">
        <f ca="1">ROUND(F6*F8*F7*(1-F9)/10000,0)</f>
        <v>0</v>
      </c>
      <c r="D6" s="147" t="s">
        <v>2106</v>
      </c>
      <c r="E6" s="294" t="s">
        <v>696</v>
      </c>
      <c r="F6" s="295">
        <f ca="1">INDIRECT("'数据-取费表'!u"&amp;$G$1)</f>
        <v>450</v>
      </c>
      <c r="G6" s="1291"/>
      <c r="H6" s="1006" t="s">
        <v>398</v>
      </c>
      <c r="I6" s="3490" t="s">
        <v>694</v>
      </c>
      <c r="J6" s="293">
        <f ca="1">ROUND(M6*M8*M7*(1-M9)/10000,0)</f>
        <v>0</v>
      </c>
      <c r="K6" s="147" t="s">
        <v>2105</v>
      </c>
      <c r="L6" s="294" t="s">
        <v>696</v>
      </c>
      <c r="M6" s="295">
        <f ca="1">INDIRECT("'数据-取费表'!z"&amp;$G$1)</f>
        <v>0</v>
      </c>
    </row>
    <row r="7" spans="1:37" ht="18" customHeight="1">
      <c r="A7" s="1010"/>
      <c r="B7" s="3491"/>
      <c r="C7" s="1012"/>
      <c r="D7" s="299"/>
      <c r="E7" s="1013" t="s">
        <v>697</v>
      </c>
      <c r="F7" s="295">
        <f ca="1">IF(INDIRECT("'数据-取费表'!ah"&amp;$G$1)="",INDIRECT("'数据-取费表'!k"&amp;$G$1),INDIRECT("'数据-取费表'!ah"&amp;$G$1))</f>
        <v>1</v>
      </c>
      <c r="G7" s="1291"/>
      <c r="H7" s="296"/>
      <c r="I7" s="3491"/>
      <c r="J7" s="298"/>
      <c r="K7" s="299"/>
      <c r="L7" s="294" t="s">
        <v>697</v>
      </c>
      <c r="M7" s="295">
        <f ca="1">F7</f>
        <v>1</v>
      </c>
    </row>
    <row r="8" spans="1:37" ht="18" customHeight="1">
      <c r="A8" s="296"/>
      <c r="B8" s="3491"/>
      <c r="C8" s="298"/>
      <c r="D8" s="299"/>
      <c r="E8" s="294" t="s">
        <v>698</v>
      </c>
      <c r="F8" s="295">
        <f ca="1">INDIRECT("'数据-取费表'!ai"&amp;$G$1)</f>
        <v>12</v>
      </c>
      <c r="G8" s="1291"/>
      <c r="H8" s="296"/>
      <c r="I8" s="3491"/>
      <c r="J8" s="298"/>
      <c r="K8" s="299"/>
      <c r="L8" s="294" t="s">
        <v>698</v>
      </c>
      <c r="M8" s="295">
        <f ca="1">INDIRECT("'数据-取费表'!ai"&amp;$G$1)</f>
        <v>12</v>
      </c>
    </row>
    <row r="9" spans="1:37" ht="18" customHeight="1">
      <c r="A9" s="296"/>
      <c r="B9" s="3492"/>
      <c r="C9" s="298"/>
      <c r="D9" s="299"/>
      <c r="E9" s="294" t="s">
        <v>699</v>
      </c>
      <c r="F9" s="304">
        <f ca="1">INDIRECT("'数据-取费表'!w"&amp;$G$1)</f>
        <v>0.1</v>
      </c>
      <c r="G9" s="1291"/>
      <c r="H9" s="296"/>
      <c r="I9" s="3492"/>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2113</v>
      </c>
      <c r="E10" s="305" t="s">
        <v>701</v>
      </c>
      <c r="F10" s="1053" t="s">
        <v>3500</v>
      </c>
      <c r="G10" s="1291"/>
      <c r="H10" s="1006" t="s">
        <v>402</v>
      </c>
      <c r="I10" s="1273" t="s">
        <v>700</v>
      </c>
      <c r="J10" s="293">
        <f ca="1">ROUND(IF(M10="押一",J6/12*M11,IF(M10="押二",J6/12*2*M11,IF(M10="押三",J6/12*3*M11,J11*M11))),0)</f>
        <v>0</v>
      </c>
      <c r="K10" s="150" t="s">
        <v>2113</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20</v>
      </c>
      <c r="D13" s="1018" t="s">
        <v>705</v>
      </c>
      <c r="E13" s="1018" t="s">
        <v>706</v>
      </c>
      <c r="F13" s="1019">
        <f ca="1">INDIRECT("'数据-取费表'!y"&amp;$G$1)</f>
        <v>0.83</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18</v>
      </c>
      <c r="D14" s="1256" t="s">
        <v>708</v>
      </c>
      <c r="E14" s="1254"/>
      <c r="F14" s="311"/>
      <c r="G14" s="1291"/>
      <c r="H14" s="928" t="s">
        <v>398</v>
      </c>
      <c r="I14" s="294" t="s">
        <v>709</v>
      </c>
      <c r="J14" s="21">
        <f ca="1">C29</f>
        <v>24</v>
      </c>
      <c r="K14" s="12"/>
      <c r="L14" s="759"/>
      <c r="M14" s="760"/>
    </row>
    <row r="15" spans="1:37" s="1303" customFormat="1" ht="18" customHeight="1" thickBot="1">
      <c r="A15" s="928" t="s">
        <v>399</v>
      </c>
      <c r="B15" s="294" t="s">
        <v>710</v>
      </c>
      <c r="C15" s="21">
        <f ca="1">ROUND(C14*F15,0)</f>
        <v>1</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1</v>
      </c>
      <c r="D17" s="294" t="s">
        <v>717</v>
      </c>
      <c r="E17" s="294" t="s">
        <v>718</v>
      </c>
      <c r="F17" s="23">
        <f>'数据-取费表'!B35</f>
        <v>200</v>
      </c>
      <c r="G17" s="1302"/>
      <c r="H17" s="928" t="s">
        <v>398</v>
      </c>
      <c r="I17" s="294" t="s">
        <v>719</v>
      </c>
      <c r="J17" s="2136">
        <f ca="1">ROUND(IF(AND(项目基本情况!B11="自然人",项目基本情况!B10="北京市"),J6*M17/(1+'数据-取费表'!C42),J18+J19+J20),2)</f>
        <v>0</v>
      </c>
      <c r="K17" s="1256" t="s">
        <v>720</v>
      </c>
      <c r="L17" s="1255" t="s">
        <v>721</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20</v>
      </c>
      <c r="D19" s="123" t="s">
        <v>726</v>
      </c>
      <c r="E19" s="1268"/>
      <c r="F19" s="23"/>
      <c r="G19" s="1291"/>
      <c r="H19" s="928" t="s">
        <v>399</v>
      </c>
      <c r="I19" s="294" t="s">
        <v>727</v>
      </c>
      <c r="J19" s="21">
        <f ca="1">IF(K19="按租金收入计税",ROUND(J6*M19/(1+'数据-取费表'!C42),2),ROUND(C29*M19*0.7,2))</f>
        <v>0</v>
      </c>
      <c r="K19" s="1277" t="s">
        <v>3332</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0.24</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1</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712</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2"/>
      <c r="H24" s="1026" t="s">
        <v>683</v>
      </c>
      <c r="I24" s="1027" t="s">
        <v>728</v>
      </c>
      <c r="J24" s="1028">
        <f ca="1">ROUND(J5*M24,2)</f>
        <v>0</v>
      </c>
      <c r="K24" s="1029" t="s">
        <v>748</v>
      </c>
      <c r="L24" s="1027" t="s">
        <v>712</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1</v>
      </c>
      <c r="D26" s="315" t="s">
        <v>755</v>
      </c>
      <c r="E26" s="305" t="s">
        <v>756</v>
      </c>
      <c r="F26" s="304">
        <f ca="1">INDIRECT("'数据-取费表'!q"&amp;$G$1)</f>
        <v>0.05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1.5E-3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24</v>
      </c>
      <c r="D29" s="1029"/>
      <c r="E29" s="1027"/>
      <c r="F29" s="1030"/>
      <c r="G29" s="1302"/>
      <c r="H29" s="325" t="s">
        <v>396</v>
      </c>
      <c r="I29" s="326" t="s">
        <v>768</v>
      </c>
      <c r="J29" s="327">
        <f ca="1">ROUND(J26/(1+F40)^F41,0)</f>
        <v>0</v>
      </c>
      <c r="K29" s="328" t="s">
        <v>769</v>
      </c>
      <c r="L29" s="329"/>
      <c r="M29" s="330">
        <f ca="1">INDIRECT("'数据-取费表'!k"&amp;$G$1)</f>
        <v>30.74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ROUND(IF(AND(项目基本情况!B11="自然人",项目基本情况!B10="北京市"),C6*F31/(1+'数据-取费表'!C42),C32+C33+C34),2)</f>
        <v>0</v>
      </c>
      <c r="D31" s="1256" t="s">
        <v>720</v>
      </c>
      <c r="E31" s="1255" t="s">
        <v>770</v>
      </c>
      <c r="F31" s="2135" t="str">
        <f>IF(项目基本情况!B11="企业","——",IF(M47="住宅",IF(F6*F7*F8/12/(1+'数据-取费表'!F30)&gt;100000,4%,2.5%),IF(F6*F7*F8/12/(1+'数据-取费表'!F30)&gt;100000,12%,7%)))</f>
        <v>——</v>
      </c>
      <c r="G31" s="1291"/>
      <c r="H31" s="2565" t="s">
        <v>2303</v>
      </c>
      <c r="I31" s="1304"/>
      <c r="J31" s="1305"/>
      <c r="K31" s="121"/>
      <c r="L31" s="2467"/>
      <c r="M31" s="2468"/>
    </row>
    <row r="32" spans="1:37" ht="18" customHeight="1">
      <c r="A32" s="928" t="s">
        <v>397</v>
      </c>
      <c r="B32" s="294" t="s">
        <v>723</v>
      </c>
      <c r="C32" s="21">
        <f ca="1">IF(项目基本情况!B11="自然人","——",ROUND(C6*F32/(1+'数据-取费表'!C42),2))</f>
        <v>0</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7" t="s">
        <v>3332</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f ca="1">IF(项目基本情况!B11="自然人","——",ROUND(F34*F35/10000,2))</f>
        <v>0</v>
      </c>
      <c r="D34" s="316" t="s">
        <v>731</v>
      </c>
      <c r="E34" s="294" t="s">
        <v>732</v>
      </c>
      <c r="F34" s="317">
        <f>'数据-取费表'!B52</f>
        <v>1.5</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ROUND(C29*F36,2)</f>
        <v>0.24</v>
      </c>
      <c r="D36" s="1255" t="s">
        <v>771</v>
      </c>
      <c r="E36" s="294" t="s">
        <v>712</v>
      </c>
      <c r="F36" s="320">
        <f ca="1">INDIRECT("'数据-取费表'!Ak"&amp;$G$1)</f>
        <v>0.01</v>
      </c>
      <c r="G36" s="1291"/>
      <c r="H36" s="2469"/>
      <c r="I36" s="1304"/>
      <c r="J36" s="1305"/>
      <c r="K36" s="2327"/>
      <c r="L36" s="2469"/>
      <c r="M36" s="2469"/>
    </row>
    <row r="37" spans="1:18" ht="18" customHeight="1">
      <c r="A37" s="928" t="s">
        <v>437</v>
      </c>
      <c r="B37" s="294" t="s">
        <v>742</v>
      </c>
      <c r="C37" s="21">
        <f ca="1">ROUND(C13*F37,2)</f>
        <v>0.02</v>
      </c>
      <c r="D37" s="1255" t="s">
        <v>743</v>
      </c>
      <c r="E37" s="294" t="s">
        <v>712</v>
      </c>
      <c r="F37" s="321">
        <f ca="1">INDIRECT("'数据-取费表'!Al"&amp;$G$1)</f>
        <v>1E-3</v>
      </c>
      <c r="G37" s="1291"/>
      <c r="H37" s="2469"/>
      <c r="I37" s="1304"/>
      <c r="J37" s="1305"/>
      <c r="K37" s="2327"/>
      <c r="L37" s="2469"/>
      <c r="M37" s="2469"/>
    </row>
    <row r="38" spans="1:18" ht="18" customHeight="1" thickBot="1">
      <c r="A38" s="1026" t="s">
        <v>683</v>
      </c>
      <c r="B38" s="1027" t="s">
        <v>728</v>
      </c>
      <c r="C38" s="1028">
        <f ca="1">ROUND(C5*F38,2)</f>
        <v>0</v>
      </c>
      <c r="D38" s="1029" t="s">
        <v>748</v>
      </c>
      <c r="E38" s="1027" t="s">
        <v>712</v>
      </c>
      <c r="F38" s="1023">
        <f ca="1">INDIRECT("'数据-取费表'!Am"&amp;$G$1)</f>
        <v>0.01</v>
      </c>
      <c r="G38" s="1291"/>
      <c r="H38" s="2469"/>
      <c r="I38" s="1304"/>
      <c r="J38" s="1305"/>
      <c r="K38" s="2467"/>
      <c r="L38" s="2469"/>
      <c r="M38" s="2469"/>
    </row>
    <row r="39" spans="1:18" ht="24.6" customHeight="1" thickTop="1">
      <c r="A39" s="1016" t="s">
        <v>394</v>
      </c>
      <c r="B39" s="1031" t="s">
        <v>752</v>
      </c>
      <c r="C39" s="302">
        <f ca="1">C5-C30</f>
        <v>0</v>
      </c>
      <c r="D39" s="1032" t="s">
        <v>753</v>
      </c>
      <c r="E39" s="1033"/>
      <c r="F39" s="1034"/>
      <c r="G39" s="1291"/>
      <c r="H39" s="2469"/>
      <c r="I39" s="1304"/>
      <c r="J39" s="1305"/>
      <c r="K39" s="2467"/>
      <c r="L39" s="2469"/>
      <c r="M39" s="2469"/>
    </row>
    <row r="40" spans="1:18" ht="18" customHeight="1">
      <c r="A40" s="291" t="s">
        <v>395</v>
      </c>
      <c r="B40" s="292" t="s">
        <v>774</v>
      </c>
      <c r="C40" s="293">
        <f ca="1">ROUND(C39*(1-((1+F42)/(1+F40))^F41)/(F40-F42),0)</f>
        <v>0</v>
      </c>
      <c r="D40" s="316" t="s">
        <v>758</v>
      </c>
      <c r="E40" s="294" t="s">
        <v>759</v>
      </c>
      <c r="F40" s="304">
        <f ca="1">INDIRECT("'数据-取费表'!I"&amp;$G$1)</f>
        <v>5.5E-2</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40.15</v>
      </c>
      <c r="G41" s="1291"/>
      <c r="H41" s="121" t="e">
        <f ca="1">C39/C5</f>
        <v>#DIV/0!</v>
      </c>
      <c r="I41" s="1304"/>
      <c r="J41" s="1305"/>
      <c r="K41" s="2327"/>
      <c r="L41" s="121"/>
      <c r="M41" s="121"/>
    </row>
    <row r="42" spans="1:18" ht="18" customHeight="1">
      <c r="A42" s="300"/>
      <c r="B42" s="301"/>
      <c r="C42" s="302"/>
      <c r="D42" s="319"/>
      <c r="E42" s="294" t="s">
        <v>766</v>
      </c>
      <c r="F42" s="304">
        <f ca="1">INDIRECT("'数据-取费表'!v"&amp;$G$1)</f>
        <v>1.4999999999999999E-2</v>
      </c>
      <c r="G42" s="1291"/>
      <c r="H42" s="121"/>
      <c r="I42" s="1304"/>
      <c r="J42" s="1305"/>
      <c r="K42" s="2327"/>
      <c r="L42" s="121"/>
      <c r="M42" s="121"/>
    </row>
    <row r="43" spans="1:18" ht="18" customHeight="1" thickBot="1">
      <c r="A43" s="325" t="s">
        <v>396</v>
      </c>
      <c r="B43" s="326" t="s">
        <v>776</v>
      </c>
      <c r="C43" s="327">
        <f ca="1">ROUND(C40*10000/F43,0)</f>
        <v>0</v>
      </c>
      <c r="D43" s="328" t="s">
        <v>777</v>
      </c>
      <c r="E43" s="329" t="s">
        <v>778</v>
      </c>
      <c r="F43" s="330">
        <f ca="1">INDIRECT("'数据-取费表'!k"&amp;$G$1)</f>
        <v>30.74</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3" t="s">
        <v>808</v>
      </c>
      <c r="P45" s="1365"/>
      <c r="Q45" s="1365"/>
      <c r="R45" s="1365"/>
    </row>
    <row r="46" spans="1:18" s="1291" customFormat="1" ht="13.8" thickBot="1">
      <c r="A46" s="1310" t="s">
        <v>809</v>
      </c>
      <c r="C46" s="1311">
        <f ca="1">C68-C40</f>
        <v>0</v>
      </c>
      <c r="D46" s="1312" t="str">
        <f>C2</f>
        <v>万元</v>
      </c>
      <c r="E46" s="1306"/>
      <c r="F46" s="1306"/>
      <c r="I46" s="1313" t="s">
        <v>810</v>
      </c>
      <c r="J46" s="1314"/>
      <c r="K46" s="1315"/>
      <c r="L46" s="1316">
        <f ca="1">IF(M47="住宅",0,IF(L48&gt;J51,L60,J60))</f>
        <v>1</v>
      </c>
      <c r="O46" s="1317" t="s">
        <v>811</v>
      </c>
      <c r="P46" s="1318" t="s">
        <v>812</v>
      </c>
      <c r="Q46" s="1319" t="s">
        <v>813</v>
      </c>
      <c r="R46" s="1319" t="s">
        <v>814</v>
      </c>
    </row>
    <row r="47" spans="1:18" s="1291" customFormat="1" ht="13.8" thickBot="1">
      <c r="A47" s="892" t="s">
        <v>687</v>
      </c>
      <c r="B47" s="924" t="s">
        <v>688</v>
      </c>
      <c r="C47" s="1054" t="s">
        <v>689</v>
      </c>
      <c r="D47" s="924" t="s">
        <v>690</v>
      </c>
      <c r="E47" s="995" t="s">
        <v>691</v>
      </c>
      <c r="F47" s="996"/>
      <c r="G47" s="681"/>
      <c r="I47" s="1320" t="s">
        <v>815</v>
      </c>
      <c r="J47" s="1321" t="s">
        <v>3483</v>
      </c>
      <c r="K47" s="1322" t="s">
        <v>816</v>
      </c>
      <c r="L47" s="1323">
        <f ca="1">INDIRECT("'数据-取费表'!d"&amp;$G$1)</f>
        <v>50</v>
      </c>
      <c r="M47" s="1287" t="str">
        <f>IF(ISNUMBER(FIND("住宅",C1)),"住宅","非住宅")</f>
        <v>非住宅</v>
      </c>
      <c r="O47" s="1324" t="s">
        <v>403</v>
      </c>
      <c r="P47" s="1325" t="s">
        <v>817</v>
      </c>
      <c r="Q47" s="1326">
        <f ca="1">C40+J29</f>
        <v>0</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3484</v>
      </c>
      <c r="K48" s="1329" t="s">
        <v>820</v>
      </c>
      <c r="L48" s="1330">
        <f ca="1">INDIRECT("'数据-取费表'!f"&amp;$G$1)</f>
        <v>40.15</v>
      </c>
      <c r="O48" s="1324" t="s">
        <v>404</v>
      </c>
      <c r="P48" s="1325" t="s">
        <v>821</v>
      </c>
      <c r="Q48" s="1326">
        <f ca="1">J60</f>
        <v>1</v>
      </c>
      <c r="R48" s="1326" t="s">
        <v>822</v>
      </c>
    </row>
    <row r="49" spans="1:18" s="1291" customFormat="1" ht="13.8" thickBot="1">
      <c r="A49" s="921" t="s">
        <v>439</v>
      </c>
      <c r="B49" s="1278" t="s">
        <v>779</v>
      </c>
      <c r="C49" s="1051">
        <f ca="1">ROUND(F49*F51*F50*(1-F52)/10000,0)</f>
        <v>0</v>
      </c>
      <c r="D49" s="992" t="s">
        <v>2105</v>
      </c>
      <c r="E49" s="1279" t="s">
        <v>780</v>
      </c>
      <c r="F49" s="997"/>
      <c r="H49" s="682"/>
      <c r="I49" s="1327" t="s">
        <v>823</v>
      </c>
      <c r="J49" s="1331">
        <f>'数据-取费表'!N17</f>
        <v>2015</v>
      </c>
      <c r="K49" s="1329" t="s">
        <v>824</v>
      </c>
      <c r="L49" s="1332"/>
      <c r="O49" s="1333" t="s">
        <v>405</v>
      </c>
      <c r="P49" s="1325" t="s">
        <v>825</v>
      </c>
      <c r="Q49" s="1326">
        <f ca="1">C29</f>
        <v>24</v>
      </c>
      <c r="R49" s="1326" t="s">
        <v>818</v>
      </c>
    </row>
    <row r="50" spans="1:18" s="1291" customFormat="1" ht="13.8" thickBot="1">
      <c r="A50" s="922"/>
      <c r="B50" s="925"/>
      <c r="C50" s="1055"/>
      <c r="D50" s="899"/>
      <c r="E50" s="993" t="s">
        <v>697</v>
      </c>
      <c r="F50" s="994">
        <f ca="1">F7</f>
        <v>1</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12</v>
      </c>
      <c r="I51" s="1337" t="s">
        <v>829</v>
      </c>
      <c r="J51" s="1330">
        <f>IF(J49="",J50,J49+J50-YEAR('数据-取费表'!B2))</f>
        <v>50</v>
      </c>
      <c r="K51" s="1338" t="s">
        <v>830</v>
      </c>
      <c r="L51" s="1339">
        <f ca="1">ROUND(-PV(INDIRECT("'数据-取费表'!h"&amp;$G$1),J51,(C39-C13*C76),0),0)</f>
        <v>-26</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40.15</v>
      </c>
      <c r="R52" s="1326" t="s">
        <v>835</v>
      </c>
    </row>
    <row r="53" spans="1:18" s="1291" customFormat="1" ht="36.6" thickBot="1">
      <c r="A53" s="1079" t="s">
        <v>440</v>
      </c>
      <c r="B53" s="1280" t="s">
        <v>700</v>
      </c>
      <c r="C53" s="308">
        <f ca="1">ROUND(IF(F53="押一",C49/12*F11,IF(F53="押二",C49/12*2*F11,IF(F53="押三",C49/12*3*F11,C54*F11))),0)</f>
        <v>0</v>
      </c>
      <c r="D53" s="150" t="s">
        <v>2113</v>
      </c>
      <c r="E53" s="305" t="s">
        <v>701</v>
      </c>
      <c r="F53" s="1053"/>
      <c r="I53" s="1343" t="s">
        <v>836</v>
      </c>
      <c r="J53" s="2002">
        <f ca="1">IF(M47="住宅",IF(D1="——",MAX(J51,L48),MAX(J51,L48-'数据-取费表'!B24)),IF(D1="——",MIN(J51,L48),MIN(J51,L48-'数据-取费表'!B24)))</f>
        <v>40.15</v>
      </c>
      <c r="K53" s="3488" t="s">
        <v>837</v>
      </c>
      <c r="L53" s="3489"/>
      <c r="O53" s="1324" t="s">
        <v>409</v>
      </c>
      <c r="P53" s="1325" t="s">
        <v>838</v>
      </c>
      <c r="Q53" s="1326">
        <f ca="1">Q47+Q48</f>
        <v>1</v>
      </c>
      <c r="R53" s="1326" t="s">
        <v>410</v>
      </c>
    </row>
    <row r="54" spans="1:18" s="1291" customFormat="1" ht="24.6"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f ca="1">ROUND(IF(J47="钢混",J57/J50,1-(1-2%)*(J50-J57)/J50),3)</f>
        <v>0.16400000000000001</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20</v>
      </c>
      <c r="D56" s="1351"/>
      <c r="E56" s="1352"/>
      <c r="F56" s="1344"/>
      <c r="I56" s="1353" t="s">
        <v>842</v>
      </c>
      <c r="J56" s="1354" t="s">
        <v>3485</v>
      </c>
      <c r="K56" s="1327" t="s">
        <v>843</v>
      </c>
      <c r="L56" s="1330" t="str">
        <f ca="1">IF(L48&lt;J51,"——",L48-J53)</f>
        <v>——</v>
      </c>
      <c r="O56" s="1324" t="s">
        <v>403</v>
      </c>
      <c r="P56" s="1325" t="s">
        <v>817</v>
      </c>
      <c r="Q56" s="1326">
        <f ca="1">C40+J29</f>
        <v>0</v>
      </c>
      <c r="R56" s="1326" t="s">
        <v>818</v>
      </c>
    </row>
    <row r="57" spans="1:18" s="1291" customFormat="1" ht="24.6" thickBot="1">
      <c r="A57" s="1355"/>
      <c r="B57" s="896" t="s">
        <v>767</v>
      </c>
      <c r="C57" s="230">
        <f ca="1">C29</f>
        <v>24</v>
      </c>
      <c r="D57" s="1356"/>
      <c r="E57" s="1357"/>
      <c r="F57" s="1358"/>
      <c r="I57" s="1359" t="s">
        <v>844</v>
      </c>
      <c r="J57" s="1360">
        <f ca="1">IF(OR(M47="住宅",J51&lt;L48,J56="是"),"——",J51-L48)</f>
        <v>9.8500000000000014</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4" t="s">
        <v>714</v>
      </c>
      <c r="C58" s="308">
        <f ca="1">ROUND(C59+C64+C65+C66,0)</f>
        <v>0</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6">
        <f ca="1">ROUND(IF(AND(项目基本情况!B11="自然人",项目基本情况!B10="北京市"),C49*F59/(1+'数据-取费表'!C42),C60+C61+C62),0)</f>
        <v>0</v>
      </c>
      <c r="D59" s="909" t="s">
        <v>720</v>
      </c>
      <c r="E59" s="910" t="s">
        <v>721</v>
      </c>
      <c r="F59" s="2135" t="str">
        <f>IF(项目基本情况!B11="企业","——",IF('数据-取费表'!B10="住宅",IF(F49*F50*F51/12/(1+'数据-取费表'!F30)&gt;100000,4%,2.5%),IF(F49*F50*F51/12/(1+'数据-取费表'!F30)&gt;100000,12%,7%)))</f>
        <v>——</v>
      </c>
      <c r="I59" s="1359" t="s">
        <v>851</v>
      </c>
      <c r="J59" s="1360">
        <f ca="1">IF(OR(M47="住宅",J51&lt;L48,J56="是"),"——",ROUND(C29*J58,0))</f>
        <v>10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f ca="1">IF(OR(M47="住宅",J51&lt;L48,J56="是"),"0",ROUND(J59/(1+J52)^J53,0))</f>
        <v>1</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727</v>
      </c>
      <c r="C61" s="21">
        <f ca="1">IF(项目基本情况!B11="自然人","——",IF(D61="按租金收入计税",ROUND(C49*F61/(1+'数据-取费表'!C42),2),IF(D61="按房产原值计税",ROUND(C57*F61*0.7,2),INDIRECT("'数据-取费表'!Aj"&amp;$G$1))))</f>
        <v>0</v>
      </c>
      <c r="D61" s="1277" t="s">
        <v>3332</v>
      </c>
      <c r="E61" s="896" t="s">
        <v>712</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730</v>
      </c>
      <c r="C62" s="22">
        <f ca="1">IF(项目基本情况!B11="自然人","——",ROUND(F62*F63/10000,2))</f>
        <v>0</v>
      </c>
      <c r="D62" s="911" t="s">
        <v>731</v>
      </c>
      <c r="E62" s="896" t="s">
        <v>732</v>
      </c>
      <c r="F62" s="317">
        <f t="shared" si="0"/>
        <v>1.5</v>
      </c>
      <c r="I62" s="1366" t="s">
        <v>858</v>
      </c>
      <c r="J62" s="610" t="s">
        <v>859</v>
      </c>
      <c r="K62" s="610" t="s">
        <v>860</v>
      </c>
      <c r="L62" s="610" t="s">
        <v>861</v>
      </c>
      <c r="M62" s="1367" t="s">
        <v>862</v>
      </c>
      <c r="O62" s="1324" t="s">
        <v>409</v>
      </c>
      <c r="P62" s="1325" t="s">
        <v>838</v>
      </c>
      <c r="Q62" s="1326">
        <f ca="1">Q56+Q57</f>
        <v>0</v>
      </c>
      <c r="R62" s="1326" t="s">
        <v>410</v>
      </c>
    </row>
    <row r="63" spans="1:18" s="1291" customFormat="1" ht="13.8" thickBot="1">
      <c r="A63" s="318"/>
      <c r="B63" s="902"/>
      <c r="C63" s="26"/>
      <c r="D63" s="912"/>
      <c r="E63" s="896" t="s">
        <v>736</v>
      </c>
      <c r="F63" s="295">
        <f t="shared" ca="1" si="0"/>
        <v>0</v>
      </c>
      <c r="I63" s="1366" t="s">
        <v>864</v>
      </c>
      <c r="J63" s="610">
        <v>70</v>
      </c>
      <c r="K63" s="610">
        <v>50</v>
      </c>
      <c r="L63" s="610">
        <v>80</v>
      </c>
      <c r="M63" s="1368">
        <v>0.02</v>
      </c>
      <c r="O63" s="1309" t="s">
        <v>865</v>
      </c>
      <c r="P63" s="1288"/>
      <c r="Q63" s="1288"/>
      <c r="R63" s="1288"/>
    </row>
    <row r="64" spans="1:18" s="1291" customFormat="1" ht="13.8" thickBot="1">
      <c r="A64" s="928" t="s">
        <v>402</v>
      </c>
      <c r="B64" s="896" t="s">
        <v>738</v>
      </c>
      <c r="C64" s="21">
        <f ca="1">ROUND(C57*F64,2)</f>
        <v>0.24</v>
      </c>
      <c r="D64" s="910" t="s">
        <v>771</v>
      </c>
      <c r="E64" s="896" t="s">
        <v>712</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0.02</v>
      </c>
      <c r="D65" s="910" t="s">
        <v>743</v>
      </c>
      <c r="E65" s="896" t="s">
        <v>712</v>
      </c>
      <c r="F65" s="321">
        <f t="shared" ca="1" si="0"/>
        <v>1E-3</v>
      </c>
      <c r="I65" s="1366" t="s">
        <v>867</v>
      </c>
      <c r="J65" s="610">
        <v>40</v>
      </c>
      <c r="K65" s="610">
        <v>30</v>
      </c>
      <c r="L65" s="610">
        <v>50</v>
      </c>
      <c r="M65" s="1368">
        <v>0.02</v>
      </c>
      <c r="O65" s="1324" t="s">
        <v>403</v>
      </c>
      <c r="P65" s="1325" t="s">
        <v>817</v>
      </c>
      <c r="Q65" s="1326">
        <f ca="1">C40+J29</f>
        <v>0</v>
      </c>
      <c r="R65" s="1326" t="s">
        <v>818</v>
      </c>
    </row>
    <row r="66" spans="1:18" s="1291" customFormat="1" ht="16.2" thickBot="1">
      <c r="A66" s="928" t="s">
        <v>793</v>
      </c>
      <c r="B66" s="896" t="s">
        <v>728</v>
      </c>
      <c r="C66" s="21">
        <f ca="1">ROUND(C48*F66,2)</f>
        <v>0</v>
      </c>
      <c r="D66" s="910" t="s">
        <v>748</v>
      </c>
      <c r="E66" s="896" t="s">
        <v>712</v>
      </c>
      <c r="F66" s="304">
        <f t="shared" ca="1" si="0"/>
        <v>0.01</v>
      </c>
      <c r="O66" s="1324" t="s">
        <v>404</v>
      </c>
      <c r="P66" s="1325" t="s">
        <v>846</v>
      </c>
      <c r="Q66" s="1326">
        <f ca="1">L60</f>
        <v>0</v>
      </c>
      <c r="R66" s="1326" t="s">
        <v>869</v>
      </c>
    </row>
    <row r="67" spans="1:18" s="1291" customFormat="1" ht="24.6" thickBot="1">
      <c r="A67" s="903" t="s">
        <v>394</v>
      </c>
      <c r="B67" s="913" t="s">
        <v>752</v>
      </c>
      <c r="C67" s="308">
        <f ca="1">C48-C58</f>
        <v>0</v>
      </c>
      <c r="D67" s="909" t="s">
        <v>753</v>
      </c>
      <c r="E67" s="914"/>
      <c r="F67" s="915"/>
      <c r="O67" s="1333" t="s">
        <v>405</v>
      </c>
      <c r="P67" s="1325" t="s">
        <v>850</v>
      </c>
      <c r="Q67" s="1369">
        <f ca="1">L51</f>
        <v>-26</v>
      </c>
      <c r="R67" s="1326" t="s">
        <v>870</v>
      </c>
    </row>
    <row r="68" spans="1:18" s="1291" customFormat="1" ht="16.2" thickBot="1">
      <c r="A68" s="893" t="s">
        <v>395</v>
      </c>
      <c r="B68" s="894" t="s">
        <v>774</v>
      </c>
      <c r="C68" s="293">
        <f ca="1">ROUND(C67*(1-((1+F70)/(1+F68))^F69)/(F68-F70),0)</f>
        <v>0</v>
      </c>
      <c r="D68" s="911" t="s">
        <v>758</v>
      </c>
      <c r="E68" s="896" t="s">
        <v>759</v>
      </c>
      <c r="F68" s="304">
        <f ca="1">F40</f>
        <v>5.5E-2</v>
      </c>
      <c r="O68" s="1333" t="s">
        <v>406</v>
      </c>
      <c r="P68" s="1370" t="s">
        <v>871</v>
      </c>
      <c r="Q68" s="1326">
        <f ca="1">ROUND(Q69-Q70*Q71,0)</f>
        <v>-1</v>
      </c>
      <c r="R68" s="1326" t="s">
        <v>414</v>
      </c>
    </row>
    <row r="69" spans="1:18" s="1291" customFormat="1" ht="13.8" thickBot="1">
      <c r="A69" s="897"/>
      <c r="B69" s="898"/>
      <c r="C69" s="298"/>
      <c r="D69" s="916" t="s">
        <v>762</v>
      </c>
      <c r="E69" s="896" t="s">
        <v>763</v>
      </c>
      <c r="F69" s="324">
        <f ca="1">F41</f>
        <v>40.15</v>
      </c>
      <c r="O69" s="1333" t="s">
        <v>411</v>
      </c>
      <c r="P69" s="1370" t="s">
        <v>872</v>
      </c>
      <c r="Q69" s="1326">
        <f ca="1">C39</f>
        <v>0</v>
      </c>
      <c r="R69" s="1326" t="s">
        <v>818</v>
      </c>
    </row>
    <row r="70" spans="1:18" s="1291" customFormat="1" ht="13.8" thickBot="1">
      <c r="A70" s="900"/>
      <c r="B70" s="901"/>
      <c r="C70" s="302"/>
      <c r="D70" s="912"/>
      <c r="E70" s="896" t="s">
        <v>766</v>
      </c>
      <c r="F70" s="991"/>
      <c r="O70" s="1333" t="s">
        <v>412</v>
      </c>
      <c r="P70" s="1370" t="s">
        <v>873</v>
      </c>
      <c r="Q70" s="1326">
        <f ca="1">C13</f>
        <v>20</v>
      </c>
      <c r="R70" s="1326" t="s">
        <v>818</v>
      </c>
    </row>
    <row r="71" spans="1:18" s="1291" customFormat="1" ht="13.8" thickBot="1">
      <c r="A71" s="917" t="s">
        <v>396</v>
      </c>
      <c r="B71" s="918" t="s">
        <v>776</v>
      </c>
      <c r="C71" s="327">
        <f ca="1">ROUND(C68*10000/F71,0)</f>
        <v>0</v>
      </c>
      <c r="D71" s="919" t="s">
        <v>777</v>
      </c>
      <c r="E71" s="920" t="s">
        <v>778</v>
      </c>
      <c r="F71" s="330">
        <f ca="1">F43</f>
        <v>30.74</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1</v>
      </c>
      <c r="D75" s="1291"/>
      <c r="E75" s="1291"/>
      <c r="F75" s="1291"/>
      <c r="K75" s="1308"/>
      <c r="L75" s="1291"/>
      <c r="O75" s="1324" t="s">
        <v>409</v>
      </c>
      <c r="P75" s="1325" t="s">
        <v>838</v>
      </c>
      <c r="Q75" s="1326">
        <f ca="1">Q65+Q66</f>
        <v>0</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2A00-000000000000}">
      <formula1>"在建（套用方法）,土地（套用方法）,——"</formula1>
    </dataValidation>
    <dataValidation type="list" allowBlank="1" showInputMessage="1" showErrorMessage="1" sqref="M10 F10 F53" xr:uid="{00000000-0002-0000-2A00-000001000000}">
      <formula1>"押一,押二,押三,自定义"</formula1>
    </dataValidation>
    <dataValidation type="list" allowBlank="1" showInputMessage="1" showErrorMessage="1" sqref="L55" xr:uid="{00000000-0002-0000-2A00-000002000000}">
      <formula1>"比较法,基准地价,收益还原"</formula1>
    </dataValidation>
    <dataValidation type="list" allowBlank="1" showInputMessage="1" showErrorMessage="1" sqref="J56" xr:uid="{00000000-0002-0000-2A00-000003000000}">
      <formula1>估价范围判定</formula1>
    </dataValidation>
    <dataValidation type="list" allowBlank="1" showInputMessage="1" showErrorMessage="1" sqref="J48" xr:uid="{00000000-0002-0000-2A00-000004000000}">
      <formula1>"非生产用房,生产用房,受腐蚀的生产用房"</formula1>
    </dataValidation>
    <dataValidation type="list" allowBlank="1" showInputMessage="1" showErrorMessage="1" sqref="J47" xr:uid="{00000000-0002-0000-2A00-000005000000}">
      <formula1>"钢,钢混,砖混"</formula1>
    </dataValidation>
    <dataValidation type="list" allowBlank="1" showInputMessage="1" showErrorMessage="1" sqref="C1" xr:uid="{00000000-0002-0000-2A00-000006000000}">
      <formula1>项目类型</formula1>
    </dataValidation>
    <dataValidation type="list" allowBlank="1" showInputMessage="1" showErrorMessage="1" sqref="D33 D61" xr:uid="{00000000-0002-0000-2A00-000007000000}">
      <formula1>"按租金收入计税,按房产原值计税,按票据"</formula1>
    </dataValidation>
    <dataValidation type="list" allowBlank="1" showInputMessage="1" showErrorMessage="1" sqref="K19" xr:uid="{00000000-0002-0000-2A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0"/>
      <c r="G1" s="2540"/>
      <c r="H1" s="2540"/>
      <c r="I1" s="2540"/>
      <c r="J1" s="2540"/>
      <c r="K1" s="2540"/>
      <c r="L1" s="2540"/>
      <c r="M1" s="2540"/>
      <c r="N1" s="2540"/>
      <c r="O1" s="2540"/>
      <c r="P1" s="2540"/>
    </row>
    <row r="2" spans="1:16" ht="15.6">
      <c r="A2" s="1980" t="s">
        <v>2073</v>
      </c>
      <c r="B2" s="2384">
        <f ca="1">SUMIF(B6:B13,"&lt;&gt;#ref!",B6:B13)</f>
        <v>0</v>
      </c>
      <c r="C2" s="1980" t="s">
        <v>2074</v>
      </c>
      <c r="D2" s="1980" t="s">
        <v>2075</v>
      </c>
      <c r="E2" s="2394">
        <f ca="1">SUMIF(E6:E13,"&lt;&gt;#ref!",E6:E13)</f>
        <v>0</v>
      </c>
      <c r="F2" s="2540"/>
      <c r="G2" s="2540"/>
      <c r="H2" s="2540"/>
      <c r="I2" s="2540"/>
      <c r="J2" s="2540"/>
      <c r="K2" s="2540"/>
      <c r="L2" s="2540"/>
      <c r="M2" s="2540"/>
      <c r="N2" s="2540"/>
      <c r="O2" s="2540"/>
      <c r="P2" s="2540"/>
    </row>
    <row r="3" spans="1:16" ht="15.6">
      <c r="A3" s="1980" t="s">
        <v>2076</v>
      </c>
      <c r="B3" s="2384" t="e">
        <f ca="1">ROUND(B2*10000/E2,0)</f>
        <v>#DIV/0!</v>
      </c>
      <c r="C3" s="1980"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1"/>
      <c r="D5" s="2540"/>
      <c r="E5" s="2393" t="s">
        <v>2079</v>
      </c>
      <c r="F5" s="2540"/>
      <c r="G5" s="2540"/>
      <c r="H5" s="2540"/>
      <c r="I5" s="2540"/>
      <c r="J5" s="2540"/>
      <c r="K5" s="2540"/>
      <c r="L5" s="2540"/>
      <c r="M5" s="2540"/>
      <c r="N5" s="2540"/>
      <c r="O5" s="2540"/>
      <c r="P5" s="2540"/>
    </row>
    <row r="6" spans="1:16" ht="15.6">
      <c r="A6" s="2391" t="s">
        <v>2080</v>
      </c>
      <c r="B6" s="2384" t="e">
        <f ca="1">SUMIF(INDIRECT("'"&amp;A6&amp;"'"&amp;"!A:A"),"总价",INDIRECT("'"&amp;A6&amp;"'"&amp;"!B:B"))</f>
        <v>#REF!</v>
      </c>
      <c r="C6" s="1980" t="s">
        <v>2074</v>
      </c>
      <c r="D6" s="2540"/>
      <c r="E6" s="2394" t="e">
        <f ca="1">SUMIF(INDIRECT("'"&amp;A6&amp;"'"&amp;"!C:C"),"建筑面积",INDIRECT("'"&amp;A6&amp;"'"&amp;"!D:D"))</f>
        <v>#REF!</v>
      </c>
      <c r="F6" s="2540"/>
      <c r="G6" s="2540"/>
      <c r="H6" s="2540"/>
      <c r="I6" s="2540"/>
      <c r="J6" s="2540"/>
      <c r="K6" s="2540"/>
      <c r="L6" s="2540"/>
      <c r="M6" s="2540"/>
      <c r="N6" s="2540"/>
      <c r="O6" s="2540"/>
      <c r="P6" s="2540"/>
    </row>
    <row r="7" spans="1:16" ht="15.6">
      <c r="A7" s="2391"/>
      <c r="B7" s="2384" t="e">
        <f ca="1">SUMIF(INDIRECT("'"&amp;A7&amp;"'"&amp;"!A:A"),"总价",INDIRECT("'"&amp;A7&amp;"'"&amp;"!B:B"))</f>
        <v>#REF!</v>
      </c>
      <c r="C7" s="1980"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0"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0"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0"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0"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0"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0"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7"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2591</v>
      </c>
      <c r="B1" s="2807" t="s">
        <v>2592</v>
      </c>
      <c r="C1" s="2807" t="s">
        <v>2593</v>
      </c>
      <c r="D1" s="2807" t="s">
        <v>2594</v>
      </c>
      <c r="E1" s="2807" t="s">
        <v>2595</v>
      </c>
      <c r="F1" s="2807" t="s">
        <v>2596</v>
      </c>
      <c r="G1" s="2807" t="s">
        <v>2597</v>
      </c>
      <c r="H1" s="2807" t="s">
        <v>2598</v>
      </c>
      <c r="I1" s="2807" t="s">
        <v>2599</v>
      </c>
      <c r="J1" s="2807" t="s">
        <v>2600</v>
      </c>
      <c r="K1" s="2807" t="s">
        <v>2601</v>
      </c>
      <c r="L1" s="2807" t="s">
        <v>2602</v>
      </c>
      <c r="M1" s="2808" t="s">
        <v>2603</v>
      </c>
    </row>
    <row r="2" spans="1:13" ht="19.5" customHeight="1">
      <c r="A2" s="2810" t="s">
        <v>2604</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2605</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2606</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2607</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2608</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2609</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2610</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2611</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2612</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2613</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2614</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2615</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2616</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2617</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2618</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2619</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2620</v>
      </c>
      <c r="B18" s="2832"/>
      <c r="C18" s="2833"/>
      <c r="D18" s="2833"/>
      <c r="E18" s="2832"/>
      <c r="F18" s="2833"/>
      <c r="G18" s="2833"/>
    </row>
    <row r="19" spans="1:13" ht="19.5" customHeight="1" thickBot="1">
      <c r="A19" s="2830" t="s">
        <v>2621</v>
      </c>
      <c r="B19" s="2835" t="s">
        <v>2622</v>
      </c>
      <c r="C19" s="2835" t="s">
        <v>2623</v>
      </c>
      <c r="D19" s="2836"/>
      <c r="E19" s="2830" t="s">
        <v>2624</v>
      </c>
      <c r="F19" s="2837"/>
      <c r="G19" s="2837"/>
    </row>
    <row r="20" spans="1:13" ht="19.5" customHeight="1">
      <c r="A20" s="3562" t="s">
        <v>2604</v>
      </c>
      <c r="B20" s="3557" t="s">
        <v>2625</v>
      </c>
      <c r="C20" s="2838" t="s">
        <v>2436</v>
      </c>
      <c r="D20" s="2839"/>
      <c r="E20" s="2840">
        <v>1</v>
      </c>
      <c r="F20" s="2841" t="s">
        <v>2437</v>
      </c>
      <c r="G20" s="2841"/>
    </row>
    <row r="21" spans="1:13" ht="19.5" customHeight="1">
      <c r="A21" s="3563"/>
      <c r="B21" s="3556"/>
      <c r="C21" s="2842" t="s">
        <v>2438</v>
      </c>
      <c r="D21" s="2843"/>
      <c r="E21" s="2844">
        <v>1</v>
      </c>
      <c r="F21" s="2841" t="s">
        <v>2439</v>
      </c>
      <c r="G21" s="2841"/>
    </row>
    <row r="22" spans="1:13" ht="19.5" customHeight="1">
      <c r="A22" s="3563"/>
      <c r="B22" s="3556"/>
      <c r="C22" s="2842" t="s">
        <v>2440</v>
      </c>
      <c r="D22" s="2843"/>
      <c r="E22" s="2844">
        <v>0.9</v>
      </c>
      <c r="F22" s="2841" t="s">
        <v>2441</v>
      </c>
      <c r="G22" s="2841"/>
    </row>
    <row r="23" spans="1:13" ht="19.5" customHeight="1">
      <c r="A23" s="3563"/>
      <c r="B23" s="3556"/>
      <c r="C23" s="2842" t="s">
        <v>2442</v>
      </c>
      <c r="D23" s="2843"/>
      <c r="E23" s="2844">
        <v>0.9</v>
      </c>
      <c r="F23" s="2841" t="s">
        <v>2443</v>
      </c>
      <c r="G23" s="2841"/>
    </row>
    <row r="24" spans="1:13" ht="19.5" customHeight="1">
      <c r="A24" s="3563"/>
      <c r="B24" s="3556"/>
      <c r="C24" s="2842" t="s">
        <v>2444</v>
      </c>
      <c r="D24" s="2843"/>
      <c r="E24" s="2844">
        <v>0.8</v>
      </c>
      <c r="F24" s="2841" t="s">
        <v>2445</v>
      </c>
      <c r="G24" s="2841"/>
    </row>
    <row r="25" spans="1:13" ht="19.5" customHeight="1" thickBot="1">
      <c r="A25" s="3564"/>
      <c r="B25" s="3558"/>
      <c r="C25" s="2845" t="s">
        <v>2446</v>
      </c>
      <c r="D25" s="2846"/>
      <c r="E25" s="2847">
        <v>0.8</v>
      </c>
      <c r="F25" s="2841" t="s">
        <v>2447</v>
      </c>
      <c r="G25" s="2841"/>
    </row>
    <row r="26" spans="1:13" ht="19.5" customHeight="1" thickBot="1">
      <c r="A26" s="2848" t="s">
        <v>2626</v>
      </c>
      <c r="B26" s="2849" t="s">
        <v>2625</v>
      </c>
      <c r="C26" s="2850" t="s">
        <v>2627</v>
      </c>
      <c r="D26" s="2851"/>
      <c r="E26" s="2852">
        <v>1</v>
      </c>
      <c r="F26" s="2841" t="s">
        <v>2448</v>
      </c>
      <c r="G26" s="2841"/>
    </row>
    <row r="27" spans="1:13" ht="19.5" customHeight="1">
      <c r="A27" s="3559" t="s">
        <v>2628</v>
      </c>
      <c r="B27" s="3557" t="s">
        <v>2609</v>
      </c>
      <c r="C27" s="2838" t="s">
        <v>2449</v>
      </c>
      <c r="D27" s="2839"/>
      <c r="E27" s="2840">
        <v>1</v>
      </c>
      <c r="F27" s="2841" t="s">
        <v>2450</v>
      </c>
      <c r="G27" s="2841"/>
    </row>
    <row r="28" spans="1:13" ht="19.5" customHeight="1">
      <c r="A28" s="3560"/>
      <c r="B28" s="3556"/>
      <c r="C28" s="2842" t="s">
        <v>2451</v>
      </c>
      <c r="D28" s="2843"/>
      <c r="E28" s="2844">
        <v>1</v>
      </c>
      <c r="F28" s="2841" t="s">
        <v>2452</v>
      </c>
      <c r="G28" s="2841"/>
    </row>
    <row r="29" spans="1:13" ht="19.5" customHeight="1">
      <c r="A29" s="3560"/>
      <c r="B29" s="3556"/>
      <c r="C29" s="2842" t="s">
        <v>2453</v>
      </c>
      <c r="D29" s="2843"/>
      <c r="E29" s="2844">
        <v>0.8</v>
      </c>
      <c r="F29" s="2841" t="s">
        <v>2454</v>
      </c>
      <c r="G29" s="2841"/>
    </row>
    <row r="30" spans="1:13" ht="19.5" customHeight="1">
      <c r="A30" s="3560"/>
      <c r="B30" s="3556"/>
      <c r="C30" s="2842" t="s">
        <v>2455</v>
      </c>
      <c r="D30" s="2843"/>
      <c r="E30" s="2844">
        <v>0.8</v>
      </c>
      <c r="F30" s="2841" t="s">
        <v>2456</v>
      </c>
      <c r="G30" s="2841"/>
    </row>
    <row r="31" spans="1:13" ht="19.5" customHeight="1">
      <c r="A31" s="3560"/>
      <c r="B31" s="3556"/>
      <c r="C31" s="2842" t="s">
        <v>2457</v>
      </c>
      <c r="D31" s="2843"/>
      <c r="E31" s="2844">
        <v>0.8</v>
      </c>
      <c r="F31" s="2841" t="s">
        <v>2458</v>
      </c>
      <c r="G31" s="2841"/>
    </row>
    <row r="32" spans="1:13" ht="19.5" customHeight="1">
      <c r="A32" s="3560"/>
      <c r="B32" s="3556"/>
      <c r="C32" s="2842" t="s">
        <v>2459</v>
      </c>
      <c r="D32" s="2843"/>
      <c r="E32" s="2844">
        <v>0.7</v>
      </c>
      <c r="F32" s="2841" t="s">
        <v>2460</v>
      </c>
      <c r="G32" s="2841"/>
    </row>
    <row r="33" spans="1:7" ht="19.5" customHeight="1">
      <c r="A33" s="3560"/>
      <c r="B33" s="3556"/>
      <c r="C33" s="2842" t="s">
        <v>2461</v>
      </c>
      <c r="D33" s="2843"/>
      <c r="E33" s="2844">
        <v>0.8</v>
      </c>
      <c r="F33" s="2841" t="s">
        <v>2462</v>
      </c>
      <c r="G33" s="2841"/>
    </row>
    <row r="34" spans="1:7" ht="19.5" customHeight="1">
      <c r="A34" s="3560"/>
      <c r="B34" s="3556"/>
      <c r="C34" s="2842" t="s">
        <v>2463</v>
      </c>
      <c r="D34" s="2843"/>
      <c r="E34" s="2844">
        <v>0.6</v>
      </c>
      <c r="F34" s="2841" t="s">
        <v>2464</v>
      </c>
      <c r="G34" s="2841"/>
    </row>
    <row r="35" spans="1:7" ht="19.5" customHeight="1">
      <c r="A35" s="3560"/>
      <c r="B35" s="3556"/>
      <c r="C35" s="2842" t="s">
        <v>2465</v>
      </c>
      <c r="D35" s="2843"/>
      <c r="E35" s="2844">
        <v>0.2</v>
      </c>
      <c r="F35" s="2841" t="s">
        <v>2466</v>
      </c>
      <c r="G35" s="2841"/>
    </row>
    <row r="36" spans="1:7" ht="19.5" customHeight="1">
      <c r="A36" s="3560"/>
      <c r="B36" s="3556"/>
      <c r="C36" s="2842" t="s">
        <v>2467</v>
      </c>
      <c r="D36" s="2843"/>
      <c r="E36" s="2844">
        <v>0.2</v>
      </c>
      <c r="F36" s="2841" t="s">
        <v>2468</v>
      </c>
      <c r="G36" s="2841"/>
    </row>
    <row r="37" spans="1:7" ht="19.5" customHeight="1">
      <c r="A37" s="3560"/>
      <c r="B37" s="3554" t="s">
        <v>2629</v>
      </c>
      <c r="C37" s="2842" t="s">
        <v>2469</v>
      </c>
      <c r="D37" s="2843"/>
      <c r="E37" s="2844">
        <v>0.6</v>
      </c>
      <c r="F37" s="2841" t="s">
        <v>2470</v>
      </c>
      <c r="G37" s="2841"/>
    </row>
    <row r="38" spans="1:7" ht="19.5" customHeight="1">
      <c r="A38" s="3560"/>
      <c r="B38" s="3556"/>
      <c r="C38" s="2842" t="s">
        <v>2471</v>
      </c>
      <c r="D38" s="2843"/>
      <c r="E38" s="2844">
        <v>0.6</v>
      </c>
      <c r="F38" s="2841" t="s">
        <v>2472</v>
      </c>
      <c r="G38" s="2841"/>
    </row>
    <row r="39" spans="1:7" ht="19.5" customHeight="1" thickBot="1">
      <c r="A39" s="3561"/>
      <c r="B39" s="3558"/>
      <c r="C39" s="2845" t="s">
        <v>2473</v>
      </c>
      <c r="D39" s="2846"/>
      <c r="E39" s="2847">
        <v>0.6</v>
      </c>
      <c r="F39" s="2841" t="s">
        <v>2474</v>
      </c>
      <c r="G39" s="2841"/>
    </row>
    <row r="40" spans="1:7" ht="19.5" customHeight="1" thickBot="1">
      <c r="A40" s="2848" t="s">
        <v>2606</v>
      </c>
      <c r="B40" s="2849" t="s">
        <v>2606</v>
      </c>
      <c r="C40" s="2850" t="s">
        <v>2630</v>
      </c>
      <c r="D40" s="2851"/>
      <c r="E40" s="2852">
        <v>1</v>
      </c>
      <c r="F40" s="2841" t="s">
        <v>2475</v>
      </c>
      <c r="G40" s="2841"/>
    </row>
    <row r="41" spans="1:7" ht="19.5" customHeight="1">
      <c r="A41" s="3562" t="s">
        <v>2607</v>
      </c>
      <c r="B41" s="3557" t="s">
        <v>2631</v>
      </c>
      <c r="C41" s="2838" t="s">
        <v>2476</v>
      </c>
      <c r="D41" s="2839"/>
      <c r="E41" s="2840">
        <v>1</v>
      </c>
      <c r="F41" s="2841" t="s">
        <v>2477</v>
      </c>
      <c r="G41" s="2841"/>
    </row>
    <row r="42" spans="1:7" ht="19.5" customHeight="1">
      <c r="A42" s="3563"/>
      <c r="B42" s="3556"/>
      <c r="C42" s="2842" t="s">
        <v>2478</v>
      </c>
      <c r="D42" s="2843"/>
      <c r="E42" s="2844">
        <v>1</v>
      </c>
      <c r="F42" s="2841" t="s">
        <v>2479</v>
      </c>
      <c r="G42" s="2841"/>
    </row>
    <row r="43" spans="1:7" ht="19.5" customHeight="1">
      <c r="A43" s="3563"/>
      <c r="B43" s="3555"/>
      <c r="C43" s="2842" t="s">
        <v>2480</v>
      </c>
      <c r="D43" s="2843"/>
      <c r="E43" s="2844">
        <v>1.5</v>
      </c>
      <c r="F43" s="2841" t="s">
        <v>2481</v>
      </c>
      <c r="G43" s="2841"/>
    </row>
    <row r="44" spans="1:7" ht="19.5" customHeight="1">
      <c r="A44" s="3563"/>
      <c r="B44" s="2853" t="s">
        <v>2632</v>
      </c>
      <c r="C44" s="2842" t="s">
        <v>2633</v>
      </c>
      <c r="D44" s="2843"/>
      <c r="E44" s="2844">
        <v>2</v>
      </c>
      <c r="F44" s="2841" t="s">
        <v>2482</v>
      </c>
      <c r="G44" s="2841"/>
    </row>
    <row r="45" spans="1:7" ht="19.5" customHeight="1">
      <c r="A45" s="3563"/>
      <c r="B45" s="3554" t="s">
        <v>2634</v>
      </c>
      <c r="C45" s="2842" t="s">
        <v>2483</v>
      </c>
      <c r="D45" s="2843"/>
      <c r="E45" s="2844">
        <v>1</v>
      </c>
      <c r="F45" s="2841" t="s">
        <v>2484</v>
      </c>
      <c r="G45" s="2841"/>
    </row>
    <row r="46" spans="1:7" ht="19.5" customHeight="1">
      <c r="A46" s="3563"/>
      <c r="B46" s="3556"/>
      <c r="C46" s="2842" t="s">
        <v>2485</v>
      </c>
      <c r="D46" s="2843"/>
      <c r="E46" s="2844">
        <v>1</v>
      </c>
      <c r="F46" s="2841" t="s">
        <v>2486</v>
      </c>
      <c r="G46" s="2841"/>
    </row>
    <row r="47" spans="1:7" ht="19.5" customHeight="1">
      <c r="A47" s="3563"/>
      <c r="B47" s="3556"/>
      <c r="C47" s="2842" t="s">
        <v>2487</v>
      </c>
      <c r="D47" s="2843"/>
      <c r="E47" s="2844">
        <v>1</v>
      </c>
      <c r="F47" s="2841" t="s">
        <v>2488</v>
      </c>
      <c r="G47" s="2841"/>
    </row>
    <row r="48" spans="1:7" ht="19.5" customHeight="1">
      <c r="A48" s="3563"/>
      <c r="B48" s="3556"/>
      <c r="C48" s="2842" t="s">
        <v>2489</v>
      </c>
      <c r="D48" s="2843"/>
      <c r="E48" s="2844">
        <v>1</v>
      </c>
      <c r="F48" s="2841" t="s">
        <v>2490</v>
      </c>
      <c r="G48" s="2841"/>
    </row>
    <row r="49" spans="1:7" ht="19.5" customHeight="1">
      <c r="A49" s="3563"/>
      <c r="B49" s="3556"/>
      <c r="C49" s="2842" t="s">
        <v>2491</v>
      </c>
      <c r="D49" s="2843"/>
      <c r="E49" s="2844">
        <v>1</v>
      </c>
      <c r="F49" s="2841" t="s">
        <v>2492</v>
      </c>
      <c r="G49" s="2841"/>
    </row>
    <row r="50" spans="1:7" ht="19.5" customHeight="1">
      <c r="A50" s="3563"/>
      <c r="B50" s="3556"/>
      <c r="C50" s="2842" t="s">
        <v>2493</v>
      </c>
      <c r="D50" s="2843"/>
      <c r="E50" s="2844">
        <v>1</v>
      </c>
      <c r="F50" s="2841" t="s">
        <v>2494</v>
      </c>
      <c r="G50" s="2841"/>
    </row>
    <row r="51" spans="1:7" ht="19.5" customHeight="1" thickBot="1">
      <c r="A51" s="3564"/>
      <c r="B51" s="3558"/>
      <c r="C51" s="2845" t="s">
        <v>2495</v>
      </c>
      <c r="D51" s="2846"/>
      <c r="E51" s="2847">
        <v>1</v>
      </c>
      <c r="F51" s="2841" t="s">
        <v>2496</v>
      </c>
      <c r="G51" s="2841"/>
    </row>
    <row r="52" spans="1:7" ht="19.5" customHeight="1">
      <c r="A52" s="2854"/>
      <c r="B52" s="2854"/>
      <c r="C52" s="2854"/>
      <c r="D52" s="2854"/>
      <c r="E52" s="2854"/>
      <c r="F52" s="2854"/>
      <c r="G52" s="2854"/>
    </row>
    <row r="54" spans="1:7" ht="19.5" customHeight="1">
      <c r="A54" s="2855"/>
      <c r="B54" s="2827" t="s">
        <v>2635</v>
      </c>
      <c r="C54" s="2827" t="s">
        <v>2635</v>
      </c>
      <c r="D54" s="2827" t="s">
        <v>2635</v>
      </c>
      <c r="E54" s="2830" t="s">
        <v>2635</v>
      </c>
      <c r="F54" s="2830" t="s">
        <v>2636</v>
      </c>
      <c r="G54" s="2830" t="s">
        <v>2637</v>
      </c>
    </row>
    <row r="55" spans="1:7" ht="19.5" customHeight="1">
      <c r="A55" s="2856"/>
      <c r="B55" s="2830" t="s">
        <v>2604</v>
      </c>
      <c r="C55" s="2830" t="s">
        <v>2604</v>
      </c>
      <c r="D55" s="2830" t="s">
        <v>2604</v>
      </c>
      <c r="E55" s="2827" t="s">
        <v>2605</v>
      </c>
      <c r="F55" s="2827" t="s">
        <v>2607</v>
      </c>
      <c r="G55" s="2827" t="s">
        <v>2638</v>
      </c>
    </row>
    <row r="56" spans="1:7" ht="19.5" customHeight="1">
      <c r="A56" s="2857"/>
      <c r="B56" s="2827">
        <v>1</v>
      </c>
      <c r="C56" s="2827">
        <v>2</v>
      </c>
      <c r="D56" s="2827">
        <v>3</v>
      </c>
      <c r="E56" s="2858" t="s">
        <v>2639</v>
      </c>
      <c r="F56" s="2858" t="s">
        <v>2639</v>
      </c>
      <c r="G56" s="2858" t="s">
        <v>2639</v>
      </c>
    </row>
    <row r="57" spans="1:7" ht="19.5" customHeight="1">
      <c r="A57" s="2859" t="s">
        <v>2592</v>
      </c>
      <c r="B57" s="2827">
        <v>0.7</v>
      </c>
      <c r="C57" s="2827">
        <v>0.4</v>
      </c>
      <c r="D57" s="2827">
        <v>0.3</v>
      </c>
      <c r="E57" s="2858">
        <v>0.3</v>
      </c>
      <c r="F57" s="2827">
        <v>0.3</v>
      </c>
      <c r="G57" s="2827">
        <v>0.2</v>
      </c>
    </row>
    <row r="58" spans="1:7" ht="19.5" customHeight="1">
      <c r="A58" s="2859" t="s">
        <v>2593</v>
      </c>
      <c r="B58" s="2827">
        <v>0.7</v>
      </c>
      <c r="C58" s="2827">
        <v>0.4</v>
      </c>
      <c r="D58" s="2827">
        <v>0.3</v>
      </c>
      <c r="E58" s="2827">
        <v>0.3</v>
      </c>
      <c r="F58" s="2827">
        <v>0.3</v>
      </c>
      <c r="G58" s="2827">
        <v>0.2</v>
      </c>
    </row>
    <row r="59" spans="1:7" ht="19.5" customHeight="1">
      <c r="A59" s="2859" t="s">
        <v>2594</v>
      </c>
      <c r="B59" s="2827">
        <v>0.6</v>
      </c>
      <c r="C59" s="2827">
        <v>0.3</v>
      </c>
      <c r="D59" s="2827">
        <v>0.25</v>
      </c>
      <c r="E59" s="2827">
        <v>0.25</v>
      </c>
      <c r="F59" s="2827">
        <v>0.25</v>
      </c>
      <c r="G59" s="2827">
        <v>0.15</v>
      </c>
    </row>
    <row r="60" spans="1:7" ht="19.5" customHeight="1">
      <c r="A60" s="2859" t="s">
        <v>2595</v>
      </c>
      <c r="B60" s="2827">
        <v>0.6</v>
      </c>
      <c r="C60" s="2827">
        <v>0.3</v>
      </c>
      <c r="D60" s="2827">
        <v>0.25</v>
      </c>
      <c r="E60" s="2827">
        <v>0.25</v>
      </c>
      <c r="F60" s="2827">
        <v>0.25</v>
      </c>
      <c r="G60" s="2827">
        <v>0.15</v>
      </c>
    </row>
    <row r="61" spans="1:7" ht="19.5" customHeight="1">
      <c r="A61" s="2859" t="s">
        <v>2596</v>
      </c>
      <c r="B61" s="2827">
        <v>0.6</v>
      </c>
      <c r="C61" s="2827">
        <v>0.3</v>
      </c>
      <c r="D61" s="2827">
        <v>0.25</v>
      </c>
      <c r="E61" s="2827">
        <v>0.25</v>
      </c>
      <c r="F61" s="2827">
        <v>0.25</v>
      </c>
      <c r="G61" s="2827">
        <v>0.15</v>
      </c>
    </row>
    <row r="62" spans="1:7" ht="19.5" customHeight="1">
      <c r="A62" s="2859" t="s">
        <v>2597</v>
      </c>
      <c r="B62" s="2827">
        <v>0.6</v>
      </c>
      <c r="C62" s="2827">
        <v>0.3</v>
      </c>
      <c r="D62" s="2827">
        <v>0.25</v>
      </c>
      <c r="E62" s="2827">
        <v>0.25</v>
      </c>
      <c r="F62" s="2827">
        <v>0.25</v>
      </c>
      <c r="G62" s="2827">
        <v>0.15</v>
      </c>
    </row>
    <row r="63" spans="1:7" ht="19.5" customHeight="1">
      <c r="A63" s="2859" t="s">
        <v>2598</v>
      </c>
      <c r="B63" s="2827">
        <v>0.6</v>
      </c>
      <c r="C63" s="2827">
        <v>0.3</v>
      </c>
      <c r="D63" s="2827">
        <v>0.25</v>
      </c>
      <c r="E63" s="2827">
        <v>0.25</v>
      </c>
      <c r="F63" s="2827">
        <v>0.25</v>
      </c>
      <c r="G63" s="2827">
        <v>0.15</v>
      </c>
    </row>
    <row r="64" spans="1:7" ht="19.5" customHeight="1">
      <c r="A64" s="2859" t="s">
        <v>2599</v>
      </c>
      <c r="B64" s="2827">
        <v>0.5</v>
      </c>
      <c r="C64" s="2827">
        <v>0.2</v>
      </c>
      <c r="D64" s="2827">
        <v>0.2</v>
      </c>
      <c r="E64" s="2827">
        <v>0.2</v>
      </c>
      <c r="F64" s="2827">
        <v>0.2</v>
      </c>
      <c r="G64" s="2827">
        <v>0.1</v>
      </c>
    </row>
    <row r="65" spans="1:7" ht="19.5" customHeight="1">
      <c r="A65" s="2859" t="s">
        <v>2600</v>
      </c>
      <c r="B65" s="2827">
        <v>0.5</v>
      </c>
      <c r="C65" s="2827">
        <v>0.2</v>
      </c>
      <c r="D65" s="2827">
        <v>0.2</v>
      </c>
      <c r="E65" s="2827">
        <v>0.2</v>
      </c>
      <c r="F65" s="2827">
        <v>0.2</v>
      </c>
      <c r="G65" s="2827">
        <v>0.1</v>
      </c>
    </row>
    <row r="66" spans="1:7" ht="19.5" customHeight="1">
      <c r="A66" s="2859" t="s">
        <v>2601</v>
      </c>
      <c r="B66" s="2827">
        <v>0.5</v>
      </c>
      <c r="C66" s="2827">
        <v>0.2</v>
      </c>
      <c r="D66" s="2827">
        <v>0.2</v>
      </c>
      <c r="E66" s="2827">
        <v>0.2</v>
      </c>
      <c r="F66" s="2827">
        <v>0.2</v>
      </c>
      <c r="G66" s="2827">
        <v>0.1</v>
      </c>
    </row>
    <row r="67" spans="1:7" ht="19.5" customHeight="1">
      <c r="A67" s="2859" t="s">
        <v>2602</v>
      </c>
      <c r="B67" s="2827">
        <v>0.5</v>
      </c>
      <c r="C67" s="2827">
        <v>0.2</v>
      </c>
      <c r="D67" s="2827">
        <v>0.2</v>
      </c>
      <c r="E67" s="2827">
        <v>0.2</v>
      </c>
      <c r="F67" s="2827">
        <v>0.2</v>
      </c>
      <c r="G67" s="2827">
        <v>0.1</v>
      </c>
    </row>
    <row r="68" spans="1:7" ht="19.5" customHeight="1">
      <c r="A68" s="2859" t="s">
        <v>2603</v>
      </c>
      <c r="B68" s="2827">
        <v>0.5</v>
      </c>
      <c r="C68" s="2827">
        <v>0.2</v>
      </c>
      <c r="D68" s="2827">
        <v>0.2</v>
      </c>
      <c r="E68" s="2827">
        <v>0.2</v>
      </c>
      <c r="F68" s="2827">
        <v>0.2</v>
      </c>
      <c r="G68" s="2827">
        <v>0.1</v>
      </c>
    </row>
    <row r="70" spans="1:7" ht="19.5" customHeight="1">
      <c r="A70" s="2841"/>
      <c r="B70" s="2860"/>
      <c r="C70" s="2860"/>
      <c r="D70" s="2860" t="s">
        <v>2640</v>
      </c>
      <c r="E70" s="2860"/>
      <c r="F70" s="2860"/>
    </row>
    <row r="71" spans="1:7" ht="19.5" customHeight="1">
      <c r="A71" s="2853" t="s">
        <v>2641</v>
      </c>
      <c r="B71" s="2853" t="s">
        <v>2642</v>
      </c>
      <c r="C71" s="2853" t="s">
        <v>2643</v>
      </c>
      <c r="D71" s="2853" t="s">
        <v>2644</v>
      </c>
      <c r="E71" s="2853" t="s">
        <v>2645</v>
      </c>
      <c r="F71" s="2853" t="s">
        <v>2646</v>
      </c>
    </row>
    <row r="72" spans="1:7" ht="14.4">
      <c r="A72" s="2853"/>
      <c r="B72" s="2853"/>
      <c r="C72" s="2853" t="s">
        <v>2647</v>
      </c>
      <c r="D72" s="2853"/>
      <c r="E72" s="2853" t="s">
        <v>2618</v>
      </c>
      <c r="F72" s="2853" t="s">
        <v>2618</v>
      </c>
    </row>
    <row r="73" spans="1:7" ht="14.4">
      <c r="A73" s="2853">
        <v>1</v>
      </c>
      <c r="B73" s="3554" t="s">
        <v>2648</v>
      </c>
      <c r="C73" s="2827" t="s">
        <v>2649</v>
      </c>
      <c r="D73" s="2827" t="s">
        <v>2650</v>
      </c>
      <c r="E73" s="2853">
        <v>0.2</v>
      </c>
      <c r="F73" s="2853">
        <v>25</v>
      </c>
    </row>
    <row r="74" spans="1:7" ht="24">
      <c r="A74" s="2853">
        <v>2</v>
      </c>
      <c r="B74" s="3556"/>
      <c r="C74" s="2827" t="s">
        <v>2651</v>
      </c>
      <c r="D74" s="2827" t="s">
        <v>2652</v>
      </c>
      <c r="E74" s="2853">
        <v>0.2</v>
      </c>
      <c r="F74" s="2853">
        <v>25</v>
      </c>
    </row>
    <row r="75" spans="1:7" ht="24">
      <c r="A75" s="2853">
        <v>3</v>
      </c>
      <c r="B75" s="3556"/>
      <c r="C75" s="2827" t="s">
        <v>2653</v>
      </c>
      <c r="D75" s="2827" t="s">
        <v>2654</v>
      </c>
      <c r="E75" s="2853">
        <v>0.2</v>
      </c>
      <c r="F75" s="2853">
        <v>25</v>
      </c>
    </row>
    <row r="76" spans="1:7" ht="14.4">
      <c r="A76" s="2853">
        <v>4</v>
      </c>
      <c r="B76" s="3556"/>
      <c r="C76" s="2827" t="s">
        <v>2655</v>
      </c>
      <c r="D76" s="2827" t="s">
        <v>2656</v>
      </c>
      <c r="E76" s="2853">
        <v>0.15</v>
      </c>
      <c r="F76" s="2853">
        <v>20</v>
      </c>
    </row>
    <row r="77" spans="1:7" ht="24">
      <c r="A77" s="2853">
        <v>5</v>
      </c>
      <c r="B77" s="3556"/>
      <c r="C77" s="2827" t="s">
        <v>2657</v>
      </c>
      <c r="D77" s="2827" t="s">
        <v>2658</v>
      </c>
      <c r="E77" s="2853">
        <v>0.15</v>
      </c>
      <c r="F77" s="2853">
        <v>20</v>
      </c>
    </row>
    <row r="78" spans="1:7" ht="24">
      <c r="A78" s="2853">
        <v>6</v>
      </c>
      <c r="B78" s="3556"/>
      <c r="C78" s="2827" t="s">
        <v>2659</v>
      </c>
      <c r="D78" s="2827" t="s">
        <v>2660</v>
      </c>
      <c r="E78" s="2853">
        <v>0.15</v>
      </c>
      <c r="F78" s="2853">
        <v>20</v>
      </c>
    </row>
    <row r="79" spans="1:7" ht="24">
      <c r="A79" s="2853">
        <v>7</v>
      </c>
      <c r="B79" s="3556"/>
      <c r="C79" s="2827" t="s">
        <v>2661</v>
      </c>
      <c r="D79" s="2827" t="s">
        <v>2662</v>
      </c>
      <c r="E79" s="2853">
        <v>0.15</v>
      </c>
      <c r="F79" s="2853">
        <v>20</v>
      </c>
    </row>
    <row r="80" spans="1:7" ht="24">
      <c r="A80" s="2853">
        <v>8</v>
      </c>
      <c r="B80" s="3556"/>
      <c r="C80" s="2827" t="s">
        <v>2663</v>
      </c>
      <c r="D80" s="2827" t="s">
        <v>2664</v>
      </c>
      <c r="E80" s="2853">
        <v>0.1</v>
      </c>
      <c r="F80" s="2853">
        <v>15</v>
      </c>
    </row>
    <row r="81" spans="1:6" ht="24">
      <c r="A81" s="2853">
        <v>9</v>
      </c>
      <c r="B81" s="3556"/>
      <c r="C81" s="2827" t="s">
        <v>2665</v>
      </c>
      <c r="D81" s="2827" t="s">
        <v>2666</v>
      </c>
      <c r="E81" s="2853">
        <v>0.1</v>
      </c>
      <c r="F81" s="2853">
        <v>15</v>
      </c>
    </row>
    <row r="82" spans="1:6" ht="24">
      <c r="A82" s="2853">
        <v>10</v>
      </c>
      <c r="B82" s="3556"/>
      <c r="C82" s="2827" t="s">
        <v>2667</v>
      </c>
      <c r="D82" s="2827" t="s">
        <v>2668</v>
      </c>
      <c r="E82" s="2853">
        <v>0.1</v>
      </c>
      <c r="F82" s="2853">
        <v>15</v>
      </c>
    </row>
    <row r="83" spans="1:6" ht="24">
      <c r="A83" s="2853">
        <v>11</v>
      </c>
      <c r="B83" s="3556"/>
      <c r="C83" s="2827" t="s">
        <v>2669</v>
      </c>
      <c r="D83" s="2827" t="s">
        <v>2670</v>
      </c>
      <c r="E83" s="2853">
        <v>0.1</v>
      </c>
      <c r="F83" s="2853">
        <v>15</v>
      </c>
    </row>
    <row r="84" spans="1:6" ht="24">
      <c r="A84" s="2853">
        <v>12</v>
      </c>
      <c r="B84" s="3556"/>
      <c r="C84" s="2827" t="s">
        <v>2671</v>
      </c>
      <c r="D84" s="2827" t="s">
        <v>2672</v>
      </c>
      <c r="E84" s="2853">
        <v>0.1</v>
      </c>
      <c r="F84" s="2853">
        <v>15</v>
      </c>
    </row>
    <row r="85" spans="1:6" ht="24">
      <c r="A85" s="2853">
        <v>13</v>
      </c>
      <c r="B85" s="3556"/>
      <c r="C85" s="2827" t="s">
        <v>2673</v>
      </c>
      <c r="D85" s="2827" t="s">
        <v>2674</v>
      </c>
      <c r="E85" s="2853">
        <v>0.1</v>
      </c>
      <c r="F85" s="2853">
        <v>15</v>
      </c>
    </row>
    <row r="86" spans="1:6" ht="24">
      <c r="A86" s="2853">
        <v>14</v>
      </c>
      <c r="B86" s="3556"/>
      <c r="C86" s="2827" t="s">
        <v>2675</v>
      </c>
      <c r="D86" s="2827" t="s">
        <v>2676</v>
      </c>
      <c r="E86" s="2853">
        <v>0.1</v>
      </c>
      <c r="F86" s="2853">
        <v>15</v>
      </c>
    </row>
    <row r="87" spans="1:6" ht="24">
      <c r="A87" s="2853">
        <v>15</v>
      </c>
      <c r="B87" s="3556"/>
      <c r="C87" s="2827" t="s">
        <v>2677</v>
      </c>
      <c r="D87" s="2827" t="s">
        <v>2678</v>
      </c>
      <c r="E87" s="2853">
        <v>0.1</v>
      </c>
      <c r="F87" s="2853">
        <v>15</v>
      </c>
    </row>
    <row r="88" spans="1:6" ht="24">
      <c r="A88" s="2853">
        <v>16</v>
      </c>
      <c r="B88" s="3556"/>
      <c r="C88" s="2827" t="s">
        <v>2679</v>
      </c>
      <c r="D88" s="2827" t="s">
        <v>2680</v>
      </c>
      <c r="E88" s="2853">
        <v>0.1</v>
      </c>
      <c r="F88" s="2853">
        <v>15</v>
      </c>
    </row>
    <row r="89" spans="1:6" ht="24">
      <c r="A89" s="2853">
        <v>17</v>
      </c>
      <c r="B89" s="3555"/>
      <c r="C89" s="2827" t="s">
        <v>2681</v>
      </c>
      <c r="D89" s="2827" t="s">
        <v>2682</v>
      </c>
      <c r="E89" s="2853">
        <v>0.1</v>
      </c>
      <c r="F89" s="2853">
        <v>15</v>
      </c>
    </row>
    <row r="90" spans="1:6" ht="14.4">
      <c r="A90" s="2853">
        <v>18</v>
      </c>
      <c r="B90" s="3554" t="s">
        <v>2683</v>
      </c>
      <c r="C90" s="2827" t="s">
        <v>2684</v>
      </c>
      <c r="D90" s="2827" t="s">
        <v>2685</v>
      </c>
      <c r="E90" s="2853">
        <v>0.2</v>
      </c>
      <c r="F90" s="2853">
        <v>25</v>
      </c>
    </row>
    <row r="91" spans="1:6" ht="24">
      <c r="A91" s="2853">
        <v>19</v>
      </c>
      <c r="B91" s="3556"/>
      <c r="C91" s="2827" t="s">
        <v>2686</v>
      </c>
      <c r="D91" s="2827" t="s">
        <v>2687</v>
      </c>
      <c r="E91" s="2853">
        <v>0.2</v>
      </c>
      <c r="F91" s="2853">
        <v>25</v>
      </c>
    </row>
    <row r="92" spans="1:6" ht="14.4">
      <c r="A92" s="2853">
        <v>20</v>
      </c>
      <c r="B92" s="3556"/>
      <c r="C92" s="2827" t="s">
        <v>2688</v>
      </c>
      <c r="D92" s="2827" t="s">
        <v>2689</v>
      </c>
      <c r="E92" s="2853">
        <v>0.15</v>
      </c>
      <c r="F92" s="2853">
        <v>20</v>
      </c>
    </row>
    <row r="93" spans="1:6" ht="24">
      <c r="A93" s="2853">
        <v>21</v>
      </c>
      <c r="B93" s="3556"/>
      <c r="C93" s="2827" t="s">
        <v>2690</v>
      </c>
      <c r="D93" s="2827" t="s">
        <v>2691</v>
      </c>
      <c r="E93" s="2853">
        <v>0.15</v>
      </c>
      <c r="F93" s="2853">
        <v>20</v>
      </c>
    </row>
    <row r="94" spans="1:6" ht="24">
      <c r="A94" s="2853">
        <v>22</v>
      </c>
      <c r="B94" s="3556"/>
      <c r="C94" s="2827" t="s">
        <v>2692</v>
      </c>
      <c r="D94" s="2827" t="s">
        <v>2693</v>
      </c>
      <c r="E94" s="2853">
        <v>0.15</v>
      </c>
      <c r="F94" s="2853">
        <v>20</v>
      </c>
    </row>
    <row r="95" spans="1:6" ht="36">
      <c r="A95" s="2853">
        <v>23</v>
      </c>
      <c r="B95" s="3556"/>
      <c r="C95" s="2827" t="s">
        <v>2694</v>
      </c>
      <c r="D95" s="2827" t="s">
        <v>2695</v>
      </c>
      <c r="E95" s="2853">
        <v>0.15</v>
      </c>
      <c r="F95" s="2853">
        <v>20</v>
      </c>
    </row>
    <row r="96" spans="1:6" ht="24">
      <c r="A96" s="2853">
        <v>24</v>
      </c>
      <c r="B96" s="3556"/>
      <c r="C96" s="2827" t="s">
        <v>2696</v>
      </c>
      <c r="D96" s="2827" t="s">
        <v>2697</v>
      </c>
      <c r="E96" s="2853">
        <v>0.1</v>
      </c>
      <c r="F96" s="2853">
        <v>15</v>
      </c>
    </row>
    <row r="97" spans="1:6" ht="24">
      <c r="A97" s="2853">
        <v>25</v>
      </c>
      <c r="B97" s="3556"/>
      <c r="C97" s="2827" t="s">
        <v>2698</v>
      </c>
      <c r="D97" s="2827" t="s">
        <v>2699</v>
      </c>
      <c r="E97" s="2853">
        <v>0.1</v>
      </c>
      <c r="F97" s="2853">
        <v>15</v>
      </c>
    </row>
    <row r="98" spans="1:6" ht="24">
      <c r="A98" s="2853">
        <v>26</v>
      </c>
      <c r="B98" s="3556"/>
      <c r="C98" s="2827" t="s">
        <v>2700</v>
      </c>
      <c r="D98" s="2827" t="s">
        <v>2701</v>
      </c>
      <c r="E98" s="2853">
        <v>0.1</v>
      </c>
      <c r="F98" s="2853">
        <v>15</v>
      </c>
    </row>
    <row r="99" spans="1:6" ht="24">
      <c r="A99" s="2853">
        <v>27</v>
      </c>
      <c r="B99" s="3556"/>
      <c r="C99" s="2827" t="s">
        <v>2702</v>
      </c>
      <c r="D99" s="2827" t="s">
        <v>2703</v>
      </c>
      <c r="E99" s="2853">
        <v>0.1</v>
      </c>
      <c r="F99" s="2853">
        <v>15</v>
      </c>
    </row>
    <row r="100" spans="1:6" ht="24">
      <c r="A100" s="2853">
        <v>28</v>
      </c>
      <c r="B100" s="3556"/>
      <c r="C100" s="2827" t="s">
        <v>2704</v>
      </c>
      <c r="D100" s="2827" t="s">
        <v>2705</v>
      </c>
      <c r="E100" s="2853">
        <v>0.1</v>
      </c>
      <c r="F100" s="2853">
        <v>15</v>
      </c>
    </row>
    <row r="101" spans="1:6" ht="24">
      <c r="A101" s="2853">
        <v>29</v>
      </c>
      <c r="B101" s="3556"/>
      <c r="C101" s="2827" t="s">
        <v>2706</v>
      </c>
      <c r="D101" s="2827" t="s">
        <v>2707</v>
      </c>
      <c r="E101" s="2853">
        <v>0.1</v>
      </c>
      <c r="F101" s="2853">
        <v>15</v>
      </c>
    </row>
    <row r="102" spans="1:6" ht="24">
      <c r="A102" s="2853">
        <v>30</v>
      </c>
      <c r="B102" s="3556"/>
      <c r="C102" s="2827" t="s">
        <v>2708</v>
      </c>
      <c r="D102" s="2827" t="s">
        <v>2709</v>
      </c>
      <c r="E102" s="2853">
        <v>0.1</v>
      </c>
      <c r="F102" s="2853">
        <v>15</v>
      </c>
    </row>
    <row r="103" spans="1:6" ht="24">
      <c r="A103" s="2853">
        <v>31</v>
      </c>
      <c r="B103" s="3556"/>
      <c r="C103" s="2827" t="s">
        <v>2710</v>
      </c>
      <c r="D103" s="2827" t="s">
        <v>2711</v>
      </c>
      <c r="E103" s="2853">
        <v>0.1</v>
      </c>
      <c r="F103" s="2853">
        <v>15</v>
      </c>
    </row>
    <row r="104" spans="1:6" ht="24">
      <c r="A104" s="2853">
        <v>32</v>
      </c>
      <c r="B104" s="3556"/>
      <c r="C104" s="2827" t="s">
        <v>2712</v>
      </c>
      <c r="D104" s="2827" t="s">
        <v>2713</v>
      </c>
      <c r="E104" s="2853">
        <v>0.1</v>
      </c>
      <c r="F104" s="2853">
        <v>15</v>
      </c>
    </row>
    <row r="105" spans="1:6" ht="24">
      <c r="A105" s="2853">
        <v>33</v>
      </c>
      <c r="B105" s="3556"/>
      <c r="C105" s="2827" t="s">
        <v>2714</v>
      </c>
      <c r="D105" s="2827" t="s">
        <v>2715</v>
      </c>
      <c r="E105" s="2853">
        <v>0.1</v>
      </c>
      <c r="F105" s="2853">
        <v>15</v>
      </c>
    </row>
    <row r="106" spans="1:6" ht="24">
      <c r="A106" s="2853">
        <v>34</v>
      </c>
      <c r="B106" s="3555"/>
      <c r="C106" s="2827" t="s">
        <v>2716</v>
      </c>
      <c r="D106" s="2827" t="s">
        <v>2717</v>
      </c>
      <c r="E106" s="2853">
        <v>0.1</v>
      </c>
      <c r="F106" s="2853">
        <v>15</v>
      </c>
    </row>
    <row r="107" spans="1:6" ht="36">
      <c r="A107" s="2853">
        <v>35</v>
      </c>
      <c r="B107" s="3554" t="s">
        <v>2718</v>
      </c>
      <c r="C107" s="2853" t="s">
        <v>2719</v>
      </c>
      <c r="D107" s="2827" t="s">
        <v>2720</v>
      </c>
      <c r="E107" s="2853">
        <v>0.15</v>
      </c>
      <c r="F107" s="2853">
        <v>20</v>
      </c>
    </row>
    <row r="108" spans="1:6" ht="24">
      <c r="A108" s="2853">
        <v>36</v>
      </c>
      <c r="B108" s="3556"/>
      <c r="C108" s="2853" t="s">
        <v>2721</v>
      </c>
      <c r="D108" s="2827" t="s">
        <v>2722</v>
      </c>
      <c r="E108" s="2853">
        <v>0.15</v>
      </c>
      <c r="F108" s="2853">
        <v>20</v>
      </c>
    </row>
    <row r="109" spans="1:6" ht="24">
      <c r="A109" s="2853">
        <v>37</v>
      </c>
      <c r="B109" s="3556"/>
      <c r="C109" s="2853" t="s">
        <v>2723</v>
      </c>
      <c r="D109" s="2827" t="s">
        <v>2724</v>
      </c>
      <c r="E109" s="2853">
        <v>0.15</v>
      </c>
      <c r="F109" s="2853">
        <v>20</v>
      </c>
    </row>
    <row r="110" spans="1:6" ht="24">
      <c r="A110" s="2853">
        <v>38</v>
      </c>
      <c r="B110" s="3556"/>
      <c r="C110" s="2853" t="s">
        <v>2725</v>
      </c>
      <c r="D110" s="2827" t="s">
        <v>2726</v>
      </c>
      <c r="E110" s="2853">
        <v>0.1</v>
      </c>
      <c r="F110" s="2853">
        <v>15</v>
      </c>
    </row>
    <row r="111" spans="1:6" ht="24">
      <c r="A111" s="2853">
        <v>39</v>
      </c>
      <c r="B111" s="3556"/>
      <c r="C111" s="2853" t="s">
        <v>2727</v>
      </c>
      <c r="D111" s="2827" t="s">
        <v>2728</v>
      </c>
      <c r="E111" s="2853">
        <v>0.1</v>
      </c>
      <c r="F111" s="2853">
        <v>15</v>
      </c>
    </row>
    <row r="112" spans="1:6" ht="24">
      <c r="A112" s="2853">
        <v>40</v>
      </c>
      <c r="B112" s="3555"/>
      <c r="C112" s="2853" t="s">
        <v>2729</v>
      </c>
      <c r="D112" s="2827" t="s">
        <v>2730</v>
      </c>
      <c r="E112" s="2853">
        <v>0.1</v>
      </c>
      <c r="F112" s="2853">
        <v>15</v>
      </c>
    </row>
    <row r="113" spans="1:6" ht="24">
      <c r="A113" s="2853">
        <v>41</v>
      </c>
      <c r="B113" s="3553" t="s">
        <v>2731</v>
      </c>
      <c r="C113" s="2853" t="s">
        <v>2732</v>
      </c>
      <c r="D113" s="2827" t="s">
        <v>2733</v>
      </c>
      <c r="E113" s="2853">
        <v>0.1</v>
      </c>
      <c r="F113" s="2853">
        <v>15</v>
      </c>
    </row>
    <row r="114" spans="1:6" ht="24">
      <c r="A114" s="2853">
        <v>42</v>
      </c>
      <c r="B114" s="3553"/>
      <c r="C114" s="2853" t="s">
        <v>2734</v>
      </c>
      <c r="D114" s="2827" t="s">
        <v>2735</v>
      </c>
      <c r="E114" s="2853">
        <v>0.1</v>
      </c>
      <c r="F114" s="2853">
        <v>15</v>
      </c>
    </row>
    <row r="115" spans="1:6" ht="24">
      <c r="A115" s="2853">
        <v>43</v>
      </c>
      <c r="B115" s="3553"/>
      <c r="C115" s="2853" t="s">
        <v>2736</v>
      </c>
      <c r="D115" s="2827" t="s">
        <v>2737</v>
      </c>
      <c r="E115" s="2853">
        <v>0.1</v>
      </c>
      <c r="F115" s="2853">
        <v>15</v>
      </c>
    </row>
    <row r="116" spans="1:6" ht="24">
      <c r="A116" s="2853">
        <v>44</v>
      </c>
      <c r="B116" s="3554" t="s">
        <v>2738</v>
      </c>
      <c r="C116" s="2853" t="s">
        <v>2739</v>
      </c>
      <c r="D116" s="2827" t="s">
        <v>2740</v>
      </c>
      <c r="E116" s="2853">
        <v>0.1</v>
      </c>
      <c r="F116" s="2853">
        <v>15</v>
      </c>
    </row>
    <row r="117" spans="1:6" ht="24">
      <c r="A117" s="2853">
        <v>45</v>
      </c>
      <c r="B117" s="3555"/>
      <c r="C117" s="2827" t="s">
        <v>2741</v>
      </c>
      <c r="D117" s="2827" t="s">
        <v>2742</v>
      </c>
      <c r="E117" s="2853">
        <v>0.1</v>
      </c>
      <c r="F117" s="2853">
        <v>15</v>
      </c>
    </row>
    <row r="118" spans="1:6" ht="24">
      <c r="A118" s="2853">
        <v>46</v>
      </c>
      <c r="B118" s="3554" t="s">
        <v>2743</v>
      </c>
      <c r="C118" s="2853" t="s">
        <v>2744</v>
      </c>
      <c r="D118" s="2827" t="s">
        <v>2745</v>
      </c>
      <c r="E118" s="2853">
        <v>0.1</v>
      </c>
      <c r="F118" s="2853">
        <v>15</v>
      </c>
    </row>
    <row r="119" spans="1:6" ht="24">
      <c r="A119" s="2853">
        <v>47</v>
      </c>
      <c r="B119" s="3555"/>
      <c r="C119" s="2853" t="s">
        <v>2746</v>
      </c>
      <c r="D119" s="2827" t="s">
        <v>2747</v>
      </c>
      <c r="E119" s="2853">
        <v>0.1</v>
      </c>
      <c r="F119" s="2853">
        <v>15</v>
      </c>
    </row>
    <row r="120" spans="1:6" ht="24">
      <c r="A120" s="2853">
        <v>48</v>
      </c>
      <c r="B120" s="3554" t="s">
        <v>2748</v>
      </c>
      <c r="C120" s="2853" t="s">
        <v>2749</v>
      </c>
      <c r="D120" s="2827" t="s">
        <v>2750</v>
      </c>
      <c r="E120" s="2853">
        <v>0.1</v>
      </c>
      <c r="F120" s="2853">
        <v>15</v>
      </c>
    </row>
    <row r="121" spans="1:6" ht="24">
      <c r="A121" s="2853">
        <v>49</v>
      </c>
      <c r="B121" s="3555"/>
      <c r="C121" s="2853" t="s">
        <v>2751</v>
      </c>
      <c r="D121" s="2827" t="s">
        <v>2752</v>
      </c>
      <c r="E121" s="2853">
        <v>0.1</v>
      </c>
      <c r="F121" s="2853">
        <v>15</v>
      </c>
    </row>
    <row r="122" spans="1:6" ht="24">
      <c r="A122" s="2853">
        <v>50</v>
      </c>
      <c r="B122" s="3553" t="s">
        <v>2753</v>
      </c>
      <c r="C122" s="2853" t="s">
        <v>2754</v>
      </c>
      <c r="D122" s="2827" t="s">
        <v>2755</v>
      </c>
      <c r="E122" s="2853">
        <v>0.1</v>
      </c>
      <c r="F122" s="2853">
        <v>15</v>
      </c>
    </row>
    <row r="123" spans="1:6" ht="24">
      <c r="A123" s="2853">
        <v>51</v>
      </c>
      <c r="B123" s="3553"/>
      <c r="C123" s="2853" t="s">
        <v>2756</v>
      </c>
      <c r="D123" s="2827" t="s">
        <v>2757</v>
      </c>
      <c r="E123" s="2853">
        <v>0.1</v>
      </c>
      <c r="F123" s="2853">
        <v>15</v>
      </c>
    </row>
    <row r="124" spans="1:6" ht="24">
      <c r="A124" s="2853">
        <v>52</v>
      </c>
      <c r="B124" s="3553" t="s">
        <v>2758</v>
      </c>
      <c r="C124" s="2853" t="s">
        <v>2759</v>
      </c>
      <c r="D124" s="2827" t="s">
        <v>2760</v>
      </c>
      <c r="E124" s="2853">
        <v>0.1</v>
      </c>
      <c r="F124" s="2853">
        <v>15</v>
      </c>
    </row>
    <row r="125" spans="1:6" ht="24">
      <c r="A125" s="2853">
        <v>53</v>
      </c>
      <c r="B125" s="3553"/>
      <c r="C125" s="2853" t="s">
        <v>2761</v>
      </c>
      <c r="D125" s="2827" t="s">
        <v>2762</v>
      </c>
      <c r="E125" s="2853">
        <v>0.1</v>
      </c>
      <c r="F125" s="2853">
        <v>15</v>
      </c>
    </row>
    <row r="126" spans="1:6" ht="24">
      <c r="A126" s="2853">
        <v>54</v>
      </c>
      <c r="B126" s="2853" t="s">
        <v>2763</v>
      </c>
      <c r="C126" s="2853" t="s">
        <v>2764</v>
      </c>
      <c r="D126" s="2827" t="s">
        <v>2765</v>
      </c>
      <c r="E126" s="2853">
        <v>0.1</v>
      </c>
      <c r="F126" s="2853">
        <v>15</v>
      </c>
    </row>
    <row r="127" spans="1:6" ht="24">
      <c r="A127" s="2853">
        <v>55</v>
      </c>
      <c r="B127" s="3553" t="s">
        <v>2766</v>
      </c>
      <c r="C127" s="2853" t="s">
        <v>2767</v>
      </c>
      <c r="D127" s="2827" t="s">
        <v>2768</v>
      </c>
      <c r="E127" s="2853">
        <v>0.1</v>
      </c>
      <c r="F127" s="2853">
        <v>15</v>
      </c>
    </row>
    <row r="128" spans="1:6" ht="24">
      <c r="A128" s="2853">
        <v>56</v>
      </c>
      <c r="B128" s="3553"/>
      <c r="C128" s="2853" t="s">
        <v>2769</v>
      </c>
      <c r="D128" s="2827" t="s">
        <v>2770</v>
      </c>
      <c r="E128" s="2853">
        <v>0.1</v>
      </c>
      <c r="F128" s="2853">
        <v>15</v>
      </c>
    </row>
    <row r="129" spans="1:6" ht="24">
      <c r="A129" s="2853">
        <v>57</v>
      </c>
      <c r="B129" s="3553"/>
      <c r="C129" s="2853" t="s">
        <v>2771</v>
      </c>
      <c r="D129" s="2827" t="s">
        <v>2772</v>
      </c>
      <c r="E129" s="2853">
        <v>0.1</v>
      </c>
      <c r="F129" s="2853">
        <v>15</v>
      </c>
    </row>
    <row r="130" spans="1:6" ht="24">
      <c r="A130" s="2853">
        <v>58</v>
      </c>
      <c r="B130" s="3553" t="s">
        <v>2773</v>
      </c>
      <c r="C130" s="2853" t="s">
        <v>2774</v>
      </c>
      <c r="D130" s="2827" t="s">
        <v>2775</v>
      </c>
      <c r="E130" s="2853">
        <v>0.1</v>
      </c>
      <c r="F130" s="2853">
        <v>15</v>
      </c>
    </row>
    <row r="131" spans="1:6" ht="24">
      <c r="A131" s="2853">
        <v>59</v>
      </c>
      <c r="B131" s="3553"/>
      <c r="C131" s="2853" t="s">
        <v>2776</v>
      </c>
      <c r="D131" s="2827" t="s">
        <v>2777</v>
      </c>
      <c r="E131" s="2853">
        <v>0.1</v>
      </c>
      <c r="F131" s="2853">
        <v>15</v>
      </c>
    </row>
    <row r="132" spans="1:6" ht="24">
      <c r="A132" s="2853">
        <v>60</v>
      </c>
      <c r="B132" s="3554" t="s">
        <v>2778</v>
      </c>
      <c r="C132" s="2853" t="s">
        <v>2779</v>
      </c>
      <c r="D132" s="2827" t="s">
        <v>2780</v>
      </c>
      <c r="E132" s="2853">
        <v>0.1</v>
      </c>
      <c r="F132" s="2853">
        <v>15</v>
      </c>
    </row>
    <row r="133" spans="1:6" ht="24">
      <c r="A133" s="2853">
        <v>61</v>
      </c>
      <c r="B133" s="3555"/>
      <c r="C133" s="2853" t="s">
        <v>2781</v>
      </c>
      <c r="D133" s="2827" t="s">
        <v>2782</v>
      </c>
      <c r="E133" s="2853">
        <v>0.1</v>
      </c>
      <c r="F133" s="2853">
        <v>15</v>
      </c>
    </row>
    <row r="134" spans="1:6" ht="24">
      <c r="A134" s="2853">
        <v>62</v>
      </c>
      <c r="B134" s="2853" t="s">
        <v>2783</v>
      </c>
      <c r="C134" s="2853" t="s">
        <v>2784</v>
      </c>
      <c r="D134" s="2827" t="s">
        <v>2785</v>
      </c>
      <c r="E134" s="2853">
        <v>0.1</v>
      </c>
      <c r="F134" s="2853">
        <v>15</v>
      </c>
    </row>
    <row r="135" spans="1:6" ht="24">
      <c r="A135" s="2853">
        <v>63</v>
      </c>
      <c r="B135" s="3553" t="s">
        <v>2786</v>
      </c>
      <c r="C135" s="2853" t="s">
        <v>2787</v>
      </c>
      <c r="D135" s="2827" t="s">
        <v>2788</v>
      </c>
      <c r="E135" s="2853">
        <v>0.1</v>
      </c>
      <c r="F135" s="2853">
        <v>15</v>
      </c>
    </row>
    <row r="136" spans="1:6" ht="24">
      <c r="A136" s="2853">
        <v>64</v>
      </c>
      <c r="B136" s="3553"/>
      <c r="C136" s="2853" t="s">
        <v>2789</v>
      </c>
      <c r="D136" s="2827" t="s">
        <v>2790</v>
      </c>
      <c r="E136" s="2853">
        <v>0.1</v>
      </c>
      <c r="F136" s="2853">
        <v>15</v>
      </c>
    </row>
    <row r="137" spans="1:6" ht="24">
      <c r="A137" s="2853">
        <v>65</v>
      </c>
      <c r="B137" s="2853" t="s">
        <v>2791</v>
      </c>
      <c r="C137" s="2853" t="s">
        <v>2792</v>
      </c>
      <c r="D137" s="2827" t="s">
        <v>2793</v>
      </c>
      <c r="E137" s="2853">
        <v>0.1</v>
      </c>
      <c r="F137" s="2853">
        <v>15</v>
      </c>
    </row>
    <row r="138" spans="1:6" ht="14.4">
      <c r="A138" s="2853"/>
      <c r="B138" s="2853"/>
      <c r="C138" s="2853"/>
      <c r="D138" s="2853"/>
      <c r="E138" s="2853" t="s">
        <v>2794</v>
      </c>
      <c r="F138" s="2853"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U460"/>
  <sheetViews>
    <sheetView topLeftCell="A178" zoomScale="70" zoomScaleNormal="70" workbookViewId="0">
      <selection activeCell="A202" sqref="A202:XFD202"/>
    </sheetView>
  </sheetViews>
  <sheetFormatPr defaultColWidth="9" defaultRowHeight="14.4"/>
  <cols>
    <col min="1" max="13" width="9" style="2875"/>
  </cols>
  <sheetData>
    <row r="1" spans="1:20" ht="16.2" thickBot="1">
      <c r="A1" s="2861" t="s">
        <v>2795</v>
      </c>
      <c r="B1" s="2861"/>
      <c r="C1" s="2861"/>
      <c r="D1" s="2861"/>
      <c r="E1" s="2861"/>
      <c r="F1" s="2861"/>
      <c r="G1" s="2861"/>
      <c r="H1" s="2861"/>
      <c r="I1" s="2861"/>
      <c r="J1" s="2861"/>
      <c r="K1" s="2861"/>
      <c r="L1" s="2861"/>
      <c r="M1" s="2861"/>
      <c r="N1" s="707"/>
    </row>
    <row r="2" spans="1:20">
      <c r="A2" s="2862" t="s">
        <v>2796</v>
      </c>
      <c r="B2" s="2863" t="s">
        <v>2592</v>
      </c>
      <c r="C2" s="2863" t="s">
        <v>2593</v>
      </c>
      <c r="D2" s="2863" t="s">
        <v>2594</v>
      </c>
      <c r="E2" s="2863" t="s">
        <v>2595</v>
      </c>
      <c r="F2" s="2863" t="s">
        <v>2596</v>
      </c>
      <c r="G2" s="2863" t="s">
        <v>2597</v>
      </c>
      <c r="H2" s="2864" t="s">
        <v>2598</v>
      </c>
      <c r="I2" s="2864" t="s">
        <v>2599</v>
      </c>
      <c r="J2" s="2865" t="s">
        <v>2600</v>
      </c>
      <c r="K2" s="2865" t="s">
        <v>2601</v>
      </c>
      <c r="L2" s="2865" t="s">
        <v>2602</v>
      </c>
      <c r="M2" s="2866" t="s">
        <v>2603</v>
      </c>
      <c r="Q2" s="2876" t="s">
        <v>2801</v>
      </c>
      <c r="R2" s="2876" t="s">
        <v>2802</v>
      </c>
      <c r="S2" s="2876" t="s">
        <v>2803</v>
      </c>
      <c r="T2" s="2876" t="s">
        <v>2804</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2797</v>
      </c>
      <c r="B93" s="2861"/>
      <c r="C93" s="2861"/>
      <c r="D93" s="2861"/>
      <c r="E93" s="2861"/>
      <c r="F93" s="2861"/>
      <c r="G93" s="2861"/>
      <c r="H93" s="2861"/>
      <c r="I93" s="2861"/>
      <c r="J93" s="2861"/>
      <c r="K93" s="2861"/>
      <c r="L93" s="2861"/>
      <c r="M93" s="2861"/>
    </row>
    <row r="94" spans="1:20">
      <c r="A94" s="2862" t="s">
        <v>2796</v>
      </c>
      <c r="B94" s="2863" t="s">
        <v>2592</v>
      </c>
      <c r="C94" s="2863" t="s">
        <v>2593</v>
      </c>
      <c r="D94" s="2863" t="s">
        <v>2594</v>
      </c>
      <c r="E94" s="2863" t="s">
        <v>2595</v>
      </c>
      <c r="F94" s="2863" t="s">
        <v>2596</v>
      </c>
      <c r="G94" s="2863" t="s">
        <v>2597</v>
      </c>
      <c r="H94" s="2864" t="s">
        <v>2598</v>
      </c>
      <c r="I94" s="2864" t="s">
        <v>2599</v>
      </c>
      <c r="J94" s="2865" t="s">
        <v>2600</v>
      </c>
      <c r="K94" s="2865" t="s">
        <v>2601</v>
      </c>
      <c r="L94" s="2865" t="s">
        <v>2602</v>
      </c>
      <c r="M94" s="2866" t="s">
        <v>2603</v>
      </c>
      <c r="N94">
        <f>SUMPRODUCT((A95:A184=ROUNDDOWN('基准地价修正-住宅'!G3,1))*(B94:M94='基准地价修正-住宅'!G2)*(B95:M184))</f>
        <v>1.0287999999999999</v>
      </c>
      <c r="Q94" s="2876" t="s">
        <v>2801</v>
      </c>
      <c r="R94" s="2876" t="s">
        <v>2802</v>
      </c>
      <c r="S94" s="2876" t="s">
        <v>2803</v>
      </c>
      <c r="T94" s="2876" t="s">
        <v>2804</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2798</v>
      </c>
      <c r="B185" s="2861"/>
      <c r="C185" s="2861"/>
      <c r="D185" s="2861"/>
      <c r="E185" s="2861"/>
      <c r="F185" s="2861"/>
      <c r="G185" s="2861"/>
      <c r="H185" s="2861"/>
      <c r="I185" s="2861"/>
      <c r="J185" s="2861"/>
      <c r="K185" s="2861"/>
      <c r="L185" s="2861"/>
      <c r="M185" s="2861"/>
    </row>
    <row r="186" spans="1:20">
      <c r="A186" s="2862" t="s">
        <v>2796</v>
      </c>
      <c r="B186" s="2863" t="s">
        <v>2592</v>
      </c>
      <c r="C186" s="2863" t="s">
        <v>2593</v>
      </c>
      <c r="D186" s="2863" t="s">
        <v>2594</v>
      </c>
      <c r="E186" s="2863" t="s">
        <v>2595</v>
      </c>
      <c r="F186" s="2863" t="s">
        <v>2596</v>
      </c>
      <c r="G186" s="2863" t="s">
        <v>2597</v>
      </c>
      <c r="H186" s="2864" t="s">
        <v>2598</v>
      </c>
      <c r="I186" s="2864" t="s">
        <v>2599</v>
      </c>
      <c r="J186" s="2865" t="s">
        <v>2600</v>
      </c>
      <c r="K186" s="2865" t="s">
        <v>2601</v>
      </c>
      <c r="L186" s="2865" t="s">
        <v>2602</v>
      </c>
      <c r="M186" s="2866" t="s">
        <v>2603</v>
      </c>
      <c r="Q186" s="2876" t="s">
        <v>2801</v>
      </c>
      <c r="R186" s="2876" t="s">
        <v>2802</v>
      </c>
      <c r="S186" s="2876" t="s">
        <v>2803</v>
      </c>
      <c r="T186" s="2876" t="s">
        <v>2804</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2799</v>
      </c>
      <c r="B277" s="2861"/>
      <c r="C277" s="2861"/>
      <c r="D277" s="2861"/>
      <c r="E277" s="2861"/>
      <c r="F277" s="2861"/>
      <c r="G277" s="2861"/>
      <c r="H277" s="2861"/>
      <c r="I277" s="2861"/>
      <c r="J277" s="2861"/>
      <c r="K277" s="2861"/>
      <c r="L277" s="2861"/>
      <c r="M277" s="2861"/>
    </row>
    <row r="278" spans="1:21">
      <c r="A278" s="2862" t="s">
        <v>2796</v>
      </c>
      <c r="B278" s="2863" t="s">
        <v>2592</v>
      </c>
      <c r="C278" s="2863" t="s">
        <v>2593</v>
      </c>
      <c r="D278" s="2863" t="s">
        <v>2594</v>
      </c>
      <c r="E278" s="2863" t="s">
        <v>2595</v>
      </c>
      <c r="F278" s="2863" t="s">
        <v>2596</v>
      </c>
      <c r="G278" s="2863" t="s">
        <v>2597</v>
      </c>
      <c r="H278" s="2864" t="s">
        <v>2598</v>
      </c>
      <c r="I278" s="2864" t="s">
        <v>2599</v>
      </c>
      <c r="J278" s="2865" t="s">
        <v>2600</v>
      </c>
      <c r="K278" s="2865" t="s">
        <v>2601</v>
      </c>
      <c r="L278" s="2865" t="s">
        <v>2602</v>
      </c>
      <c r="M278" s="2866" t="s">
        <v>2603</v>
      </c>
      <c r="Q278" s="2876" t="s">
        <v>2801</v>
      </c>
      <c r="R278" s="2876" t="s">
        <v>2802</v>
      </c>
      <c r="S278" s="2876" t="s">
        <v>2805</v>
      </c>
      <c r="T278" s="2876" t="s">
        <v>2806</v>
      </c>
      <c r="U278" s="2876" t="s">
        <v>2804</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2800</v>
      </c>
      <c r="B369" s="2874"/>
      <c r="C369" s="2874"/>
      <c r="D369" s="2874"/>
      <c r="E369" s="2874"/>
      <c r="F369" s="2874"/>
      <c r="G369" s="2874"/>
      <c r="H369" s="2874"/>
      <c r="I369" s="2874"/>
      <c r="J369" s="2874"/>
      <c r="K369" s="2874"/>
      <c r="L369" s="2874"/>
      <c r="M369" s="2874"/>
    </row>
    <row r="370" spans="1:20">
      <c r="A370" s="2862" t="s">
        <v>2796</v>
      </c>
      <c r="B370" s="2863" t="s">
        <v>2592</v>
      </c>
      <c r="C370" s="2863" t="s">
        <v>2593</v>
      </c>
      <c r="D370" s="2863" t="s">
        <v>2594</v>
      </c>
      <c r="E370" s="2863" t="s">
        <v>2595</v>
      </c>
      <c r="F370" s="2863" t="s">
        <v>2596</v>
      </c>
      <c r="G370" s="2863" t="s">
        <v>2597</v>
      </c>
      <c r="H370" s="2864" t="s">
        <v>2598</v>
      </c>
      <c r="I370" s="2864" t="s">
        <v>2599</v>
      </c>
      <c r="J370" s="2865" t="s">
        <v>2600</v>
      </c>
      <c r="K370" s="2865" t="s">
        <v>2601</v>
      </c>
      <c r="L370" s="2865" t="s">
        <v>2602</v>
      </c>
      <c r="M370" s="2866" t="s">
        <v>2603</v>
      </c>
      <c r="N370">
        <f>SUMPRODUCT((A371:A460=ROUNDDOWN('基准地价修正-住宅'!G3,1))*(B370:M370='基准地价修正-住宅'!G2)*(B371:M460))</f>
        <v>0.97860000000000003</v>
      </c>
      <c r="Q370" s="2876" t="s">
        <v>2801</v>
      </c>
      <c r="R370" s="2876" t="s">
        <v>2802</v>
      </c>
      <c r="S370" s="2876" t="s">
        <v>2803</v>
      </c>
      <c r="T370" s="2876" t="s">
        <v>2804</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27853</v>
      </c>
      <c r="C2" s="2" t="s">
        <v>106</v>
      </c>
      <c r="D2" s="191"/>
      <c r="E2" s="191"/>
      <c r="F2" s="191"/>
      <c r="G2" s="191"/>
    </row>
    <row r="3" spans="1:7" s="192" customFormat="1" ht="18" customHeight="1" thickBot="1">
      <c r="A3" s="195" t="s">
        <v>58</v>
      </c>
      <c r="B3" s="196">
        <f ca="1">ROUND(B2*10000/'数据-汇总表'!E3,0)</f>
        <v>1285444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185.94</v>
      </c>
      <c r="E9" s="217">
        <f>'数据-取费表'!B27</f>
        <v>160</v>
      </c>
      <c r="F9" s="213"/>
      <c r="G9" s="218"/>
    </row>
    <row r="10" spans="1:7" s="206" customFormat="1" ht="13.5" customHeight="1">
      <c r="A10" s="733" t="s">
        <v>356</v>
      </c>
      <c r="B10" s="216" t="s">
        <v>67</v>
      </c>
      <c r="C10" s="217">
        <f>ROUND(D10*E10/10000,0)</f>
        <v>1</v>
      </c>
      <c r="D10" s="795">
        <f>'数据-汇总表'!E6</f>
        <v>30.740000000000009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216.68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1267</v>
      </c>
      <c r="D22" s="227">
        <f ca="1">C26</f>
        <v>8.9999999999999998E-4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2944</v>
      </c>
      <c r="D27" s="227">
        <f>C29</f>
        <v>4.1999999999999997E-3</v>
      </c>
      <c r="E27" s="228" t="s">
        <v>99</v>
      </c>
      <c r="F27" s="238">
        <f>'数据-取费表'!Q16</f>
        <v>0.14000000000000001</v>
      </c>
      <c r="G27" s="239" t="s">
        <v>431</v>
      </c>
    </row>
    <row r="28" spans="1:7" s="206" customFormat="1" ht="13.5" customHeight="1">
      <c r="A28" s="734" t="s">
        <v>349</v>
      </c>
      <c r="B28" s="240" t="s">
        <v>424</v>
      </c>
      <c r="C28" s="241">
        <f>ROUND((C5+C19+C20)*F27*'数据-取费表'!B21/'数据-取费表'!B20,0)</f>
        <v>2944</v>
      </c>
      <c r="D28" s="227"/>
      <c r="E28" s="228"/>
      <c r="F28" s="238"/>
      <c r="G28" s="239"/>
    </row>
    <row r="29" spans="1:7" s="206" customFormat="1" ht="13.5" customHeight="1">
      <c r="A29" s="734" t="s">
        <v>347</v>
      </c>
      <c r="B29" s="240" t="s">
        <v>425</v>
      </c>
      <c r="C29" s="230">
        <f>ROUND(C21*F27*'数据-取费表'!B21/'数据-取费表'!B20,4)</f>
        <v>4.1999999999999997E-3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27685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155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130</v>
      </c>
      <c r="D34" s="209"/>
      <c r="E34" s="212"/>
      <c r="F34" s="249">
        <f>IF('数据-取费表'!B24=0,1,'数据-取费表'!N16)</f>
        <v>1</v>
      </c>
      <c r="G34" s="211" t="s">
        <v>89</v>
      </c>
    </row>
    <row r="35" spans="1:7" ht="13.5" customHeight="1">
      <c r="A35" s="734" t="s">
        <v>351</v>
      </c>
      <c r="B35" s="207" t="s">
        <v>33</v>
      </c>
      <c r="C35" s="212">
        <f>ROUND(C34*F35,0)</f>
        <v>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11</v>
      </c>
      <c r="D36" s="212"/>
      <c r="E36" s="212"/>
      <c r="F36" s="251">
        <f>'数据-取费表'!B34</f>
        <v>0.1</v>
      </c>
      <c r="G36" s="252" t="s">
        <v>35</v>
      </c>
    </row>
    <row r="37" spans="1:7" s="250" customFormat="1" ht="13.5" customHeight="1">
      <c r="A37" s="734" t="s">
        <v>353</v>
      </c>
      <c r="B37" s="207" t="s">
        <v>91</v>
      </c>
      <c r="C37" s="241">
        <f>ROUND(E37*D37*F34/10000,0)</f>
        <v>4</v>
      </c>
      <c r="D37" s="209">
        <f>'数据-汇总表'!E3</f>
        <v>216.68</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5</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428" t="s">
        <v>94</v>
      </c>
    </row>
    <row r="43" spans="1:7" ht="13.5" customHeight="1">
      <c r="A43" s="734" t="s">
        <v>347</v>
      </c>
      <c r="B43" s="207" t="s">
        <v>426</v>
      </c>
      <c r="C43" s="230">
        <f ca="1">ROUND(IF('数据-取费表'!B22&lt;=1,C39*F22*'数据-取费表'!B21/2,C39*(POWER((1+F22),'数据-取费表'!B21/2)-1)),0)</f>
        <v>0</v>
      </c>
      <c r="D43" s="230"/>
      <c r="E43" s="230"/>
      <c r="F43" s="231"/>
      <c r="G43" s="3429"/>
    </row>
    <row r="44" spans="1:7" ht="13.5" customHeight="1">
      <c r="A44" s="734" t="s">
        <v>348</v>
      </c>
      <c r="B44" s="207" t="s">
        <v>428</v>
      </c>
      <c r="C44" s="230">
        <f ca="1">ROUND(IF('数据-取费表'!B22&lt;=1,C40*F22*'数据-取费表'!B21/2,C40*(POWER((1+F22),'数据-取费表'!B21/2)-1)),4)</f>
        <v>8.9999999999999998E-4</v>
      </c>
      <c r="D44" s="230"/>
      <c r="E44" s="230"/>
      <c r="F44" s="231"/>
      <c r="G44" s="3430"/>
    </row>
    <row r="45" spans="1:7" s="206" customFormat="1" ht="13.5" customHeight="1">
      <c r="A45" s="731" t="s">
        <v>341</v>
      </c>
      <c r="B45" s="236" t="s">
        <v>85</v>
      </c>
      <c r="C45" s="237">
        <f>C46</f>
        <v>22</v>
      </c>
      <c r="D45" s="227">
        <f>C47</f>
        <v>4.1999999999999997E-3</v>
      </c>
      <c r="E45" s="228" t="s">
        <v>102</v>
      </c>
      <c r="F45" s="238"/>
      <c r="G45" s="239" t="s">
        <v>434</v>
      </c>
    </row>
    <row r="46" spans="1:7" s="206" customFormat="1" ht="13.5" customHeight="1">
      <c r="A46" s="734" t="s">
        <v>349</v>
      </c>
      <c r="B46" s="240" t="s">
        <v>427</v>
      </c>
      <c r="C46" s="241">
        <f>ROUND((C33+C39)*F27,0)</f>
        <v>22</v>
      </c>
      <c r="D46" s="255"/>
      <c r="E46" s="228"/>
      <c r="F46" s="238"/>
      <c r="G46" s="239"/>
    </row>
    <row r="47" spans="1:7" s="206" customFormat="1" ht="13.5" customHeight="1">
      <c r="A47" s="734" t="s">
        <v>347</v>
      </c>
      <c r="B47" s="240" t="s">
        <v>429</v>
      </c>
      <c r="C47" s="230">
        <f>ROUND(C40*F27,4)</f>
        <v>4.1999999999999997E-3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203</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168</v>
      </c>
      <c r="D51" s="224"/>
      <c r="E51" s="224"/>
      <c r="F51" s="256"/>
      <c r="G51" s="226" t="s">
        <v>37</v>
      </c>
    </row>
    <row r="52" spans="1:7" s="200" customFormat="1" ht="16.8" thickBot="1">
      <c r="A52" s="257" t="s">
        <v>38</v>
      </c>
      <c r="B52" s="258"/>
      <c r="C52" s="259">
        <f ca="1">C31+C51</f>
        <v>27853</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21"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565" t="s">
        <v>3178</v>
      </c>
      <c r="B1" s="3565"/>
    </row>
    <row r="2" spans="1:7" ht="15" thickBot="1">
      <c r="A2" s="2964"/>
      <c r="B2" s="2964"/>
    </row>
    <row r="3" spans="1:7" ht="15" thickBot="1">
      <c r="A3" s="2964"/>
      <c r="B3" s="2964"/>
      <c r="C3" s="2965" t="s">
        <v>2808</v>
      </c>
      <c r="D3" s="2965" t="s">
        <v>2864</v>
      </c>
      <c r="E3" s="2965" t="s">
        <v>2810</v>
      </c>
      <c r="F3" s="2965" t="s">
        <v>2865</v>
      </c>
      <c r="G3" s="2965" t="s">
        <v>2628</v>
      </c>
    </row>
    <row r="4" spans="1:7" ht="15" thickBot="1">
      <c r="A4" s="2966" t="s">
        <v>2863</v>
      </c>
      <c r="B4" s="2967" t="s">
        <v>2869</v>
      </c>
      <c r="C4" s="2965"/>
      <c r="D4" s="2965"/>
      <c r="E4" s="2965"/>
      <c r="F4" s="2965"/>
      <c r="G4" s="2965"/>
    </row>
    <row r="5" spans="1:7">
      <c r="A5" s="2968" t="s">
        <v>2837</v>
      </c>
      <c r="B5" s="2969" t="s">
        <v>2851</v>
      </c>
      <c r="C5" s="2970">
        <v>9.8000000000000004E-2</v>
      </c>
      <c r="D5" s="2970">
        <v>8.6999999999999994E-2</v>
      </c>
      <c r="E5" s="2970">
        <v>8.6999999999999994E-2</v>
      </c>
      <c r="F5" s="2970">
        <v>9.8000000000000004E-2</v>
      </c>
      <c r="G5" s="2971">
        <v>9.5000000000000001E-2</v>
      </c>
    </row>
    <row r="6" spans="1:7">
      <c r="A6" s="2972" t="s">
        <v>144</v>
      </c>
      <c r="B6" s="2973" t="s">
        <v>2866</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2852</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2902</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2920</v>
      </c>
      <c r="C29" s="2982"/>
      <c r="D29" s="2978">
        <v>5.1999999999999998E-2</v>
      </c>
      <c r="E29" s="2978">
        <v>7.0000000000000007E-2</v>
      </c>
      <c r="F29" s="2982"/>
      <c r="G29" s="2980">
        <v>7.0999999999999994E-2</v>
      </c>
    </row>
    <row r="30" spans="1:7">
      <c r="A30" s="2983" t="s">
        <v>296</v>
      </c>
      <c r="B30" s="2969" t="s">
        <v>2853</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2839</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2923</v>
      </c>
      <c r="C50" s="2974">
        <v>9.8000000000000004E-2</v>
      </c>
      <c r="D50" s="2974">
        <v>7.2999999999999995E-2</v>
      </c>
      <c r="E50" s="2974">
        <v>7.0999999999999994E-2</v>
      </c>
      <c r="F50" s="2985"/>
      <c r="G50" s="2975">
        <v>7.2999999999999995E-2</v>
      </c>
    </row>
    <row r="51" spans="1:7">
      <c r="A51" s="2984" t="s">
        <v>296</v>
      </c>
      <c r="B51" s="2973" t="s">
        <v>2925</v>
      </c>
      <c r="C51" s="2974">
        <v>9.9000000000000005E-2</v>
      </c>
      <c r="D51" s="2974">
        <v>8.5000000000000006E-2</v>
      </c>
      <c r="E51" s="2974">
        <v>6.3E-2</v>
      </c>
      <c r="F51" s="2985"/>
      <c r="G51" s="2975">
        <v>9.6000000000000002E-2</v>
      </c>
    </row>
    <row r="52" spans="1:7">
      <c r="A52" s="2984" t="s">
        <v>296</v>
      </c>
      <c r="B52" s="2973" t="s">
        <v>2929</v>
      </c>
      <c r="C52" s="2974">
        <v>7.3999999999999996E-2</v>
      </c>
      <c r="D52" s="2974">
        <v>9.6000000000000002E-2</v>
      </c>
      <c r="E52" s="2974">
        <v>0.05</v>
      </c>
      <c r="F52" s="2985"/>
      <c r="G52" s="2975">
        <v>9.8000000000000004E-2</v>
      </c>
    </row>
    <row r="53" spans="1:7">
      <c r="A53" s="2984" t="s">
        <v>296</v>
      </c>
      <c r="B53" s="2973" t="s">
        <v>2934</v>
      </c>
      <c r="C53" s="2974">
        <v>8.5999999999999993E-2</v>
      </c>
      <c r="D53" s="2985"/>
      <c r="E53" s="2974">
        <v>9.1999999999999998E-2</v>
      </c>
      <c r="F53" s="2985"/>
      <c r="G53" s="2986"/>
    </row>
    <row r="54" spans="1:7" ht="15" thickBot="1">
      <c r="A54" s="2987" t="s">
        <v>296</v>
      </c>
      <c r="B54" s="2977" t="s">
        <v>2937</v>
      </c>
      <c r="C54" s="2978">
        <v>9.6000000000000002E-2</v>
      </c>
      <c r="D54" s="2979"/>
      <c r="E54" s="2988"/>
      <c r="F54" s="2979"/>
      <c r="G54" s="2989"/>
    </row>
    <row r="55" spans="1:7">
      <c r="A55" s="2983" t="s">
        <v>110</v>
      </c>
      <c r="B55" s="2969" t="s">
        <v>2854</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2935</v>
      </c>
      <c r="C78" s="2974">
        <v>0.1</v>
      </c>
      <c r="D78" s="2974">
        <v>8.5000000000000006E-2</v>
      </c>
      <c r="E78" s="2974">
        <v>9.6000000000000002E-2</v>
      </c>
      <c r="F78" s="2985"/>
      <c r="G78" s="2975">
        <v>9.6000000000000002E-2</v>
      </c>
    </row>
    <row r="79" spans="1:7">
      <c r="A79" s="2984" t="s">
        <v>110</v>
      </c>
      <c r="B79" s="2973" t="s">
        <v>2938</v>
      </c>
      <c r="C79" s="2974">
        <v>0.05</v>
      </c>
      <c r="D79" s="2974">
        <v>9.6000000000000002E-2</v>
      </c>
      <c r="E79" s="2974">
        <v>9.5000000000000001E-2</v>
      </c>
      <c r="F79" s="2985"/>
      <c r="G79" s="2975">
        <v>9.8000000000000004E-2</v>
      </c>
    </row>
    <row r="80" spans="1:7">
      <c r="A80" s="2984" t="s">
        <v>110</v>
      </c>
      <c r="B80" s="2973" t="s">
        <v>2942</v>
      </c>
      <c r="C80" s="2974">
        <v>8.5999999999999993E-2</v>
      </c>
      <c r="D80" s="2990"/>
      <c r="E80" s="2974">
        <v>0.1</v>
      </c>
      <c r="F80" s="2985"/>
      <c r="G80" s="2986"/>
    </row>
    <row r="81" spans="1:7">
      <c r="A81" s="2984" t="s">
        <v>110</v>
      </c>
      <c r="B81" s="2973" t="s">
        <v>2947</v>
      </c>
      <c r="C81" s="2974">
        <v>9.6000000000000002E-2</v>
      </c>
      <c r="D81" s="2985"/>
      <c r="E81" s="2974">
        <v>9.8000000000000004E-2</v>
      </c>
      <c r="F81" s="2985"/>
      <c r="G81" s="2986"/>
    </row>
    <row r="82" spans="1:7">
      <c r="A82" s="2984" t="s">
        <v>110</v>
      </c>
      <c r="B82" s="2973" t="s">
        <v>2954</v>
      </c>
      <c r="C82" s="2990"/>
      <c r="D82" s="2985"/>
      <c r="E82" s="2974">
        <v>7.6999999999999999E-2</v>
      </c>
      <c r="F82" s="2985"/>
      <c r="G82" s="2986"/>
    </row>
    <row r="83" spans="1:7">
      <c r="A83" s="2984" t="s">
        <v>110</v>
      </c>
      <c r="B83" s="2973" t="s">
        <v>2960</v>
      </c>
      <c r="C83" s="2985"/>
      <c r="D83" s="2985"/>
      <c r="E83" s="2985"/>
      <c r="F83" s="2974">
        <v>0.1</v>
      </c>
      <c r="G83" s="2991"/>
    </row>
    <row r="84" spans="1:7">
      <c r="A84" s="2984" t="s">
        <v>110</v>
      </c>
      <c r="B84" s="2973" t="s">
        <v>2967</v>
      </c>
      <c r="C84" s="2985"/>
      <c r="D84" s="2985"/>
      <c r="E84" s="2985"/>
      <c r="F84" s="2974">
        <v>0.1</v>
      </c>
      <c r="G84" s="2991"/>
    </row>
    <row r="85" spans="1:7">
      <c r="A85" s="2984" t="s">
        <v>110</v>
      </c>
      <c r="B85" s="2973" t="s">
        <v>2974</v>
      </c>
      <c r="C85" s="2985"/>
      <c r="D85" s="2985"/>
      <c r="E85" s="2985"/>
      <c r="F85" s="2974">
        <v>0.1</v>
      </c>
      <c r="G85" s="2991"/>
    </row>
    <row r="86" spans="1:7" ht="15" thickBot="1">
      <c r="A86" s="2987" t="s">
        <v>110</v>
      </c>
      <c r="B86" s="2977" t="s">
        <v>2979</v>
      </c>
      <c r="C86" s="2978">
        <v>9.8000000000000004E-2</v>
      </c>
      <c r="D86" s="2978">
        <v>9.8000000000000004E-2</v>
      </c>
      <c r="E86" s="2978">
        <v>9.6000000000000002E-2</v>
      </c>
      <c r="F86" s="2988"/>
      <c r="G86" s="2980">
        <v>0.1</v>
      </c>
    </row>
    <row r="87" spans="1:7">
      <c r="A87" s="2983" t="s">
        <v>303</v>
      </c>
      <c r="B87" s="2969" t="s">
        <v>2855</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2948</v>
      </c>
      <c r="C113" s="2974">
        <v>0.1</v>
      </c>
      <c r="D113" s="2974">
        <v>0.1</v>
      </c>
      <c r="E113" s="2985"/>
      <c r="F113" s="2985"/>
      <c r="G113" s="2975">
        <v>0.1</v>
      </c>
    </row>
    <row r="114" spans="1:7">
      <c r="A114" s="2984" t="s">
        <v>303</v>
      </c>
      <c r="B114" s="2973" t="s">
        <v>2955</v>
      </c>
      <c r="C114" s="2974">
        <v>9.7000000000000003E-2</v>
      </c>
      <c r="D114" s="2974">
        <v>9.7000000000000003E-2</v>
      </c>
      <c r="E114" s="2985"/>
      <c r="F114" s="2985"/>
      <c r="G114" s="2975">
        <v>9.9000000000000005E-2</v>
      </c>
    </row>
    <row r="115" spans="1:7">
      <c r="A115" s="2984" t="s">
        <v>303</v>
      </c>
      <c r="B115" s="2973" t="s">
        <v>2961</v>
      </c>
      <c r="C115" s="2974">
        <v>0.1</v>
      </c>
      <c r="D115" s="2974">
        <v>0.1</v>
      </c>
      <c r="E115" s="2985"/>
      <c r="F115" s="2985"/>
      <c r="G115" s="2975">
        <v>0.1</v>
      </c>
    </row>
    <row r="116" spans="1:7">
      <c r="A116" s="2984" t="s">
        <v>303</v>
      </c>
      <c r="B116" s="2973" t="s">
        <v>2968</v>
      </c>
      <c r="C116" s="2974">
        <v>0.1</v>
      </c>
      <c r="D116" s="2974">
        <v>0.1</v>
      </c>
      <c r="E116" s="2985"/>
      <c r="F116" s="2985"/>
      <c r="G116" s="2975">
        <v>0.1</v>
      </c>
    </row>
    <row r="117" spans="1:7">
      <c r="A117" s="2984" t="s">
        <v>303</v>
      </c>
      <c r="B117" s="2973" t="s">
        <v>2975</v>
      </c>
      <c r="C117" s="2974">
        <v>9.7000000000000003E-2</v>
      </c>
      <c r="D117" s="2974">
        <v>9.7000000000000003E-2</v>
      </c>
      <c r="E117" s="2985"/>
      <c r="F117" s="2985"/>
      <c r="G117" s="2975">
        <v>9.7000000000000003E-2</v>
      </c>
    </row>
    <row r="118" spans="1:7">
      <c r="A118" s="2984" t="s">
        <v>303</v>
      </c>
      <c r="B118" s="2973" t="s">
        <v>2980</v>
      </c>
      <c r="C118" s="2974">
        <v>0.1</v>
      </c>
      <c r="D118" s="2974">
        <v>0.1</v>
      </c>
      <c r="E118" s="2985"/>
      <c r="F118" s="2985"/>
      <c r="G118" s="2975">
        <v>0.1</v>
      </c>
    </row>
    <row r="119" spans="1:7">
      <c r="A119" s="2984" t="s">
        <v>303</v>
      </c>
      <c r="B119" s="2973" t="s">
        <v>2984</v>
      </c>
      <c r="C119" s="2974">
        <v>5.0999999999999997E-2</v>
      </c>
      <c r="D119" s="2974">
        <v>5.1999999999999998E-2</v>
      </c>
      <c r="E119" s="2985"/>
      <c r="F119" s="2990"/>
      <c r="G119" s="2975">
        <v>0.06</v>
      </c>
    </row>
    <row r="120" spans="1:7">
      <c r="A120" s="2984" t="s">
        <v>303</v>
      </c>
      <c r="B120" s="2973" t="s">
        <v>2988</v>
      </c>
      <c r="C120" s="2985"/>
      <c r="D120" s="2985"/>
      <c r="E120" s="2985"/>
      <c r="F120" s="2974">
        <v>0.1</v>
      </c>
      <c r="G120" s="2991"/>
    </row>
    <row r="121" spans="1:7">
      <c r="A121" s="2984" t="s">
        <v>303</v>
      </c>
      <c r="B121" s="2973" t="s">
        <v>2993</v>
      </c>
      <c r="C121" s="2985"/>
      <c r="D121" s="2985"/>
      <c r="E121" s="2985"/>
      <c r="F121" s="2974">
        <v>0.1</v>
      </c>
      <c r="G121" s="2991"/>
    </row>
    <row r="122" spans="1:7">
      <c r="A122" s="2984" t="s">
        <v>303</v>
      </c>
      <c r="B122" s="2973" t="s">
        <v>2998</v>
      </c>
      <c r="C122" s="2974">
        <v>0.1</v>
      </c>
      <c r="D122" s="2974">
        <v>0.1</v>
      </c>
      <c r="E122" s="2974">
        <v>9.8000000000000004E-2</v>
      </c>
      <c r="F122" s="2974">
        <v>0.1</v>
      </c>
      <c r="G122" s="2975">
        <v>0.1</v>
      </c>
    </row>
    <row r="123" spans="1:7">
      <c r="A123" s="2984" t="s">
        <v>303</v>
      </c>
      <c r="B123" s="2973" t="s">
        <v>3003</v>
      </c>
      <c r="C123" s="2974">
        <v>0.1</v>
      </c>
      <c r="D123" s="2974">
        <v>0.1</v>
      </c>
      <c r="E123" s="2974">
        <v>9.8000000000000004E-2</v>
      </c>
      <c r="F123" s="2974">
        <v>0.1</v>
      </c>
      <c r="G123" s="2975">
        <v>0.1</v>
      </c>
    </row>
    <row r="124" spans="1:7">
      <c r="A124" s="2984" t="s">
        <v>303</v>
      </c>
      <c r="B124" s="2973" t="s">
        <v>3008</v>
      </c>
      <c r="C124" s="2974">
        <v>0.1</v>
      </c>
      <c r="D124" s="2974">
        <v>0.1</v>
      </c>
      <c r="E124" s="2974">
        <v>9.8000000000000004E-2</v>
      </c>
      <c r="F124" s="2990"/>
      <c r="G124" s="2975">
        <v>0.1</v>
      </c>
    </row>
    <row r="125" spans="1:7">
      <c r="A125" s="2984" t="s">
        <v>303</v>
      </c>
      <c r="B125" s="2973" t="s">
        <v>3013</v>
      </c>
      <c r="C125" s="2974">
        <v>9.8000000000000004E-2</v>
      </c>
      <c r="D125" s="2974">
        <v>9.8000000000000004E-2</v>
      </c>
      <c r="E125" s="2974">
        <v>9.6000000000000002E-2</v>
      </c>
      <c r="F125" s="2990"/>
      <c r="G125" s="2975">
        <v>0.1</v>
      </c>
    </row>
    <row r="126" spans="1:7" ht="15" thickBot="1">
      <c r="A126" s="2987" t="s">
        <v>303</v>
      </c>
      <c r="B126" s="2977" t="s">
        <v>3179</v>
      </c>
      <c r="C126" s="2978">
        <v>0.1</v>
      </c>
      <c r="D126" s="2978">
        <v>0.1</v>
      </c>
      <c r="E126" s="2978">
        <v>9.8000000000000004E-2</v>
      </c>
      <c r="F126" s="2978">
        <v>0.1</v>
      </c>
      <c r="G126" s="2980">
        <v>0.1</v>
      </c>
    </row>
    <row r="127" spans="1:7">
      <c r="A127" s="2983" t="s">
        <v>29</v>
      </c>
      <c r="B127" s="2969" t="s">
        <v>2856</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2926</v>
      </c>
      <c r="C148" s="2974">
        <v>0.13</v>
      </c>
      <c r="D148" s="2974">
        <v>0.13</v>
      </c>
      <c r="E148" s="2974">
        <v>0.13</v>
      </c>
      <c r="F148" s="2985"/>
      <c r="G148" s="2975">
        <v>0.13</v>
      </c>
    </row>
    <row r="149" spans="1:7">
      <c r="A149" s="2984" t="s">
        <v>29</v>
      </c>
      <c r="B149" s="2973" t="s">
        <v>2930</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2949</v>
      </c>
      <c r="C153" s="2974">
        <v>0.13</v>
      </c>
      <c r="D153" s="2974">
        <v>0.13</v>
      </c>
      <c r="E153" s="2974">
        <v>0.13</v>
      </c>
      <c r="F153" s="2974">
        <v>0.13</v>
      </c>
      <c r="G153" s="2975">
        <v>0.13</v>
      </c>
    </row>
    <row r="154" spans="1:7">
      <c r="A154" s="2984" t="s">
        <v>29</v>
      </c>
      <c r="B154" s="2973" t="s">
        <v>2956</v>
      </c>
      <c r="C154" s="2974">
        <v>0.121</v>
      </c>
      <c r="D154" s="2974">
        <v>0.121</v>
      </c>
      <c r="E154" s="2974">
        <v>0.105</v>
      </c>
      <c r="F154" s="2974">
        <v>0.121</v>
      </c>
      <c r="G154" s="2975">
        <v>0.123</v>
      </c>
    </row>
    <row r="155" spans="1:7">
      <c r="A155" s="2984" t="s">
        <v>29</v>
      </c>
      <c r="B155" s="2973" t="s">
        <v>2962</v>
      </c>
      <c r="C155" s="2974">
        <v>0.1</v>
      </c>
      <c r="D155" s="2974">
        <v>0.1</v>
      </c>
      <c r="E155" s="2974">
        <v>0.1</v>
      </c>
      <c r="F155" s="2974">
        <v>0.1</v>
      </c>
      <c r="G155" s="2975">
        <v>0.1</v>
      </c>
    </row>
    <row r="156" spans="1:7">
      <c r="A156" s="2984" t="s">
        <v>29</v>
      </c>
      <c r="B156" s="2973" t="s">
        <v>2969</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2989</v>
      </c>
      <c r="C160" s="2974">
        <v>0.13</v>
      </c>
      <c r="D160" s="2974">
        <v>0.13</v>
      </c>
      <c r="E160" s="2974">
        <v>0.124</v>
      </c>
      <c r="F160" s="2974">
        <v>0.126</v>
      </c>
      <c r="G160" s="2975">
        <v>0.13</v>
      </c>
    </row>
    <row r="161" spans="1:7">
      <c r="A161" s="2984" t="s">
        <v>29</v>
      </c>
      <c r="B161" s="2973" t="s">
        <v>2994</v>
      </c>
      <c r="C161" s="2974">
        <v>0.13</v>
      </c>
      <c r="D161" s="2974">
        <v>0.13</v>
      </c>
      <c r="E161" s="2974">
        <v>0.124</v>
      </c>
      <c r="F161" s="2974">
        <v>0.127</v>
      </c>
      <c r="G161" s="2975">
        <v>0.13</v>
      </c>
    </row>
    <row r="162" spans="1:7">
      <c r="A162" s="2984" t="s">
        <v>29</v>
      </c>
      <c r="B162" s="2973" t="s">
        <v>2999</v>
      </c>
      <c r="C162" s="2974">
        <v>0.1</v>
      </c>
      <c r="D162" s="2974">
        <v>0.1</v>
      </c>
      <c r="E162" s="2974">
        <v>0.1</v>
      </c>
      <c r="F162" s="2974">
        <v>0.121</v>
      </c>
      <c r="G162" s="2975">
        <v>0.105</v>
      </c>
    </row>
    <row r="163" spans="1:7">
      <c r="A163" s="2984" t="s">
        <v>29</v>
      </c>
      <c r="B163" s="2973" t="s">
        <v>3004</v>
      </c>
      <c r="C163" s="2974">
        <v>0.1</v>
      </c>
      <c r="D163" s="2974">
        <v>0.1</v>
      </c>
      <c r="E163" s="2974">
        <v>0.1</v>
      </c>
      <c r="F163" s="2974">
        <v>0.1</v>
      </c>
      <c r="G163" s="2975">
        <v>0.1</v>
      </c>
    </row>
    <row r="164" spans="1:7">
      <c r="A164" s="2984" t="s">
        <v>29</v>
      </c>
      <c r="B164" s="2973" t="s">
        <v>3009</v>
      </c>
      <c r="C164" s="2990"/>
      <c r="D164" s="2990"/>
      <c r="E164" s="2990"/>
      <c r="F164" s="2974">
        <v>0.1</v>
      </c>
      <c r="G164" s="2986"/>
    </row>
    <row r="165" spans="1:7">
      <c r="A165" s="2984" t="s">
        <v>29</v>
      </c>
      <c r="B165" s="2973" t="s">
        <v>3180</v>
      </c>
      <c r="C165" s="2974">
        <v>0.126</v>
      </c>
      <c r="D165" s="2974">
        <v>0.126</v>
      </c>
      <c r="E165" s="2974">
        <v>0.11899999999999999</v>
      </c>
      <c r="F165" s="2974">
        <v>0.13</v>
      </c>
      <c r="G165" s="2975">
        <v>0.128</v>
      </c>
    </row>
    <row r="166" spans="1:7">
      <c r="A166" s="2984" t="s">
        <v>29</v>
      </c>
      <c r="B166" s="2973" t="s">
        <v>3019</v>
      </c>
      <c r="C166" s="2974">
        <v>0.129</v>
      </c>
      <c r="D166" s="2974">
        <v>0.129</v>
      </c>
      <c r="E166" s="2974">
        <v>0.123</v>
      </c>
      <c r="F166" s="2974">
        <v>0.128</v>
      </c>
      <c r="G166" s="2975">
        <v>0.13</v>
      </c>
    </row>
    <row r="167" spans="1:7">
      <c r="A167" s="2984" t="s">
        <v>29</v>
      </c>
      <c r="B167" s="2973" t="s">
        <v>3023</v>
      </c>
      <c r="C167" s="2974">
        <v>0.125</v>
      </c>
      <c r="D167" s="2974">
        <v>0.125</v>
      </c>
      <c r="E167" s="2974">
        <v>0.11700000000000001</v>
      </c>
      <c r="F167" s="2974">
        <v>0.13</v>
      </c>
      <c r="G167" s="2975">
        <v>0.126</v>
      </c>
    </row>
    <row r="168" spans="1:7">
      <c r="A168" s="2984" t="s">
        <v>29</v>
      </c>
      <c r="B168" s="2973" t="s">
        <v>3028</v>
      </c>
      <c r="C168" s="2974">
        <v>0.128</v>
      </c>
      <c r="D168" s="2974">
        <v>0.128</v>
      </c>
      <c r="E168" s="2974">
        <v>0.123</v>
      </c>
      <c r="F168" s="2985"/>
      <c r="G168" s="2975">
        <v>0.13</v>
      </c>
    </row>
    <row r="169" spans="1:7">
      <c r="A169" s="2984" t="s">
        <v>29</v>
      </c>
      <c r="B169" s="2973" t="s">
        <v>3181</v>
      </c>
      <c r="C169" s="2990"/>
      <c r="D169" s="2990"/>
      <c r="E169" s="2990"/>
      <c r="F169" s="2974">
        <v>0.05</v>
      </c>
      <c r="G169" s="2986"/>
    </row>
    <row r="170" spans="1:7">
      <c r="A170" s="2984" t="s">
        <v>29</v>
      </c>
      <c r="B170" s="2973" t="s">
        <v>3182</v>
      </c>
      <c r="C170" s="2990"/>
      <c r="D170" s="2990"/>
      <c r="E170" s="2990"/>
      <c r="F170" s="2974">
        <v>0.05</v>
      </c>
      <c r="G170" s="2986"/>
    </row>
    <row r="171" spans="1:7">
      <c r="A171" s="2984" t="s">
        <v>29</v>
      </c>
      <c r="B171" s="2973" t="s">
        <v>3183</v>
      </c>
      <c r="C171" s="2990"/>
      <c r="D171" s="2990"/>
      <c r="E171" s="2990"/>
      <c r="F171" s="2974">
        <v>0.05</v>
      </c>
      <c r="G171" s="2991"/>
    </row>
    <row r="172" spans="1:7">
      <c r="A172" s="2984" t="s">
        <v>29</v>
      </c>
      <c r="B172" s="2973" t="s">
        <v>3184</v>
      </c>
      <c r="C172" s="2990"/>
      <c r="D172" s="2990"/>
      <c r="E172" s="2990"/>
      <c r="F172" s="2974">
        <v>0.05</v>
      </c>
      <c r="G172" s="2991"/>
    </row>
    <row r="173" spans="1:7">
      <c r="A173" s="2984" t="s">
        <v>29</v>
      </c>
      <c r="B173" s="2973" t="s">
        <v>3185</v>
      </c>
      <c r="C173" s="2990"/>
      <c r="D173" s="2990"/>
      <c r="E173" s="2990"/>
      <c r="F173" s="2974">
        <v>0.05</v>
      </c>
      <c r="G173" s="2986"/>
    </row>
    <row r="174" spans="1:7">
      <c r="A174" s="2984" t="s">
        <v>29</v>
      </c>
      <c r="B174" s="2973" t="s">
        <v>3186</v>
      </c>
      <c r="C174" s="2990"/>
      <c r="D174" s="2990"/>
      <c r="E174" s="2990"/>
      <c r="F174" s="2974">
        <v>0.05</v>
      </c>
      <c r="G174" s="2986"/>
    </row>
    <row r="175" spans="1:7">
      <c r="A175" s="2984" t="s">
        <v>29</v>
      </c>
      <c r="B175" s="2973" t="s">
        <v>3187</v>
      </c>
      <c r="C175" s="2990"/>
      <c r="D175" s="2990"/>
      <c r="E175" s="2990"/>
      <c r="F175" s="2974">
        <v>0.05</v>
      </c>
      <c r="G175" s="2986"/>
    </row>
    <row r="176" spans="1:7">
      <c r="A176" s="2984" t="s">
        <v>29</v>
      </c>
      <c r="B176" s="2973" t="s">
        <v>3188</v>
      </c>
      <c r="C176" s="2990"/>
      <c r="D176" s="2990"/>
      <c r="E176" s="2990"/>
      <c r="F176" s="2974">
        <v>0.05</v>
      </c>
      <c r="G176" s="2986"/>
    </row>
    <row r="177" spans="1:7">
      <c r="A177" s="2984" t="s">
        <v>29</v>
      </c>
      <c r="B177" s="2973" t="s">
        <v>3189</v>
      </c>
      <c r="C177" s="2985"/>
      <c r="D177" s="2985"/>
      <c r="E177" s="2985"/>
      <c r="F177" s="2974">
        <v>0.05</v>
      </c>
      <c r="G177" s="2991"/>
    </row>
    <row r="178" spans="1:7">
      <c r="A178" s="2984" t="s">
        <v>29</v>
      </c>
      <c r="B178" s="2973" t="s">
        <v>3190</v>
      </c>
      <c r="C178" s="2985"/>
      <c r="D178" s="2985"/>
      <c r="E178" s="2985"/>
      <c r="F178" s="2974">
        <v>0.05</v>
      </c>
      <c r="G178" s="2991"/>
    </row>
    <row r="179" spans="1:7">
      <c r="A179" s="2984" t="s">
        <v>29</v>
      </c>
      <c r="B179" s="2973" t="s">
        <v>3191</v>
      </c>
      <c r="C179" s="2985"/>
      <c r="D179" s="2985"/>
      <c r="E179" s="2985"/>
      <c r="F179" s="2974">
        <v>0.05</v>
      </c>
      <c r="G179" s="2991"/>
    </row>
    <row r="180" spans="1:7">
      <c r="A180" s="2984" t="s">
        <v>29</v>
      </c>
      <c r="B180" s="2973" t="s">
        <v>3192</v>
      </c>
      <c r="C180" s="2985"/>
      <c r="D180" s="2985"/>
      <c r="E180" s="2985"/>
      <c r="F180" s="2974">
        <v>0.05</v>
      </c>
      <c r="G180" s="2991"/>
    </row>
    <row r="181" spans="1:7">
      <c r="A181" s="2984" t="s">
        <v>29</v>
      </c>
      <c r="B181" s="2973" t="s">
        <v>3193</v>
      </c>
      <c r="C181" s="2985"/>
      <c r="D181" s="2985"/>
      <c r="E181" s="2985"/>
      <c r="F181" s="2974">
        <v>0.05</v>
      </c>
      <c r="G181" s="2991"/>
    </row>
    <row r="182" spans="1:7">
      <c r="A182" s="2984" t="s">
        <v>29</v>
      </c>
      <c r="B182" s="2973" t="s">
        <v>3194</v>
      </c>
      <c r="C182" s="2985"/>
      <c r="D182" s="2985"/>
      <c r="E182" s="2985"/>
      <c r="F182" s="2974">
        <v>0.05</v>
      </c>
      <c r="G182" s="2991"/>
    </row>
    <row r="183" spans="1:7">
      <c r="A183" s="2984" t="s">
        <v>29</v>
      </c>
      <c r="B183" s="2973" t="s">
        <v>3195</v>
      </c>
      <c r="C183" s="2985"/>
      <c r="D183" s="2985"/>
      <c r="E183" s="2985"/>
      <c r="F183" s="2974">
        <v>0.05</v>
      </c>
      <c r="G183" s="2991"/>
    </row>
    <row r="184" spans="1:7">
      <c r="A184" s="2984" t="s">
        <v>29</v>
      </c>
      <c r="B184" s="2973" t="s">
        <v>3196</v>
      </c>
      <c r="C184" s="2985"/>
      <c r="D184" s="2985"/>
      <c r="E184" s="2985"/>
      <c r="F184" s="2974">
        <v>0.05</v>
      </c>
      <c r="G184" s="2991"/>
    </row>
    <row r="185" spans="1:7">
      <c r="A185" s="2984" t="s">
        <v>29</v>
      </c>
      <c r="B185" s="2973" t="s">
        <v>3197</v>
      </c>
      <c r="C185" s="2985"/>
      <c r="D185" s="2985"/>
      <c r="E185" s="2985"/>
      <c r="F185" s="2974">
        <v>0.05</v>
      </c>
      <c r="G185" s="2991"/>
    </row>
    <row r="186" spans="1:7">
      <c r="A186" s="2984" t="s">
        <v>29</v>
      </c>
      <c r="B186" s="2973" t="s">
        <v>3198</v>
      </c>
      <c r="C186" s="2985"/>
      <c r="D186" s="2985"/>
      <c r="E186" s="2985"/>
      <c r="F186" s="2974">
        <v>0.05</v>
      </c>
      <c r="G186" s="2991"/>
    </row>
    <row r="187" spans="1:7">
      <c r="A187" s="2984" t="s">
        <v>29</v>
      </c>
      <c r="B187" s="2973" t="s">
        <v>3199</v>
      </c>
      <c r="C187" s="2985"/>
      <c r="D187" s="2985"/>
      <c r="E187" s="2985"/>
      <c r="F187" s="2974">
        <v>0.05</v>
      </c>
      <c r="G187" s="2991"/>
    </row>
    <row r="188" spans="1:7">
      <c r="A188" s="2984" t="s">
        <v>29</v>
      </c>
      <c r="B188" s="2973" t="s">
        <v>3200</v>
      </c>
      <c r="C188" s="2985"/>
      <c r="D188" s="2985"/>
      <c r="E188" s="2985"/>
      <c r="F188" s="2974">
        <v>0.05</v>
      </c>
      <c r="G188" s="2991"/>
    </row>
    <row r="189" spans="1:7" ht="15" thickBot="1">
      <c r="A189" s="2987" t="s">
        <v>29</v>
      </c>
      <c r="B189" s="2977" t="s">
        <v>3201</v>
      </c>
      <c r="C189" s="2979"/>
      <c r="D189" s="2979"/>
      <c r="E189" s="2979"/>
      <c r="F189" s="2978">
        <v>0.05</v>
      </c>
      <c r="G189" s="2992"/>
    </row>
    <row r="190" spans="1:7">
      <c r="A190" s="2983" t="s">
        <v>304</v>
      </c>
      <c r="B190" s="2969" t="s">
        <v>2857</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2893</v>
      </c>
      <c r="C199" s="2974">
        <v>0.13</v>
      </c>
      <c r="D199" s="2974">
        <v>0.13</v>
      </c>
      <c r="E199" s="2974">
        <v>0.13</v>
      </c>
      <c r="F199" s="2974">
        <v>0.13</v>
      </c>
      <c r="G199" s="2975">
        <v>0.13</v>
      </c>
    </row>
    <row r="200" spans="1:7">
      <c r="A200" s="2984" t="s">
        <v>304</v>
      </c>
      <c r="B200" s="2973" t="s">
        <v>2896</v>
      </c>
      <c r="C200" s="2990"/>
      <c r="D200" s="2990"/>
      <c r="E200" s="2990"/>
      <c r="F200" s="2974">
        <v>0.13</v>
      </c>
      <c r="G200" s="2986"/>
    </row>
    <row r="201" spans="1:7">
      <c r="A201" s="2984" t="s">
        <v>304</v>
      </c>
      <c r="B201" s="2973" t="s">
        <v>2901</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2904</v>
      </c>
      <c r="C203" s="2974">
        <v>0.129</v>
      </c>
      <c r="D203" s="2974">
        <v>0.129</v>
      </c>
      <c r="E203" s="2974">
        <v>0.13</v>
      </c>
      <c r="F203" s="2974">
        <v>0.13</v>
      </c>
      <c r="G203" s="2975">
        <v>0.13</v>
      </c>
    </row>
    <row r="204" spans="1:7">
      <c r="A204" s="2984" t="s">
        <v>304</v>
      </c>
      <c r="B204" s="2973" t="s">
        <v>2907</v>
      </c>
      <c r="C204" s="2974">
        <v>0.129</v>
      </c>
      <c r="D204" s="2974">
        <v>0.129</v>
      </c>
      <c r="E204" s="2974">
        <v>0.123</v>
      </c>
      <c r="F204" s="2974">
        <v>0.13</v>
      </c>
      <c r="G204" s="2975">
        <v>0.13</v>
      </c>
    </row>
    <row r="205" spans="1:7">
      <c r="A205" s="2984" t="s">
        <v>304</v>
      </c>
      <c r="B205" s="2973" t="s">
        <v>2909</v>
      </c>
      <c r="C205" s="2974">
        <v>0.13</v>
      </c>
      <c r="D205" s="2974">
        <v>0.13</v>
      </c>
      <c r="E205" s="2974">
        <v>0.13</v>
      </c>
      <c r="F205" s="2974">
        <v>0.13</v>
      </c>
      <c r="G205" s="2975">
        <v>0.13</v>
      </c>
    </row>
    <row r="206" spans="1:7">
      <c r="A206" s="2984" t="s">
        <v>304</v>
      </c>
      <c r="B206" s="2973" t="s">
        <v>2912</v>
      </c>
      <c r="C206" s="2974">
        <v>0.13</v>
      </c>
      <c r="D206" s="2974">
        <v>0.13</v>
      </c>
      <c r="E206" s="2974">
        <v>0.13</v>
      </c>
      <c r="F206" s="2974">
        <v>0.128</v>
      </c>
      <c r="G206" s="2975">
        <v>0.13</v>
      </c>
    </row>
    <row r="207" spans="1:7">
      <c r="A207" s="2984" t="s">
        <v>304</v>
      </c>
      <c r="B207" s="2973" t="s">
        <v>2914</v>
      </c>
      <c r="C207" s="2974">
        <v>0.13</v>
      </c>
      <c r="D207" s="2974">
        <v>0.13</v>
      </c>
      <c r="E207" s="2974">
        <v>0.13</v>
      </c>
      <c r="F207" s="2974">
        <v>0.13</v>
      </c>
      <c r="G207" s="2975">
        <v>0.13</v>
      </c>
    </row>
    <row r="208" spans="1:7">
      <c r="A208" s="2984" t="s">
        <v>304</v>
      </c>
      <c r="B208" s="2973" t="s">
        <v>2917</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2924</v>
      </c>
      <c r="C210" s="2974">
        <v>0.121</v>
      </c>
      <c r="D210" s="2974">
        <v>0.121</v>
      </c>
      <c r="E210" s="2974">
        <v>0.125</v>
      </c>
      <c r="F210" s="2974">
        <v>0.13</v>
      </c>
      <c r="G210" s="2975">
        <v>0.123</v>
      </c>
    </row>
    <row r="211" spans="1:7">
      <c r="A211" s="2984" t="s">
        <v>304</v>
      </c>
      <c r="B211" s="2973" t="s">
        <v>2927</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2939</v>
      </c>
      <c r="C214" s="2974">
        <v>0.128</v>
      </c>
      <c r="D214" s="2974">
        <v>0.128</v>
      </c>
      <c r="E214" s="2974">
        <v>0.13</v>
      </c>
      <c r="F214" s="2974">
        <v>0.13</v>
      </c>
      <c r="G214" s="2975">
        <v>0.13</v>
      </c>
    </row>
    <row r="215" spans="1:7">
      <c r="A215" s="2984" t="s">
        <v>304</v>
      </c>
      <c r="B215" s="2973" t="s">
        <v>2943</v>
      </c>
      <c r="C215" s="2974">
        <v>0.13</v>
      </c>
      <c r="D215" s="2974">
        <v>0.13</v>
      </c>
      <c r="E215" s="2974">
        <v>0.13</v>
      </c>
      <c r="F215" s="2974">
        <v>0.129</v>
      </c>
      <c r="G215" s="2975">
        <v>0.13</v>
      </c>
    </row>
    <row r="216" spans="1:7">
      <c r="A216" s="2984" t="s">
        <v>304</v>
      </c>
      <c r="B216" s="2973" t="s">
        <v>2950</v>
      </c>
      <c r="C216" s="2974">
        <v>0.13</v>
      </c>
      <c r="D216" s="2974">
        <v>0.13</v>
      </c>
      <c r="E216" s="2974">
        <v>0.13</v>
      </c>
      <c r="F216" s="2974">
        <v>0.13</v>
      </c>
      <c r="G216" s="2975">
        <v>0.13</v>
      </c>
    </row>
    <row r="217" spans="1:7">
      <c r="A217" s="2984" t="s">
        <v>304</v>
      </c>
      <c r="B217" s="2973" t="s">
        <v>2957</v>
      </c>
      <c r="C217" s="2974">
        <v>0.129</v>
      </c>
      <c r="D217" s="2974">
        <v>0.129</v>
      </c>
      <c r="E217" s="2974">
        <v>0.13</v>
      </c>
      <c r="F217" s="2974">
        <v>0.13</v>
      </c>
      <c r="G217" s="2975">
        <v>0.13</v>
      </c>
    </row>
    <row r="218" spans="1:7">
      <c r="A218" s="2984" t="s">
        <v>304</v>
      </c>
      <c r="B218" s="2973" t="s">
        <v>2963</v>
      </c>
      <c r="C218" s="2985"/>
      <c r="D218" s="2985"/>
      <c r="E218" s="2985"/>
      <c r="F218" s="2974">
        <v>0.05</v>
      </c>
      <c r="G218" s="2991"/>
    </row>
    <row r="219" spans="1:7">
      <c r="A219" s="2984" t="s">
        <v>304</v>
      </c>
      <c r="B219" s="2973" t="s">
        <v>2970</v>
      </c>
      <c r="C219" s="2985"/>
      <c r="D219" s="2985"/>
      <c r="E219" s="2985"/>
      <c r="F219" s="2974">
        <v>0.05</v>
      </c>
      <c r="G219" s="2991"/>
    </row>
    <row r="220" spans="1:7">
      <c r="A220" s="2984" t="s">
        <v>304</v>
      </c>
      <c r="B220" s="2973" t="s">
        <v>2976</v>
      </c>
      <c r="C220" s="2985"/>
      <c r="D220" s="2985"/>
      <c r="E220" s="2985"/>
      <c r="F220" s="2974">
        <v>0.05</v>
      </c>
      <c r="G220" s="2991"/>
    </row>
    <row r="221" spans="1:7">
      <c r="A221" s="2984" t="s">
        <v>304</v>
      </c>
      <c r="B221" s="2973" t="s">
        <v>2981</v>
      </c>
      <c r="C221" s="2985"/>
      <c r="D221" s="2985"/>
      <c r="E221" s="2985"/>
      <c r="F221" s="2974">
        <v>0.05</v>
      </c>
      <c r="G221" s="2991"/>
    </row>
    <row r="222" spans="1:7">
      <c r="A222" s="2984" t="s">
        <v>304</v>
      </c>
      <c r="B222" s="2973" t="s">
        <v>2985</v>
      </c>
      <c r="C222" s="2985"/>
      <c r="D222" s="2985"/>
      <c r="E222" s="2985"/>
      <c r="F222" s="2974">
        <v>0.05</v>
      </c>
      <c r="G222" s="2991"/>
    </row>
    <row r="223" spans="1:7">
      <c r="A223" s="2984" t="s">
        <v>304</v>
      </c>
      <c r="B223" s="2973" t="s">
        <v>2990</v>
      </c>
      <c r="C223" s="2985"/>
      <c r="D223" s="2985"/>
      <c r="E223" s="2985"/>
      <c r="F223" s="2974">
        <v>0.05</v>
      </c>
      <c r="G223" s="2991"/>
    </row>
    <row r="224" spans="1:7">
      <c r="A224" s="2984" t="s">
        <v>304</v>
      </c>
      <c r="B224" s="2973" t="s">
        <v>2995</v>
      </c>
      <c r="C224" s="2985"/>
      <c r="D224" s="2985"/>
      <c r="E224" s="2985"/>
      <c r="F224" s="2974">
        <v>0.05</v>
      </c>
      <c r="G224" s="2991"/>
    </row>
    <row r="225" spans="1:7">
      <c r="A225" s="2984" t="s">
        <v>304</v>
      </c>
      <c r="B225" s="2973" t="s">
        <v>3000</v>
      </c>
      <c r="C225" s="2985"/>
      <c r="D225" s="2985"/>
      <c r="E225" s="2985"/>
      <c r="F225" s="2974">
        <v>0.05</v>
      </c>
      <c r="G225" s="2991"/>
    </row>
    <row r="226" spans="1:7">
      <c r="A226" s="2984" t="s">
        <v>304</v>
      </c>
      <c r="B226" s="2973" t="s">
        <v>3202</v>
      </c>
      <c r="C226" s="2985"/>
      <c r="D226" s="2985"/>
      <c r="E226" s="2985"/>
      <c r="F226" s="2974">
        <v>0.05</v>
      </c>
      <c r="G226" s="2991"/>
    </row>
    <row r="227" spans="1:7">
      <c r="A227" s="2984" t="s">
        <v>304</v>
      </c>
      <c r="B227" s="2973" t="s">
        <v>3203</v>
      </c>
      <c r="C227" s="2985"/>
      <c r="D227" s="2985"/>
      <c r="E227" s="2985"/>
      <c r="F227" s="2974">
        <v>0.05</v>
      </c>
      <c r="G227" s="2991"/>
    </row>
    <row r="228" spans="1:7">
      <c r="A228" s="2984" t="s">
        <v>304</v>
      </c>
      <c r="B228" s="2973" t="s">
        <v>3204</v>
      </c>
      <c r="C228" s="2985"/>
      <c r="D228" s="2985"/>
      <c r="E228" s="2985"/>
      <c r="F228" s="2974">
        <v>0.05</v>
      </c>
      <c r="G228" s="2991"/>
    </row>
    <row r="229" spans="1:7">
      <c r="A229" s="2984" t="s">
        <v>304</v>
      </c>
      <c r="B229" s="2973" t="s">
        <v>3205</v>
      </c>
      <c r="C229" s="2985"/>
      <c r="D229" s="2985"/>
      <c r="E229" s="2985"/>
      <c r="F229" s="2974">
        <v>0.05</v>
      </c>
      <c r="G229" s="2991"/>
    </row>
    <row r="230" spans="1:7">
      <c r="A230" s="2984" t="s">
        <v>304</v>
      </c>
      <c r="B230" s="2973" t="s">
        <v>3206</v>
      </c>
      <c r="C230" s="2985"/>
      <c r="D230" s="2985"/>
      <c r="E230" s="2985"/>
      <c r="F230" s="2974">
        <v>0.05</v>
      </c>
      <c r="G230" s="2991"/>
    </row>
    <row r="231" spans="1:7">
      <c r="A231" s="2984" t="s">
        <v>304</v>
      </c>
      <c r="B231" s="2973" t="s">
        <v>3207</v>
      </c>
      <c r="C231" s="2985"/>
      <c r="D231" s="2985"/>
      <c r="E231" s="2985"/>
      <c r="F231" s="2974">
        <v>0.05</v>
      </c>
      <c r="G231" s="2991"/>
    </row>
    <row r="232" spans="1:7">
      <c r="A232" s="2984" t="s">
        <v>304</v>
      </c>
      <c r="B232" s="2973" t="s">
        <v>3208</v>
      </c>
      <c r="C232" s="2985"/>
      <c r="D232" s="2985"/>
      <c r="E232" s="2985"/>
      <c r="F232" s="2974">
        <v>0.05</v>
      </c>
      <c r="G232" s="2991"/>
    </row>
    <row r="233" spans="1:7" ht="15" thickBot="1">
      <c r="A233" s="2987" t="s">
        <v>304</v>
      </c>
      <c r="B233" s="2977" t="s">
        <v>3209</v>
      </c>
      <c r="C233" s="2979"/>
      <c r="D233" s="2979"/>
      <c r="E233" s="2979"/>
      <c r="F233" s="2978">
        <v>0.05</v>
      </c>
      <c r="G233" s="2992"/>
    </row>
    <row r="234" spans="1:7">
      <c r="A234" s="2983" t="s">
        <v>305</v>
      </c>
      <c r="B234" s="2969" t="s">
        <v>2858</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2878</v>
      </c>
      <c r="C238" s="2974">
        <v>0.14899999999999999</v>
      </c>
      <c r="D238" s="2974">
        <v>0.14899999999999999</v>
      </c>
      <c r="E238" s="2974">
        <v>0.15</v>
      </c>
      <c r="F238" s="2974">
        <v>0.15</v>
      </c>
      <c r="G238" s="2975">
        <v>0.15</v>
      </c>
    </row>
    <row r="239" spans="1:7">
      <c r="A239" s="2984" t="s">
        <v>305</v>
      </c>
      <c r="B239" s="2973" t="s">
        <v>2882</v>
      </c>
      <c r="C239" s="2974">
        <v>0.15</v>
      </c>
      <c r="D239" s="2974">
        <v>0.15</v>
      </c>
      <c r="E239" s="2974">
        <v>0.15</v>
      </c>
      <c r="F239" s="2974">
        <v>0.15</v>
      </c>
      <c r="G239" s="2975">
        <v>0.15</v>
      </c>
    </row>
    <row r="240" spans="1:7">
      <c r="A240" s="2984" t="s">
        <v>305</v>
      </c>
      <c r="B240" s="2973" t="s">
        <v>2887</v>
      </c>
      <c r="C240" s="2974">
        <v>0.15</v>
      </c>
      <c r="D240" s="2974">
        <v>0.15</v>
      </c>
      <c r="E240" s="2974">
        <v>0.15</v>
      </c>
      <c r="F240" s="2974">
        <v>0.15</v>
      </c>
      <c r="G240" s="2975">
        <v>0.15</v>
      </c>
    </row>
    <row r="241" spans="1:7">
      <c r="A241" s="2984" t="s">
        <v>305</v>
      </c>
      <c r="B241" s="2973" t="s">
        <v>2891</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2897</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2905</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2910</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2918</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2931</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2940</v>
      </c>
      <c r="C258" s="2974">
        <v>0.14299999999999999</v>
      </c>
      <c r="D258" s="2974">
        <v>0.14299999999999999</v>
      </c>
      <c r="E258" s="2974">
        <v>0.15</v>
      </c>
      <c r="F258" s="2974">
        <v>0.14799999999999999</v>
      </c>
      <c r="G258" s="2975">
        <v>0.14599999999999999</v>
      </c>
    </row>
    <row r="259" spans="1:7">
      <c r="A259" s="2984" t="s">
        <v>305</v>
      </c>
      <c r="B259" s="2973" t="s">
        <v>2944</v>
      </c>
      <c r="C259" s="2974">
        <v>0.14399999999999999</v>
      </c>
      <c r="D259" s="2974">
        <v>0.14399999999999999</v>
      </c>
      <c r="E259" s="2974">
        <v>0.14899999999999999</v>
      </c>
      <c r="F259" s="2974">
        <v>0.14699999999999999</v>
      </c>
      <c r="G259" s="2975">
        <v>0.14599999999999999</v>
      </c>
    </row>
    <row r="260" spans="1:7">
      <c r="A260" s="2984" t="s">
        <v>305</v>
      </c>
      <c r="B260" s="2973" t="s">
        <v>2951</v>
      </c>
      <c r="C260" s="2974">
        <v>0.109</v>
      </c>
      <c r="D260" s="2974">
        <v>0.111</v>
      </c>
      <c r="E260" s="2974">
        <v>0.13100000000000001</v>
      </c>
      <c r="F260" s="2974">
        <v>0.126</v>
      </c>
      <c r="G260" s="2975">
        <v>0.11899999999999999</v>
      </c>
    </row>
    <row r="261" spans="1:7">
      <c r="A261" s="2984" t="s">
        <v>305</v>
      </c>
      <c r="B261" s="2973" t="s">
        <v>2958</v>
      </c>
      <c r="C261" s="2974">
        <v>0.1</v>
      </c>
      <c r="D261" s="2974">
        <v>0.1</v>
      </c>
      <c r="E261" s="2974">
        <v>0.11799999999999999</v>
      </c>
      <c r="F261" s="2974">
        <v>0.108</v>
      </c>
      <c r="G261" s="2975">
        <v>0.107</v>
      </c>
    </row>
    <row r="262" spans="1:7">
      <c r="A262" s="2984" t="s">
        <v>305</v>
      </c>
      <c r="B262" s="2973" t="s">
        <v>2964</v>
      </c>
      <c r="C262" s="2974">
        <v>0.1</v>
      </c>
      <c r="D262" s="2974">
        <v>0.1</v>
      </c>
      <c r="E262" s="2974">
        <v>0.1</v>
      </c>
      <c r="F262" s="2974">
        <v>0.14099999999999999</v>
      </c>
      <c r="G262" s="2975">
        <v>0.1</v>
      </c>
    </row>
    <row r="263" spans="1:7">
      <c r="A263" s="2984" t="s">
        <v>305</v>
      </c>
      <c r="B263" s="2973" t="s">
        <v>2971</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2982</v>
      </c>
      <c r="C265" s="2985"/>
      <c r="D265" s="2985"/>
      <c r="E265" s="2985"/>
      <c r="F265" s="2974">
        <v>0.05</v>
      </c>
      <c r="G265" s="2991"/>
    </row>
    <row r="266" spans="1:7">
      <c r="A266" s="2984" t="s">
        <v>305</v>
      </c>
      <c r="B266" s="2973" t="s">
        <v>2986</v>
      </c>
      <c r="C266" s="2985"/>
      <c r="D266" s="2985"/>
      <c r="E266" s="2985"/>
      <c r="F266" s="2974">
        <v>0.05</v>
      </c>
      <c r="G266" s="2991"/>
    </row>
    <row r="267" spans="1:7">
      <c r="A267" s="2984" t="s">
        <v>305</v>
      </c>
      <c r="B267" s="2973" t="s">
        <v>2991</v>
      </c>
      <c r="C267" s="2985"/>
      <c r="D267" s="2985"/>
      <c r="E267" s="2985"/>
      <c r="F267" s="2974">
        <v>0.05</v>
      </c>
      <c r="G267" s="2991"/>
    </row>
    <row r="268" spans="1:7">
      <c r="A268" s="2984" t="s">
        <v>305</v>
      </c>
      <c r="B268" s="2973" t="s">
        <v>2996</v>
      </c>
      <c r="C268" s="2985"/>
      <c r="D268" s="2985"/>
      <c r="E268" s="2985"/>
      <c r="F268" s="2974">
        <v>0.05</v>
      </c>
      <c r="G268" s="2991"/>
    </row>
    <row r="269" spans="1:7">
      <c r="A269" s="2984" t="s">
        <v>305</v>
      </c>
      <c r="B269" s="2973" t="s">
        <v>3001</v>
      </c>
      <c r="C269" s="2985"/>
      <c r="D269" s="2985"/>
      <c r="E269" s="2985"/>
      <c r="F269" s="2974">
        <v>0.05</v>
      </c>
      <c r="G269" s="2991"/>
    </row>
    <row r="270" spans="1:7">
      <c r="A270" s="2984" t="s">
        <v>305</v>
      </c>
      <c r="B270" s="2973" t="s">
        <v>3006</v>
      </c>
      <c r="C270" s="2985"/>
      <c r="D270" s="2985"/>
      <c r="E270" s="2985"/>
      <c r="F270" s="2974">
        <v>0.05</v>
      </c>
      <c r="G270" s="2991"/>
    </row>
    <row r="271" spans="1:7">
      <c r="A271" s="2984" t="s">
        <v>305</v>
      </c>
      <c r="B271" s="2973" t="s">
        <v>3210</v>
      </c>
      <c r="C271" s="2985"/>
      <c r="D271" s="2985"/>
      <c r="E271" s="2985"/>
      <c r="F271" s="2974">
        <v>0.05</v>
      </c>
      <c r="G271" s="2991"/>
    </row>
    <row r="272" spans="1:7">
      <c r="A272" s="2984" t="s">
        <v>305</v>
      </c>
      <c r="B272" s="2973" t="s">
        <v>3211</v>
      </c>
      <c r="C272" s="2985"/>
      <c r="D272" s="2985"/>
      <c r="E272" s="2985"/>
      <c r="F272" s="2974">
        <v>0.05</v>
      </c>
      <c r="G272" s="2991"/>
    </row>
    <row r="273" spans="1:7">
      <c r="A273" s="2984" t="s">
        <v>305</v>
      </c>
      <c r="B273" s="2973" t="s">
        <v>3212</v>
      </c>
      <c r="C273" s="2985"/>
      <c r="D273" s="2985"/>
      <c r="E273" s="2985"/>
      <c r="F273" s="2974">
        <v>0.05</v>
      </c>
      <c r="G273" s="2991"/>
    </row>
    <row r="274" spans="1:7">
      <c r="A274" s="2984" t="s">
        <v>305</v>
      </c>
      <c r="B274" s="2973" t="s">
        <v>3213</v>
      </c>
      <c r="C274" s="2985"/>
      <c r="D274" s="2985"/>
      <c r="E274" s="2985"/>
      <c r="F274" s="2974">
        <v>0.05</v>
      </c>
      <c r="G274" s="2991"/>
    </row>
    <row r="275" spans="1:7">
      <c r="A275" s="2984" t="s">
        <v>305</v>
      </c>
      <c r="B275" s="2973" t="s">
        <v>3214</v>
      </c>
      <c r="C275" s="2985"/>
      <c r="D275" s="2985"/>
      <c r="E275" s="2985"/>
      <c r="F275" s="2974">
        <v>0.05</v>
      </c>
      <c r="G275" s="2991"/>
    </row>
    <row r="276" spans="1:7" ht="15" thickBot="1">
      <c r="A276" s="2987" t="s">
        <v>305</v>
      </c>
      <c r="B276" s="2977" t="s">
        <v>3215</v>
      </c>
      <c r="C276" s="2979"/>
      <c r="D276" s="2979"/>
      <c r="E276" s="2979"/>
      <c r="F276" s="2978">
        <v>0.05</v>
      </c>
      <c r="G276" s="2992"/>
    </row>
    <row r="277" spans="1:7">
      <c r="A277" s="2983" t="s">
        <v>306</v>
      </c>
      <c r="B277" s="2969" t="s">
        <v>2859</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2871</v>
      </c>
      <c r="C279" s="2974">
        <v>0.15</v>
      </c>
      <c r="D279" s="2974">
        <v>0.15</v>
      </c>
      <c r="E279" s="2974">
        <v>0.15</v>
      </c>
      <c r="F279" s="2974">
        <v>0.15</v>
      </c>
      <c r="G279" s="2975">
        <v>0.15</v>
      </c>
    </row>
    <row r="280" spans="1:7">
      <c r="A280" s="2984" t="s">
        <v>306</v>
      </c>
      <c r="B280" s="2973" t="s">
        <v>2875</v>
      </c>
      <c r="C280" s="2974">
        <v>0.15</v>
      </c>
      <c r="D280" s="2974">
        <v>0.15</v>
      </c>
      <c r="E280" s="2974">
        <v>0.15</v>
      </c>
      <c r="F280" s="2974">
        <v>0.15</v>
      </c>
      <c r="G280" s="2975">
        <v>0.15</v>
      </c>
    </row>
    <row r="281" spans="1:7">
      <c r="A281" s="2984" t="s">
        <v>306</v>
      </c>
      <c r="B281" s="2973" t="s">
        <v>2879</v>
      </c>
      <c r="C281" s="2974">
        <v>0.15</v>
      </c>
      <c r="D281" s="2974">
        <v>0.15</v>
      </c>
      <c r="E281" s="2974">
        <v>0.15</v>
      </c>
      <c r="F281" s="2974">
        <v>0.15</v>
      </c>
      <c r="G281" s="2975">
        <v>0.15</v>
      </c>
    </row>
    <row r="282" spans="1:7">
      <c r="A282" s="2984" t="s">
        <v>306</v>
      </c>
      <c r="B282" s="2973" t="s">
        <v>2883</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2898</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2903</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2913</v>
      </c>
      <c r="C293" s="2974">
        <v>0.15</v>
      </c>
      <c r="D293" s="2974">
        <v>0.15</v>
      </c>
      <c r="E293" s="2974">
        <v>0.15</v>
      </c>
      <c r="F293" s="2974">
        <v>0.14499999999999999</v>
      </c>
      <c r="G293" s="2975">
        <v>0.15</v>
      </c>
    </row>
    <row r="294" spans="1:7">
      <c r="A294" s="2984" t="s">
        <v>306</v>
      </c>
      <c r="B294" s="2973" t="s">
        <v>2915</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2932</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2945</v>
      </c>
      <c r="C302" s="2974">
        <v>0.15</v>
      </c>
      <c r="D302" s="2974">
        <v>0.15</v>
      </c>
      <c r="E302" s="2974">
        <v>0.15</v>
      </c>
      <c r="F302" s="2974">
        <v>0.14699999999999999</v>
      </c>
      <c r="G302" s="2975">
        <v>0.15</v>
      </c>
    </row>
    <row r="303" spans="1:7">
      <c r="A303" s="2984" t="s">
        <v>306</v>
      </c>
      <c r="B303" s="2973" t="s">
        <v>2952</v>
      </c>
      <c r="C303" s="2974">
        <v>0.15</v>
      </c>
      <c r="D303" s="2974">
        <v>0.15</v>
      </c>
      <c r="E303" s="2974">
        <v>0.15</v>
      </c>
      <c r="F303" s="2974">
        <v>0.14199999999999999</v>
      </c>
      <c r="G303" s="2975">
        <v>0.15</v>
      </c>
    </row>
    <row r="304" spans="1:7">
      <c r="A304" s="2984" t="s">
        <v>306</v>
      </c>
      <c r="B304" s="2973" t="s">
        <v>2959</v>
      </c>
      <c r="C304" s="2974">
        <v>0.15</v>
      </c>
      <c r="D304" s="2974">
        <v>0.15</v>
      </c>
      <c r="E304" s="2974">
        <v>0.15</v>
      </c>
      <c r="F304" s="2974">
        <v>0.14499999999999999</v>
      </c>
      <c r="G304" s="2975">
        <v>0.15</v>
      </c>
    </row>
    <row r="305" spans="1:7">
      <c r="A305" s="2984" t="s">
        <v>306</v>
      </c>
      <c r="B305" s="2973" t="s">
        <v>2965</v>
      </c>
      <c r="C305" s="2974">
        <v>0.15</v>
      </c>
      <c r="D305" s="2974">
        <v>0.15</v>
      </c>
      <c r="E305" s="2974">
        <v>0.15</v>
      </c>
      <c r="F305" s="2974">
        <v>0.111</v>
      </c>
      <c r="G305" s="2975">
        <v>0.15</v>
      </c>
    </row>
    <row r="306" spans="1:7">
      <c r="A306" s="2984" t="s">
        <v>306</v>
      </c>
      <c r="B306" s="2973" t="s">
        <v>2972</v>
      </c>
      <c r="C306" s="2974">
        <v>0.15</v>
      </c>
      <c r="D306" s="2974">
        <v>0.15</v>
      </c>
      <c r="E306" s="2974">
        <v>0.15</v>
      </c>
      <c r="F306" s="2974">
        <v>0.126</v>
      </c>
      <c r="G306" s="2975">
        <v>0.15</v>
      </c>
    </row>
    <row r="307" spans="1:7">
      <c r="A307" s="2984" t="s">
        <v>306</v>
      </c>
      <c r="B307" s="2973" t="s">
        <v>2977</v>
      </c>
      <c r="C307" s="2974">
        <v>0.15</v>
      </c>
      <c r="D307" s="2974">
        <v>0.15</v>
      </c>
      <c r="E307" s="2974">
        <v>0.15</v>
      </c>
      <c r="F307" s="2974">
        <v>0.12</v>
      </c>
      <c r="G307" s="2975">
        <v>0.15</v>
      </c>
    </row>
    <row r="308" spans="1:7">
      <c r="A308" s="2984" t="s">
        <v>306</v>
      </c>
      <c r="B308" s="2973" t="s">
        <v>2983</v>
      </c>
      <c r="C308" s="2974">
        <v>0.15</v>
      </c>
      <c r="D308" s="2974">
        <v>0.15</v>
      </c>
      <c r="E308" s="2974">
        <v>0.15</v>
      </c>
      <c r="F308" s="2974">
        <v>0.13</v>
      </c>
      <c r="G308" s="2975">
        <v>0.15</v>
      </c>
    </row>
    <row r="309" spans="1:7">
      <c r="A309" s="2984" t="s">
        <v>306</v>
      </c>
      <c r="B309" s="2973" t="s">
        <v>2987</v>
      </c>
      <c r="C309" s="2974">
        <v>0.15</v>
      </c>
      <c r="D309" s="2974">
        <v>0.15</v>
      </c>
      <c r="E309" s="2974">
        <v>0.15</v>
      </c>
      <c r="F309" s="2974">
        <v>0.14099999999999999</v>
      </c>
      <c r="G309" s="2975">
        <v>0.15</v>
      </c>
    </row>
    <row r="310" spans="1:7">
      <c r="A310" s="2984" t="s">
        <v>306</v>
      </c>
      <c r="B310" s="2973" t="s">
        <v>2992</v>
      </c>
      <c r="C310" s="2974">
        <v>0.15</v>
      </c>
      <c r="D310" s="2974">
        <v>0.15</v>
      </c>
      <c r="E310" s="2974">
        <v>0.15</v>
      </c>
      <c r="F310" s="2974">
        <v>0.15</v>
      </c>
      <c r="G310" s="2975">
        <v>0.15</v>
      </c>
    </row>
    <row r="311" spans="1:7">
      <c r="A311" s="2984" t="s">
        <v>306</v>
      </c>
      <c r="B311" s="2973" t="s">
        <v>2997</v>
      </c>
      <c r="C311" s="2974">
        <v>0.13200000000000001</v>
      </c>
      <c r="D311" s="2974">
        <v>0.13300000000000001</v>
      </c>
      <c r="E311" s="2974">
        <v>0.14499999999999999</v>
      </c>
      <c r="F311" s="2974">
        <v>0.14199999999999999</v>
      </c>
      <c r="G311" s="2975">
        <v>0.14000000000000001</v>
      </c>
    </row>
    <row r="312" spans="1:7">
      <c r="A312" s="2984" t="s">
        <v>306</v>
      </c>
      <c r="B312" s="2973" t="s">
        <v>3002</v>
      </c>
      <c r="C312" s="2974">
        <v>0.13800000000000001</v>
      </c>
      <c r="D312" s="2974">
        <v>0.14000000000000001</v>
      </c>
      <c r="E312" s="2974">
        <v>0.14599999999999999</v>
      </c>
      <c r="F312" s="2974">
        <v>0.14899999999999999</v>
      </c>
      <c r="G312" s="2975">
        <v>0.14199999999999999</v>
      </c>
    </row>
    <row r="313" spans="1:7">
      <c r="A313" s="2984" t="s">
        <v>306</v>
      </c>
      <c r="B313" s="2973" t="s">
        <v>3007</v>
      </c>
      <c r="C313" s="2974">
        <v>0.125</v>
      </c>
      <c r="D313" s="2974">
        <v>0.127</v>
      </c>
      <c r="E313" s="2974">
        <v>0.14399999999999999</v>
      </c>
      <c r="F313" s="2974">
        <v>0.115</v>
      </c>
      <c r="G313" s="2975">
        <v>0.13600000000000001</v>
      </c>
    </row>
    <row r="314" spans="1:7">
      <c r="A314" s="2984" t="s">
        <v>306</v>
      </c>
      <c r="B314" s="2973" t="s">
        <v>3216</v>
      </c>
      <c r="C314" s="2990"/>
      <c r="D314" s="2990"/>
      <c r="E314" s="2990"/>
      <c r="F314" s="2974">
        <v>0.05</v>
      </c>
      <c r="G314" s="2991"/>
    </row>
    <row r="315" spans="1:7">
      <c r="A315" s="2984" t="s">
        <v>306</v>
      </c>
      <c r="B315" s="2973" t="s">
        <v>3217</v>
      </c>
      <c r="C315" s="2990"/>
      <c r="D315" s="2990"/>
      <c r="E315" s="2990"/>
      <c r="F315" s="2974">
        <v>0.05</v>
      </c>
      <c r="G315" s="2991"/>
    </row>
    <row r="316" spans="1:7">
      <c r="A316" s="2984" t="s">
        <v>306</v>
      </c>
      <c r="B316" s="2973" t="s">
        <v>3218</v>
      </c>
      <c r="C316" s="2985"/>
      <c r="D316" s="2985"/>
      <c r="E316" s="2985"/>
      <c r="F316" s="2974">
        <v>0.05</v>
      </c>
      <c r="G316" s="2991"/>
    </row>
    <row r="317" spans="1:7">
      <c r="A317" s="2984" t="s">
        <v>306</v>
      </c>
      <c r="B317" s="2973" t="s">
        <v>3219</v>
      </c>
      <c r="C317" s="2985"/>
      <c r="D317" s="2985"/>
      <c r="E317" s="2985"/>
      <c r="F317" s="2974">
        <v>0.05</v>
      </c>
      <c r="G317" s="2991"/>
    </row>
    <row r="318" spans="1:7">
      <c r="A318" s="2984" t="s">
        <v>306</v>
      </c>
      <c r="B318" s="2973" t="s">
        <v>3220</v>
      </c>
      <c r="C318" s="2985"/>
      <c r="D318" s="2985"/>
      <c r="E318" s="2985"/>
      <c r="F318" s="2974">
        <v>0.05</v>
      </c>
      <c r="G318" s="2991"/>
    </row>
    <row r="319" spans="1:7">
      <c r="A319" s="2984" t="s">
        <v>306</v>
      </c>
      <c r="B319" s="2973" t="s">
        <v>3221</v>
      </c>
      <c r="C319" s="2985"/>
      <c r="D319" s="2985"/>
      <c r="E319" s="2985"/>
      <c r="F319" s="2974">
        <v>0.05</v>
      </c>
      <c r="G319" s="2991"/>
    </row>
    <row r="320" spans="1:7">
      <c r="A320" s="2984" t="s">
        <v>306</v>
      </c>
      <c r="B320" s="2973" t="s">
        <v>3222</v>
      </c>
      <c r="C320" s="2985"/>
      <c r="D320" s="2985"/>
      <c r="E320" s="2985"/>
      <c r="F320" s="2974">
        <v>0.05</v>
      </c>
      <c r="G320" s="2991"/>
    </row>
    <row r="321" spans="1:7">
      <c r="A321" s="2984" t="s">
        <v>306</v>
      </c>
      <c r="B321" s="2973" t="s">
        <v>3223</v>
      </c>
      <c r="C321" s="2985"/>
      <c r="D321" s="2985"/>
      <c r="E321" s="2985"/>
      <c r="F321" s="2974">
        <v>0.05</v>
      </c>
      <c r="G321" s="2991"/>
    </row>
    <row r="322" spans="1:7">
      <c r="A322" s="2984" t="s">
        <v>306</v>
      </c>
      <c r="B322" s="2973" t="s">
        <v>3224</v>
      </c>
      <c r="C322" s="2985"/>
      <c r="D322" s="2985"/>
      <c r="E322" s="2985"/>
      <c r="F322" s="2974">
        <v>0.05</v>
      </c>
      <c r="G322" s="2991"/>
    </row>
    <row r="323" spans="1:7">
      <c r="A323" s="2984" t="s">
        <v>306</v>
      </c>
      <c r="B323" s="2973" t="s">
        <v>3225</v>
      </c>
      <c r="C323" s="2985"/>
      <c r="D323" s="2985"/>
      <c r="E323" s="2985"/>
      <c r="F323" s="2974">
        <v>0.05</v>
      </c>
      <c r="G323" s="2991"/>
    </row>
    <row r="324" spans="1:7">
      <c r="A324" s="2984" t="s">
        <v>306</v>
      </c>
      <c r="B324" s="2973" t="s">
        <v>3226</v>
      </c>
      <c r="C324" s="2985"/>
      <c r="D324" s="2985"/>
      <c r="E324" s="2985"/>
      <c r="F324" s="2974">
        <v>0.05</v>
      </c>
      <c r="G324" s="2991"/>
    </row>
    <row r="325" spans="1:7">
      <c r="A325" s="2984" t="s">
        <v>306</v>
      </c>
      <c r="B325" s="2973" t="s">
        <v>3227</v>
      </c>
      <c r="C325" s="2985"/>
      <c r="D325" s="2985"/>
      <c r="E325" s="2985"/>
      <c r="F325" s="2974">
        <v>0.05</v>
      </c>
      <c r="G325" s="2991"/>
    </row>
    <row r="326" spans="1:7" ht="15" thickBot="1">
      <c r="A326" s="2987" t="s">
        <v>306</v>
      </c>
      <c r="B326" s="2977" t="s">
        <v>3228</v>
      </c>
      <c r="C326" s="2979"/>
      <c r="D326" s="2979"/>
      <c r="E326" s="2979"/>
      <c r="F326" s="2978">
        <v>0.05</v>
      </c>
      <c r="G326" s="2992"/>
    </row>
    <row r="327" spans="1:7">
      <c r="A327" s="2983" t="s">
        <v>307</v>
      </c>
      <c r="B327" s="2969" t="s">
        <v>2860</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2872</v>
      </c>
      <c r="C329" s="2974">
        <v>0.15</v>
      </c>
      <c r="D329" s="2974">
        <v>0.15</v>
      </c>
      <c r="E329" s="2974">
        <v>0.15</v>
      </c>
      <c r="F329" s="2974">
        <v>0.15</v>
      </c>
      <c r="G329" s="2975">
        <v>0.15</v>
      </c>
    </row>
    <row r="330" spans="1:7">
      <c r="A330" s="2984" t="s">
        <v>307</v>
      </c>
      <c r="B330" s="2973" t="s">
        <v>2876</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2884</v>
      </c>
      <c r="C332" s="2974">
        <v>0.15</v>
      </c>
      <c r="D332" s="2974">
        <v>0.15</v>
      </c>
      <c r="E332" s="2974">
        <v>0.15</v>
      </c>
      <c r="F332" s="2974">
        <v>0.15</v>
      </c>
      <c r="G332" s="2975">
        <v>0.15</v>
      </c>
    </row>
    <row r="333" spans="1:7">
      <c r="A333" s="2984" t="s">
        <v>307</v>
      </c>
      <c r="B333" s="2973" t="s">
        <v>2888</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2894</v>
      </c>
      <c r="C336" s="2974">
        <v>0.15</v>
      </c>
      <c r="D336" s="2974">
        <v>0.15</v>
      </c>
      <c r="E336" s="2974">
        <v>0.15</v>
      </c>
      <c r="F336" s="2974">
        <v>0.14199999999999999</v>
      </c>
      <c r="G336" s="2975">
        <v>0.15</v>
      </c>
    </row>
    <row r="337" spans="1:7">
      <c r="A337" s="2984" t="s">
        <v>307</v>
      </c>
      <c r="B337" s="2973" t="s">
        <v>2899</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2906</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2911</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2919</v>
      </c>
      <c r="C345" s="2974">
        <v>0.15</v>
      </c>
      <c r="D345" s="2974">
        <v>0.15</v>
      </c>
      <c r="E345" s="2974">
        <v>0.15</v>
      </c>
      <c r="F345" s="2974">
        <v>0.13800000000000001</v>
      </c>
      <c r="G345" s="2975">
        <v>0.15</v>
      </c>
    </row>
    <row r="346" spans="1:7">
      <c r="A346" s="2984" t="s">
        <v>307</v>
      </c>
      <c r="B346" s="2973" t="s">
        <v>2921</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2928</v>
      </c>
      <c r="C348" s="2974">
        <v>0.15</v>
      </c>
      <c r="D348" s="2974">
        <v>0.15</v>
      </c>
      <c r="E348" s="2974">
        <v>0.15</v>
      </c>
      <c r="F348" s="2974">
        <v>0.14399999999999999</v>
      </c>
      <c r="G348" s="2975">
        <v>0.15</v>
      </c>
    </row>
    <row r="349" spans="1:7">
      <c r="A349" s="2984" t="s">
        <v>307</v>
      </c>
      <c r="B349" s="2973" t="s">
        <v>2933</v>
      </c>
      <c r="C349" s="2974">
        <v>0.15</v>
      </c>
      <c r="D349" s="2974">
        <v>0.15</v>
      </c>
      <c r="E349" s="2974">
        <v>0.15</v>
      </c>
      <c r="F349" s="2974">
        <v>0.15</v>
      </c>
      <c r="G349" s="2975">
        <v>0.15</v>
      </c>
    </row>
    <row r="350" spans="1:7">
      <c r="A350" s="2984" t="s">
        <v>307</v>
      </c>
      <c r="B350" s="2973" t="s">
        <v>2936</v>
      </c>
      <c r="C350" s="2974">
        <v>0.15</v>
      </c>
      <c r="D350" s="2974">
        <v>0.15</v>
      </c>
      <c r="E350" s="2974">
        <v>0.15</v>
      </c>
      <c r="F350" s="2974">
        <v>0.14699999999999999</v>
      </c>
      <c r="G350" s="2975">
        <v>0.15</v>
      </c>
    </row>
    <row r="351" spans="1:7">
      <c r="A351" s="2984" t="s">
        <v>307</v>
      </c>
      <c r="B351" s="2973" t="s">
        <v>2941</v>
      </c>
      <c r="C351" s="2974">
        <v>0.15</v>
      </c>
      <c r="D351" s="2974">
        <v>0.15</v>
      </c>
      <c r="E351" s="2974">
        <v>0.15</v>
      </c>
      <c r="F351" s="2974">
        <v>0.13</v>
      </c>
      <c r="G351" s="2975">
        <v>0.15</v>
      </c>
    </row>
    <row r="352" spans="1:7">
      <c r="A352" s="2984" t="s">
        <v>307</v>
      </c>
      <c r="B352" s="2973" t="s">
        <v>2946</v>
      </c>
      <c r="C352" s="2974">
        <v>0.15</v>
      </c>
      <c r="D352" s="2974">
        <v>0.15</v>
      </c>
      <c r="E352" s="2974">
        <v>0.15</v>
      </c>
      <c r="F352" s="2974">
        <v>0.14599999999999999</v>
      </c>
      <c r="G352" s="2975">
        <v>0.15</v>
      </c>
    </row>
    <row r="353" spans="1:7">
      <c r="A353" s="2984" t="s">
        <v>307</v>
      </c>
      <c r="B353" s="2973" t="s">
        <v>2953</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2966</v>
      </c>
      <c r="C355" s="2974">
        <v>0.15</v>
      </c>
      <c r="D355" s="2974">
        <v>0.15</v>
      </c>
      <c r="E355" s="2974">
        <v>0.15</v>
      </c>
      <c r="F355" s="2974">
        <v>0.15</v>
      </c>
      <c r="G355" s="2975">
        <v>0.15</v>
      </c>
    </row>
    <row r="356" spans="1:7">
      <c r="A356" s="2984" t="s">
        <v>307</v>
      </c>
      <c r="B356" s="2973" t="s">
        <v>2973</v>
      </c>
      <c r="C356" s="2974">
        <v>0.15</v>
      </c>
      <c r="D356" s="2974">
        <v>0.15</v>
      </c>
      <c r="E356" s="2974">
        <v>0.15</v>
      </c>
      <c r="F356" s="2974">
        <v>0.15</v>
      </c>
      <c r="G356" s="2975">
        <v>0.15</v>
      </c>
    </row>
    <row r="357" spans="1:7" ht="15" thickBot="1">
      <c r="A357" s="2987" t="s">
        <v>307</v>
      </c>
      <c r="B357" s="2977" t="s">
        <v>2978</v>
      </c>
      <c r="C357" s="2978">
        <v>0.126</v>
      </c>
      <c r="D357" s="2978">
        <v>0.127</v>
      </c>
      <c r="E357" s="2978">
        <v>0.14299999999999999</v>
      </c>
      <c r="F357" s="2978">
        <v>0.125</v>
      </c>
      <c r="G357" s="2980">
        <v>0.129</v>
      </c>
    </row>
    <row r="358" spans="1:7">
      <c r="A358" s="2983" t="s">
        <v>2847</v>
      </c>
      <c r="B358" s="2969" t="s">
        <v>2861</v>
      </c>
      <c r="C358" s="2970">
        <v>0.15</v>
      </c>
      <c r="D358" s="2970">
        <v>0.15</v>
      </c>
      <c r="E358" s="2970">
        <v>0.15</v>
      </c>
      <c r="F358" s="2970">
        <v>0.15</v>
      </c>
      <c r="G358" s="2971">
        <v>0.15</v>
      </c>
    </row>
    <row r="359" spans="1:7">
      <c r="A359" s="2984" t="s">
        <v>2847</v>
      </c>
      <c r="B359" s="2973" t="s">
        <v>2867</v>
      </c>
      <c r="C359" s="2974">
        <v>0.1</v>
      </c>
      <c r="D359" s="2974">
        <v>0.1</v>
      </c>
      <c r="E359" s="2974">
        <v>0.1</v>
      </c>
      <c r="F359" s="2974">
        <v>0.1</v>
      </c>
      <c r="G359" s="2975">
        <v>0.1</v>
      </c>
    </row>
    <row r="360" spans="1:7">
      <c r="A360" s="2984" t="s">
        <v>2847</v>
      </c>
      <c r="B360" s="2973" t="s">
        <v>2873</v>
      </c>
      <c r="C360" s="2974">
        <v>0.15</v>
      </c>
      <c r="D360" s="2974">
        <v>0.15</v>
      </c>
      <c r="E360" s="2974">
        <v>0.15</v>
      </c>
      <c r="F360" s="2974">
        <v>0.14899999999999999</v>
      </c>
      <c r="G360" s="2975">
        <v>0.15</v>
      </c>
    </row>
    <row r="361" spans="1:7">
      <c r="A361" s="2984" t="s">
        <v>2847</v>
      </c>
      <c r="B361" s="2973" t="s">
        <v>153</v>
      </c>
      <c r="C361" s="2974">
        <v>0.15</v>
      </c>
      <c r="D361" s="2974">
        <v>0.15</v>
      </c>
      <c r="E361" s="2974">
        <v>0.15</v>
      </c>
      <c r="F361" s="2974">
        <v>0.115</v>
      </c>
      <c r="G361" s="2975">
        <v>0.15</v>
      </c>
    </row>
    <row r="362" spans="1:7">
      <c r="A362" s="2984" t="s">
        <v>2847</v>
      </c>
      <c r="B362" s="2973" t="s">
        <v>2880</v>
      </c>
      <c r="C362" s="2974">
        <v>0.15</v>
      </c>
      <c r="D362" s="2974">
        <v>0.15</v>
      </c>
      <c r="E362" s="2974">
        <v>0.15</v>
      </c>
      <c r="F362" s="2974">
        <v>0.106</v>
      </c>
      <c r="G362" s="2975">
        <v>0.15</v>
      </c>
    </row>
    <row r="363" spans="1:7">
      <c r="A363" s="2984" t="s">
        <v>2847</v>
      </c>
      <c r="B363" s="2973" t="s">
        <v>2885</v>
      </c>
      <c r="C363" s="2974">
        <v>0.15</v>
      </c>
      <c r="D363" s="2974">
        <v>0.15</v>
      </c>
      <c r="E363" s="2974">
        <v>0.15</v>
      </c>
      <c r="F363" s="2974">
        <v>0.14699999999999999</v>
      </c>
      <c r="G363" s="2975">
        <v>0.15</v>
      </c>
    </row>
    <row r="364" spans="1:7">
      <c r="A364" s="2984" t="s">
        <v>2847</v>
      </c>
      <c r="B364" s="2973" t="s">
        <v>2889</v>
      </c>
      <c r="C364" s="2974">
        <v>0.15</v>
      </c>
      <c r="D364" s="2974">
        <v>0.15</v>
      </c>
      <c r="E364" s="2974">
        <v>0.15</v>
      </c>
      <c r="F364" s="2974">
        <v>0.14799999999999999</v>
      </c>
      <c r="G364" s="2975">
        <v>0.15</v>
      </c>
    </row>
    <row r="365" spans="1:7">
      <c r="A365" s="2984" t="s">
        <v>2847</v>
      </c>
      <c r="B365" s="2973" t="s">
        <v>200</v>
      </c>
      <c r="C365" s="2974">
        <v>0.15</v>
      </c>
      <c r="D365" s="2974">
        <v>0.15</v>
      </c>
      <c r="E365" s="2974">
        <v>0.15</v>
      </c>
      <c r="F365" s="2974">
        <v>0.15</v>
      </c>
      <c r="G365" s="2975">
        <v>0.15</v>
      </c>
    </row>
    <row r="366" spans="1:7">
      <c r="A366" s="2984" t="s">
        <v>2847</v>
      </c>
      <c r="B366" s="2973" t="s">
        <v>2892</v>
      </c>
      <c r="C366" s="2974">
        <v>0.15</v>
      </c>
      <c r="D366" s="2974">
        <v>0.15</v>
      </c>
      <c r="E366" s="2974">
        <v>0.15</v>
      </c>
      <c r="F366" s="2974">
        <v>0.15</v>
      </c>
      <c r="G366" s="2975">
        <v>0.15</v>
      </c>
    </row>
    <row r="367" spans="1:7">
      <c r="A367" s="2984" t="s">
        <v>2847</v>
      </c>
      <c r="B367" s="2973" t="s">
        <v>2895</v>
      </c>
      <c r="C367" s="2974">
        <v>0.15</v>
      </c>
      <c r="D367" s="2974">
        <v>0.15</v>
      </c>
      <c r="E367" s="2974">
        <v>0.15</v>
      </c>
      <c r="F367" s="2974">
        <v>0.14699999999999999</v>
      </c>
      <c r="G367" s="2975">
        <v>0.15</v>
      </c>
    </row>
    <row r="368" spans="1:7">
      <c r="A368" s="2984" t="s">
        <v>2847</v>
      </c>
      <c r="B368" s="2973" t="s">
        <v>2900</v>
      </c>
      <c r="C368" s="2974">
        <v>0.15</v>
      </c>
      <c r="D368" s="2974">
        <v>0.15</v>
      </c>
      <c r="E368" s="2974">
        <v>0.15</v>
      </c>
      <c r="F368" s="2974">
        <v>0.13600000000000001</v>
      </c>
      <c r="G368" s="2975">
        <v>0.15</v>
      </c>
    </row>
    <row r="369" spans="1:7">
      <c r="A369" s="2984" t="s">
        <v>2847</v>
      </c>
      <c r="B369" s="2973" t="s">
        <v>214</v>
      </c>
      <c r="C369" s="2974">
        <v>0.15</v>
      </c>
      <c r="D369" s="2974">
        <v>0.15</v>
      </c>
      <c r="E369" s="2974">
        <v>0.15</v>
      </c>
      <c r="F369" s="2974">
        <v>0.14399999999999999</v>
      </c>
      <c r="G369" s="2975">
        <v>0.15</v>
      </c>
    </row>
    <row r="370" spans="1:7">
      <c r="A370" s="2984" t="s">
        <v>2847</v>
      </c>
      <c r="B370" s="2973" t="s">
        <v>221</v>
      </c>
      <c r="C370" s="2974">
        <v>0.15</v>
      </c>
      <c r="D370" s="2974">
        <v>0.15</v>
      </c>
      <c r="E370" s="2974">
        <v>0.15</v>
      </c>
      <c r="F370" s="2974">
        <v>0.14599999999999999</v>
      </c>
      <c r="G370" s="2975">
        <v>0.15</v>
      </c>
    </row>
    <row r="371" spans="1:7">
      <c r="A371" s="2984" t="s">
        <v>2847</v>
      </c>
      <c r="B371" s="2973" t="s">
        <v>229</v>
      </c>
      <c r="C371" s="2974">
        <v>0.15</v>
      </c>
      <c r="D371" s="2974">
        <v>0.15</v>
      </c>
      <c r="E371" s="2974">
        <v>0.15</v>
      </c>
      <c r="F371" s="2974">
        <v>0.12</v>
      </c>
      <c r="G371" s="2975">
        <v>0.15</v>
      </c>
    </row>
    <row r="372" spans="1:7">
      <c r="A372" s="2984" t="s">
        <v>2847</v>
      </c>
      <c r="B372" s="2973" t="s">
        <v>2908</v>
      </c>
      <c r="C372" s="2974">
        <v>0.15</v>
      </c>
      <c r="D372" s="2974">
        <v>0.15</v>
      </c>
      <c r="E372" s="2974">
        <v>0.15</v>
      </c>
      <c r="F372" s="2974">
        <v>0.14299999999999999</v>
      </c>
      <c r="G372" s="2975">
        <v>0.15</v>
      </c>
    </row>
    <row r="373" spans="1:7">
      <c r="A373" s="2984" t="s">
        <v>2847</v>
      </c>
      <c r="B373" s="2973" t="s">
        <v>258</v>
      </c>
      <c r="C373" s="2974">
        <v>0.15</v>
      </c>
      <c r="D373" s="2974">
        <v>0.15</v>
      </c>
      <c r="E373" s="2974">
        <v>0.15</v>
      </c>
      <c r="F373" s="2974">
        <v>0.14599999999999999</v>
      </c>
      <c r="G373" s="2975">
        <v>0.15</v>
      </c>
    </row>
    <row r="374" spans="1:7">
      <c r="A374" s="2984" t="s">
        <v>2847</v>
      </c>
      <c r="B374" s="2973" t="s">
        <v>266</v>
      </c>
      <c r="C374" s="2974">
        <v>0.15</v>
      </c>
      <c r="D374" s="2974">
        <v>0.15</v>
      </c>
      <c r="E374" s="2974">
        <v>0.15</v>
      </c>
      <c r="F374" s="2974">
        <v>0.14399999999999999</v>
      </c>
      <c r="G374" s="2975">
        <v>0.15</v>
      </c>
    </row>
    <row r="375" spans="1:7">
      <c r="A375" s="2984" t="s">
        <v>2847</v>
      </c>
      <c r="B375" s="2973" t="s">
        <v>2916</v>
      </c>
      <c r="C375" s="2974">
        <v>0.15</v>
      </c>
      <c r="D375" s="2974">
        <v>0.15</v>
      </c>
      <c r="E375" s="2974">
        <v>0.15</v>
      </c>
      <c r="F375" s="2974">
        <v>0.13</v>
      </c>
      <c r="G375" s="2975">
        <v>0.15</v>
      </c>
    </row>
    <row r="376" spans="1:7">
      <c r="A376" s="2984" t="s">
        <v>2847</v>
      </c>
      <c r="B376" s="2973" t="s">
        <v>277</v>
      </c>
      <c r="C376" s="2974">
        <v>0.15</v>
      </c>
      <c r="D376" s="2974">
        <v>0.15</v>
      </c>
      <c r="E376" s="2974">
        <v>0.15</v>
      </c>
      <c r="F376" s="2974">
        <v>0.14199999999999999</v>
      </c>
      <c r="G376" s="2975">
        <v>0.15</v>
      </c>
    </row>
    <row r="377" spans="1:7" ht="15" thickBot="1">
      <c r="A377" s="2987" t="s">
        <v>2847</v>
      </c>
      <c r="B377" s="2977" t="s">
        <v>2922</v>
      </c>
      <c r="C377" s="2978">
        <v>0.15</v>
      </c>
      <c r="D377" s="2978">
        <v>0.15</v>
      </c>
      <c r="E377" s="2978">
        <v>0.15</v>
      </c>
      <c r="F377" s="2978">
        <v>0.14000000000000001</v>
      </c>
      <c r="G377" s="2980">
        <v>0.15</v>
      </c>
    </row>
    <row r="378" spans="1:7">
      <c r="A378" s="2983" t="s">
        <v>2848</v>
      </c>
      <c r="B378" s="2969" t="s">
        <v>2862</v>
      </c>
      <c r="C378" s="2970">
        <v>0.15</v>
      </c>
      <c r="D378" s="2970">
        <v>0.15</v>
      </c>
      <c r="E378" s="2970">
        <v>0.15</v>
      </c>
      <c r="F378" s="2970">
        <v>0.107</v>
      </c>
      <c r="G378" s="2971">
        <v>0.15</v>
      </c>
    </row>
    <row r="379" spans="1:7">
      <c r="A379" s="2984" t="s">
        <v>2848</v>
      </c>
      <c r="B379" s="2973" t="s">
        <v>2868</v>
      </c>
      <c r="C379" s="2974">
        <v>0.15</v>
      </c>
      <c r="D379" s="2974">
        <v>0.15</v>
      </c>
      <c r="E379" s="2974">
        <v>0.15</v>
      </c>
      <c r="F379" s="2974">
        <v>0.115</v>
      </c>
      <c r="G379" s="2975">
        <v>0.14899999999999999</v>
      </c>
    </row>
    <row r="380" spans="1:7">
      <c r="A380" s="2984" t="s">
        <v>2848</v>
      </c>
      <c r="B380" s="2973" t="s">
        <v>2874</v>
      </c>
      <c r="C380" s="2974">
        <v>0.15</v>
      </c>
      <c r="D380" s="2974">
        <v>0.15</v>
      </c>
      <c r="E380" s="2974">
        <v>0.15</v>
      </c>
      <c r="F380" s="2974">
        <v>0.1</v>
      </c>
      <c r="G380" s="2975">
        <v>0.14799999999999999</v>
      </c>
    </row>
    <row r="381" spans="1:7">
      <c r="A381" s="2984" t="s">
        <v>2848</v>
      </c>
      <c r="B381" s="2973" t="s">
        <v>2877</v>
      </c>
      <c r="C381" s="2974">
        <v>0.15</v>
      </c>
      <c r="D381" s="2974">
        <v>0.15</v>
      </c>
      <c r="E381" s="2974">
        <v>0.15</v>
      </c>
      <c r="F381" s="2974">
        <v>0.126</v>
      </c>
      <c r="G381" s="2975">
        <v>0.15</v>
      </c>
    </row>
    <row r="382" spans="1:7">
      <c r="A382" s="2984" t="s">
        <v>2848</v>
      </c>
      <c r="B382" s="2973" t="s">
        <v>2881</v>
      </c>
      <c r="C382" s="2974">
        <v>0.15</v>
      </c>
      <c r="D382" s="2974">
        <v>0.15</v>
      </c>
      <c r="E382" s="2974">
        <v>0.15</v>
      </c>
      <c r="F382" s="2974">
        <v>0.15</v>
      </c>
      <c r="G382" s="2975">
        <v>0.15</v>
      </c>
    </row>
    <row r="383" spans="1:7">
      <c r="A383" s="2984" t="s">
        <v>2848</v>
      </c>
      <c r="B383" s="2973" t="s">
        <v>2886</v>
      </c>
      <c r="C383" s="2974">
        <v>0.15</v>
      </c>
      <c r="D383" s="2974">
        <v>0.15</v>
      </c>
      <c r="E383" s="2974">
        <v>0.15</v>
      </c>
      <c r="F383" s="2974">
        <v>0.14699999999999999</v>
      </c>
      <c r="G383" s="2975">
        <v>0.15</v>
      </c>
    </row>
    <row r="384" spans="1:7" ht="15" thickBot="1">
      <c r="A384" s="2994" t="s">
        <v>2848</v>
      </c>
      <c r="B384" s="2995" t="s">
        <v>2890</v>
      </c>
      <c r="C384" s="2996">
        <v>0.15</v>
      </c>
      <c r="D384" s="2996">
        <v>0.15</v>
      </c>
      <c r="E384" s="2996">
        <v>0.15</v>
      </c>
      <c r="F384" s="2996">
        <v>0.15</v>
      </c>
      <c r="G384" s="2997">
        <v>0.15</v>
      </c>
    </row>
  </sheetData>
  <sheetProtection password="CEE9" sheet="1" objects="1" scenarios="1"/>
  <mergeCells count="1">
    <mergeCell ref="A1:B1"/>
  </mergeCells>
  <phoneticPr fontId="9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17"/>
  <sheetViews>
    <sheetView workbookViewId="0">
      <selection sqref="A1:XFD1048576"/>
    </sheetView>
  </sheetViews>
  <sheetFormatPr defaultColWidth="13.21875" defaultRowHeight="14.4"/>
  <cols>
    <col min="1" max="16384" width="13.21875" style="2809"/>
  </cols>
  <sheetData>
    <row r="1" spans="1:6">
      <c r="A1" s="3566" t="s">
        <v>3229</v>
      </c>
      <c r="B1" s="3566"/>
      <c r="C1" s="3566"/>
      <c r="D1" s="3566"/>
      <c r="E1" s="3566"/>
      <c r="F1" s="3567"/>
    </row>
    <row r="2" spans="1:6">
      <c r="A2" s="2998" t="s">
        <v>3230</v>
      </c>
    </row>
    <row r="3" spans="1:6">
      <c r="A3" s="2998" t="s">
        <v>3231</v>
      </c>
      <c r="F3" s="2999" t="s">
        <v>3232</v>
      </c>
    </row>
    <row r="4" spans="1:6">
      <c r="A4" s="3000" t="s">
        <v>672</v>
      </c>
      <c r="B4" s="3000" t="s">
        <v>673</v>
      </c>
      <c r="C4" s="3000" t="s">
        <v>21</v>
      </c>
      <c r="D4" s="3000" t="s">
        <v>674</v>
      </c>
      <c r="E4" s="3000" t="s">
        <v>3</v>
      </c>
      <c r="F4" s="3000" t="s">
        <v>3233</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R54"/>
  <sheetViews>
    <sheetView topLeftCell="A28" zoomScale="90" zoomScaleNormal="90" workbookViewId="0">
      <selection activeCell="G36" sqref="G36:G40"/>
    </sheetView>
  </sheetViews>
  <sheetFormatPr defaultRowHeight="14.4"/>
  <cols>
    <col min="1" max="1" width="13.88671875" customWidth="1"/>
    <col min="11" max="17" width="0" hidden="1" customWidth="1"/>
    <col min="25" max="30" width="0" hidden="1" customWidth="1"/>
  </cols>
  <sheetData>
    <row r="1" spans="1:44">
      <c r="A1" s="2933">
        <f>'基准地价修正-住宅'!G23</f>
        <v>45826</v>
      </c>
      <c r="B1" s="2925" t="s">
        <v>3374</v>
      </c>
      <c r="C1" s="2926"/>
      <c r="D1" s="2926"/>
      <c r="E1" s="2926"/>
      <c r="F1" s="2926"/>
      <c r="G1" s="2926"/>
      <c r="H1" s="2926"/>
      <c r="I1" s="2926"/>
      <c r="J1" s="2892"/>
      <c r="K1" s="2926" t="s">
        <v>454</v>
      </c>
      <c r="L1" s="2926"/>
      <c r="M1" s="2926"/>
      <c r="N1" s="2926"/>
      <c r="O1" s="2926"/>
      <c r="P1" s="2926"/>
      <c r="Q1" s="2892"/>
      <c r="R1" s="3568" t="s">
        <v>456</v>
      </c>
      <c r="S1" s="3569"/>
      <c r="T1" s="3569"/>
      <c r="U1" s="3569"/>
      <c r="V1" s="3569"/>
      <c r="W1" s="3569"/>
      <c r="X1" s="2892"/>
      <c r="Y1" s="3568" t="s">
        <v>457</v>
      </c>
      <c r="Z1" s="3569"/>
      <c r="AA1" s="3569"/>
      <c r="AB1" s="3569"/>
      <c r="AC1" s="3569"/>
      <c r="AD1" s="3569"/>
    </row>
    <row r="2" spans="1:44" s="2006" customFormat="1" ht="15" thickBot="1">
      <c r="B2" s="2877"/>
      <c r="C2" s="2878"/>
      <c r="D2" s="2007" t="s">
        <v>2807</v>
      </c>
      <c r="E2" s="2008" t="s">
        <v>2808</v>
      </c>
      <c r="F2" s="2008" t="s">
        <v>2809</v>
      </c>
      <c r="G2" s="2008" t="s">
        <v>2810</v>
      </c>
      <c r="H2" s="2008" t="s">
        <v>2811</v>
      </c>
      <c r="I2" s="2008" t="s">
        <v>2628</v>
      </c>
      <c r="J2" s="2879"/>
      <c r="K2" s="2007" t="s">
        <v>2807</v>
      </c>
      <c r="L2" s="2008" t="s">
        <v>2808</v>
      </c>
      <c r="M2" s="2008" t="s">
        <v>2809</v>
      </c>
      <c r="N2" s="2008" t="s">
        <v>2810</v>
      </c>
      <c r="O2" s="2008" t="s">
        <v>2812</v>
      </c>
      <c r="P2" s="2008" t="s">
        <v>2628</v>
      </c>
      <c r="Q2" s="2879"/>
      <c r="R2" s="2007" t="s">
        <v>2807</v>
      </c>
      <c r="S2" s="2008" t="s">
        <v>2808</v>
      </c>
      <c r="T2" s="2008" t="s">
        <v>2809</v>
      </c>
      <c r="U2" s="2008" t="s">
        <v>2813</v>
      </c>
      <c r="V2" s="2008" t="s">
        <v>2814</v>
      </c>
      <c r="W2" s="2008" t="s">
        <v>2628</v>
      </c>
      <c r="X2" s="2879"/>
      <c r="Y2" s="2007" t="s">
        <v>2807</v>
      </c>
      <c r="Z2" s="2008" t="s">
        <v>2808</v>
      </c>
      <c r="AA2" s="2008" t="s">
        <v>2809</v>
      </c>
      <c r="AB2" s="2008" t="s">
        <v>2815</v>
      </c>
      <c r="AC2" s="2008" t="s">
        <v>2814</v>
      </c>
      <c r="AD2" s="2008" t="s">
        <v>2628</v>
      </c>
      <c r="AF2" t="s">
        <v>3401</v>
      </c>
      <c r="AG2" t="s">
        <v>673</v>
      </c>
      <c r="AH2" t="s">
        <v>21</v>
      </c>
      <c r="AI2" t="s">
        <v>3402</v>
      </c>
      <c r="AJ2" t="s">
        <v>3</v>
      </c>
      <c r="AK2" t="s">
        <v>3403</v>
      </c>
      <c r="AM2" t="s">
        <v>3401</v>
      </c>
      <c r="AN2" t="s">
        <v>673</v>
      </c>
      <c r="AO2" t="s">
        <v>21</v>
      </c>
      <c r="AP2" t="s">
        <v>3402</v>
      </c>
      <c r="AQ2" t="s">
        <v>3</v>
      </c>
      <c r="AR2" t="s">
        <v>3403</v>
      </c>
    </row>
    <row r="3" spans="1:44" s="2882" customFormat="1" ht="13.2">
      <c r="A3" s="2880" t="s">
        <v>2816</v>
      </c>
      <c r="B3" s="2881"/>
      <c r="D3" s="2882">
        <f>ROUND(AVERAGEIF(D4:D24,"&lt;&gt;0"),2)</f>
        <v>0.39</v>
      </c>
      <c r="E3" s="2882">
        <f t="shared" ref="E3:H3" si="0">ROUND(AVERAGEIF(E4:E24,"&lt;&gt;0"),2)</f>
        <v>0.21</v>
      </c>
      <c r="F3" s="2882">
        <f t="shared" si="0"/>
        <v>-0.06</v>
      </c>
      <c r="G3" s="2882">
        <f t="shared" si="0"/>
        <v>0.46</v>
      </c>
      <c r="H3" s="2882">
        <f t="shared" si="0"/>
        <v>0.51</v>
      </c>
      <c r="I3" s="2882">
        <f>F3</f>
        <v>-0.06</v>
      </c>
      <c r="J3" s="2883"/>
      <c r="K3" s="2884">
        <f>ROUND(AVERAGEIF(K4:K24,"&lt;&gt;0"),4)</f>
        <v>3.8999999999999998E-3</v>
      </c>
      <c r="L3" s="2885">
        <f t="shared" ref="L3:O3" si="1">ROUND(AVERAGEIF(L4:L24,"&lt;&gt;0"),4)</f>
        <v>2.0999999999999999E-3</v>
      </c>
      <c r="M3" s="2885">
        <f t="shared" si="1"/>
        <v>-5.9999999999999995E-4</v>
      </c>
      <c r="N3" s="2885">
        <f t="shared" si="1"/>
        <v>4.5999999999999999E-3</v>
      </c>
      <c r="O3" s="2885">
        <f t="shared" si="1"/>
        <v>5.1000000000000004E-3</v>
      </c>
      <c r="P3" s="2885">
        <f>M3</f>
        <v>-5.9999999999999995E-4</v>
      </c>
      <c r="Q3" s="2883"/>
      <c r="R3" s="2886">
        <f>ROUND(SUMPRODUCT(PRODUCT(1+K4:K24)),4)</f>
        <v>1.0674999999999999</v>
      </c>
      <c r="S3" s="2887">
        <f t="shared" ref="S3:V3" si="2">ROUND(SUMPRODUCT(PRODUCT(1+L4:L24)),4)</f>
        <v>1.0355000000000001</v>
      </c>
      <c r="T3" s="2887">
        <f t="shared" si="2"/>
        <v>0.98880000000000001</v>
      </c>
      <c r="U3" s="2887">
        <f t="shared" si="2"/>
        <v>1.0798000000000001</v>
      </c>
      <c r="V3" s="2887">
        <f t="shared" si="2"/>
        <v>1.0911</v>
      </c>
      <c r="W3" s="2886">
        <f>T3</f>
        <v>0.98880000000000001</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5" customFormat="1" ht="13.2">
      <c r="B4" s="2021"/>
      <c r="J4" s="2892"/>
      <c r="K4" s="2893"/>
      <c r="L4" s="2894"/>
      <c r="M4" s="2894"/>
      <c r="N4" s="2894"/>
      <c r="O4" s="2894"/>
      <c r="P4" s="2894"/>
      <c r="Q4" s="2892"/>
      <c r="R4" s="2023"/>
      <c r="S4" s="2895"/>
      <c r="T4" s="2896"/>
      <c r="U4" s="2023"/>
      <c r="V4" s="2897"/>
      <c r="W4" s="2023"/>
      <c r="X4" s="2892"/>
      <c r="Y4" s="2024"/>
      <c r="Z4" s="2898"/>
      <c r="AA4" s="2899"/>
      <c r="AB4" s="2024"/>
      <c r="AC4" s="2900"/>
      <c r="AD4" s="2024"/>
    </row>
    <row r="5" spans="1:44" s="2041" customFormat="1">
      <c r="A5" s="2036" t="s">
        <v>3400</v>
      </c>
      <c r="B5" s="2027">
        <v>2025</v>
      </c>
      <c r="C5" s="2038">
        <v>4</v>
      </c>
      <c r="D5" s="2003">
        <v>0</v>
      </c>
      <c r="E5" s="2003">
        <v>0</v>
      </c>
      <c r="F5" s="2003">
        <v>0</v>
      </c>
      <c r="G5" s="2003">
        <v>0</v>
      </c>
      <c r="H5" s="2003">
        <v>0</v>
      </c>
      <c r="I5" s="2004">
        <f t="shared" ref="I5" si="4">F5</f>
        <v>0</v>
      </c>
      <c r="J5" s="2902"/>
      <c r="K5" s="2039">
        <f t="shared" ref="K5" si="5">D5/100</f>
        <v>0</v>
      </c>
      <c r="L5" s="2024">
        <f t="shared" ref="L5" si="6">E5/100</f>
        <v>0</v>
      </c>
      <c r="M5" s="2024">
        <f t="shared" ref="M5" si="7">F5/100</f>
        <v>0</v>
      </c>
      <c r="N5" s="2024">
        <f t="shared" ref="N5" si="8">G5/100</f>
        <v>0</v>
      </c>
      <c r="O5" s="2024">
        <f t="shared" ref="O5" si="9">H5/100</f>
        <v>0</v>
      </c>
      <c r="P5" s="2024">
        <f t="shared" ref="P5:P11" si="10">M5</f>
        <v>0</v>
      </c>
      <c r="Q5" s="2902"/>
      <c r="R5" s="2023">
        <f>ROUND(IF(项目基本情况!$B$8="出让",SUMPRODUCT(PRODUCT(1+K5:$K$24)),SUMPRODUCT(PRODUCT(1+K5:$K$23))),4)</f>
        <v>1.0571999999999999</v>
      </c>
      <c r="S5" s="2023">
        <f>ROUND(IF(项目基本情况!$B$8="出让",SUMPRODUCT(PRODUCT(1+L5:$L$24)),SUMPRODUCT(PRODUCT(1+L5:$L$23))),4)</f>
        <v>1.0339</v>
      </c>
      <c r="T5" s="2023">
        <f>ROUND(IF(项目基本情况!$B$8="出让",SUMPRODUCT(PRODUCT(1+M5:$M$24)),SUMPRODUCT(PRODUCT(1+M5:$M$23))),4)</f>
        <v>0.99129999999999996</v>
      </c>
      <c r="U5" s="2023">
        <f>ROUND(IF(项目基本情况!$B$8="出让",SUMPRODUCT(PRODUCT(1+N5:$N$24)),SUMPRODUCT(PRODUCT(1+N5:$N$23))),4)</f>
        <v>1.0679000000000001</v>
      </c>
      <c r="V5" s="2023">
        <f>ROUND(IF(项目基本情况!$B$8="出让",SUMPRODUCT(PRODUCT(1+O5:$O$24)),SUMPRODUCT(PRODUCT(1+O5:$O$23))),4)</f>
        <v>1.0871999999999999</v>
      </c>
      <c r="W5" s="2023">
        <f t="shared" ref="W5:W11" si="11">T5</f>
        <v>0.99129999999999996</v>
      </c>
      <c r="X5" s="2902"/>
      <c r="Y5" s="2024">
        <f t="shared" ref="Y5:Y11" si="12">IF(D5=0,0,ROUND(AVERAGE(D5:D18)/100,4))</f>
        <v>0</v>
      </c>
      <c r="Z5" s="2024">
        <f t="shared" ref="Z5" si="13">IF(E5=0,0,ROUND(AVERAGE(E5:E18)/100,4))</f>
        <v>0</v>
      </c>
      <c r="AA5" s="2024">
        <f t="shared" ref="AA5" si="14">IF(F5=0,0,ROUND(AVERAGE(F5:F18)/100,4))</f>
        <v>0</v>
      </c>
      <c r="AB5" s="2024">
        <f t="shared" ref="AB5" si="15">IF(G5=0,0,ROUND(AVERAGE(G5:G18)/100,4))</f>
        <v>0</v>
      </c>
      <c r="AC5" s="2024">
        <f t="shared" ref="AC5" si="16">IF(H5=0,0,ROUND(AVERAGE(H5:H18)/100,4))</f>
        <v>0</v>
      </c>
      <c r="AD5" s="2024">
        <f t="shared" ref="AD5" si="17">AA5</f>
        <v>0</v>
      </c>
      <c r="AF5" s="3149">
        <f>$AF$24*R5</f>
        <v>105.72</v>
      </c>
      <c r="AG5" s="3149">
        <f t="shared" ref="AG5:AK5" si="18">$AF$24*S5</f>
        <v>103.39</v>
      </c>
      <c r="AH5" s="3149">
        <f t="shared" si="18"/>
        <v>99.13</v>
      </c>
      <c r="AI5" s="3149">
        <f t="shared" si="18"/>
        <v>106.79</v>
      </c>
      <c r="AJ5" s="3149">
        <f t="shared" si="18"/>
        <v>108.72</v>
      </c>
      <c r="AK5" s="3149">
        <f t="shared" si="18"/>
        <v>99.13</v>
      </c>
      <c r="AM5" s="3155">
        <v>100</v>
      </c>
      <c r="AN5" s="3155">
        <v>100</v>
      </c>
      <c r="AO5" s="3155">
        <v>100</v>
      </c>
      <c r="AP5" s="3155">
        <v>100</v>
      </c>
      <c r="AQ5" s="3155">
        <v>100</v>
      </c>
      <c r="AR5" s="3155">
        <v>100</v>
      </c>
    </row>
    <row r="6" spans="1:44" s="2041" customFormat="1" ht="13.2">
      <c r="A6" s="2036" t="s">
        <v>3399</v>
      </c>
      <c r="B6" s="2027">
        <v>2025</v>
      </c>
      <c r="C6" s="2038">
        <v>3</v>
      </c>
      <c r="D6" s="2003">
        <v>0</v>
      </c>
      <c r="E6" s="2003">
        <v>0</v>
      </c>
      <c r="F6" s="2003">
        <v>0</v>
      </c>
      <c r="G6" s="2003">
        <v>0</v>
      </c>
      <c r="H6" s="2003">
        <v>0</v>
      </c>
      <c r="I6" s="2004">
        <f t="shared" ref="I6" si="19">F6</f>
        <v>0</v>
      </c>
      <c r="J6" s="2902"/>
      <c r="K6" s="2039">
        <f t="shared" ref="K6" si="20">D6/100</f>
        <v>0</v>
      </c>
      <c r="L6" s="2024">
        <f t="shared" ref="L6" si="21">E6/100</f>
        <v>0</v>
      </c>
      <c r="M6" s="2024">
        <f t="shared" ref="M6" si="22">F6/100</f>
        <v>0</v>
      </c>
      <c r="N6" s="2024">
        <f t="shared" ref="N6" si="23">G6/100</f>
        <v>0</v>
      </c>
      <c r="O6" s="2024">
        <f t="shared" ref="O6" si="24">H6/100</f>
        <v>0</v>
      </c>
      <c r="P6" s="2024">
        <f t="shared" si="10"/>
        <v>0</v>
      </c>
      <c r="Q6" s="2902"/>
      <c r="R6" s="2023">
        <f>ROUND(IF(项目基本情况!$B$8="出让",SUMPRODUCT(PRODUCT(1+K6:$K$24)),SUMPRODUCT(PRODUCT(1+K6:$K$23))),4)</f>
        <v>1.0571999999999999</v>
      </c>
      <c r="S6" s="2023">
        <f>ROUND(IF(项目基本情况!$B$8="出让",SUMPRODUCT(PRODUCT(1+L6:$L$24)),SUMPRODUCT(PRODUCT(1+L6:$L$23))),4)</f>
        <v>1.0339</v>
      </c>
      <c r="T6" s="2023">
        <f>ROUND(IF(项目基本情况!$B$8="出让",SUMPRODUCT(PRODUCT(1+M6:$M$24)),SUMPRODUCT(PRODUCT(1+M6:$M$23))),4)</f>
        <v>0.99129999999999996</v>
      </c>
      <c r="U6" s="2023">
        <f>ROUND(IF(项目基本情况!$B$8="出让",SUMPRODUCT(PRODUCT(1+N6:$N$24)),SUMPRODUCT(PRODUCT(1+N6:$N$23))),4)</f>
        <v>1.0679000000000001</v>
      </c>
      <c r="V6" s="2023">
        <f>ROUND(IF(项目基本情况!$B$8="出让",SUMPRODUCT(PRODUCT(1+O6:$O$24)),SUMPRODUCT(PRODUCT(1+O6:$O$23))),4)</f>
        <v>1.0871999999999999</v>
      </c>
      <c r="W6" s="2023">
        <f t="shared" si="11"/>
        <v>0.99129999999999996</v>
      </c>
      <c r="X6" s="2902"/>
      <c r="Y6" s="2024">
        <f t="shared" si="12"/>
        <v>0</v>
      </c>
      <c r="Z6" s="2024">
        <f t="shared" ref="Z6" si="25">IF(E6=0,0,ROUND(AVERAGE(E6:E19)/100,4))</f>
        <v>0</v>
      </c>
      <c r="AA6" s="2024">
        <f t="shared" ref="AA6" si="26">IF(F6=0,0,ROUND(AVERAGE(F6:F19)/100,4))</f>
        <v>0</v>
      </c>
      <c r="AB6" s="2024">
        <f t="shared" ref="AB6" si="27">IF(G6=0,0,ROUND(AVERAGE(G6:G19)/100,4))</f>
        <v>0</v>
      </c>
      <c r="AC6" s="2024">
        <f t="shared" ref="AC6" si="28">IF(H6=0,0,ROUND(AVERAGE(H6:H19)/100,4))</f>
        <v>0</v>
      </c>
      <c r="AD6" s="2024">
        <f t="shared" ref="AD6" si="29">AA6</f>
        <v>0</v>
      </c>
      <c r="AF6" s="3149">
        <f t="shared" ref="AF6:AF23" si="30">$AF$24*R6</f>
        <v>105.72</v>
      </c>
      <c r="AG6" s="3149">
        <f t="shared" ref="AG6:AG23" si="31">$AF$24*S6</f>
        <v>103.39</v>
      </c>
      <c r="AH6" s="3149">
        <f t="shared" ref="AH6:AH23" si="32">$AF$24*T6</f>
        <v>99.13</v>
      </c>
      <c r="AI6" s="3149">
        <f t="shared" ref="AI6:AI23" si="33">$AF$24*U6</f>
        <v>106.79</v>
      </c>
      <c r="AJ6" s="3149">
        <f t="shared" ref="AJ6:AJ23" si="34">$AF$24*V6</f>
        <v>108.72</v>
      </c>
      <c r="AK6" s="3149">
        <f t="shared" ref="AK6:AK23" si="35">$AF$24*W6</f>
        <v>99.13</v>
      </c>
      <c r="AM6" s="3149">
        <f>AM5/(1+D5/100)</f>
        <v>100</v>
      </c>
      <c r="AN6" s="3149">
        <f t="shared" ref="AN6:AR6" si="36">AN5/(1+E5/100)</f>
        <v>100</v>
      </c>
      <c r="AO6" s="3149">
        <f t="shared" si="36"/>
        <v>100</v>
      </c>
      <c r="AP6" s="3149">
        <f t="shared" si="36"/>
        <v>100</v>
      </c>
      <c r="AQ6" s="3149">
        <f t="shared" si="36"/>
        <v>100</v>
      </c>
      <c r="AR6" s="3149">
        <f t="shared" si="36"/>
        <v>100</v>
      </c>
    </row>
    <row r="7" spans="1:44" s="2912" customFormat="1" ht="13.2">
      <c r="A7" s="2903" t="s">
        <v>3398</v>
      </c>
      <c r="B7" s="2904">
        <v>2025</v>
      </c>
      <c r="C7" s="2905">
        <v>2</v>
      </c>
      <c r="D7" s="2906">
        <v>0</v>
      </c>
      <c r="E7" s="2906">
        <v>0</v>
      </c>
      <c r="F7" s="2906">
        <v>0</v>
      </c>
      <c r="G7" s="2906">
        <v>0</v>
      </c>
      <c r="H7" s="2907">
        <v>0</v>
      </c>
      <c r="I7" s="2908">
        <f t="shared" ref="I7" si="37">F7</f>
        <v>0</v>
      </c>
      <c r="J7" s="2909"/>
      <c r="K7" s="2910">
        <f t="shared" ref="K7" si="38">D7/100</f>
        <v>0</v>
      </c>
      <c r="L7" s="2911">
        <f t="shared" ref="L7" si="39">E7/100</f>
        <v>0</v>
      </c>
      <c r="M7" s="2911">
        <f t="shared" ref="M7" si="40">F7/100</f>
        <v>0</v>
      </c>
      <c r="N7" s="2911">
        <f t="shared" ref="N7" si="41">G7/100</f>
        <v>0</v>
      </c>
      <c r="O7" s="2911">
        <f t="shared" ref="O7" si="42">H7/100</f>
        <v>0</v>
      </c>
      <c r="P7" s="2911">
        <f t="shared" si="10"/>
        <v>0</v>
      </c>
      <c r="Q7" s="2909"/>
      <c r="R7" s="2909">
        <f>ROUND(IF(项目基本情况!$B$8="出让",SUMPRODUCT(PRODUCT(1+K7:$K$24)),SUMPRODUCT(PRODUCT(1+K7:$K$23))),4)</f>
        <v>1.0571999999999999</v>
      </c>
      <c r="S7" s="2909">
        <f>ROUND(IF(项目基本情况!$B$8="出让",SUMPRODUCT(PRODUCT(1+L7:$L$24)),SUMPRODUCT(PRODUCT(1+L7:$L$23))),4)</f>
        <v>1.0339</v>
      </c>
      <c r="T7" s="2909">
        <f>ROUND(IF(项目基本情况!$B$8="出让",SUMPRODUCT(PRODUCT(1+M7:$M$24)),SUMPRODUCT(PRODUCT(1+M7:$M$23))),4)</f>
        <v>0.99129999999999996</v>
      </c>
      <c r="U7" s="2909">
        <f>ROUND(IF(项目基本情况!$B$8="出让",SUMPRODUCT(PRODUCT(1+N7:$N$24)),SUMPRODUCT(PRODUCT(1+N7:$N$23))),4)</f>
        <v>1.0679000000000001</v>
      </c>
      <c r="V7" s="2909">
        <f>ROUND(IF(项目基本情况!$B$8="出让",SUMPRODUCT(PRODUCT(1+O7:$O$24)),SUMPRODUCT(PRODUCT(1+O7:$O$23))),4)</f>
        <v>1.0871999999999999</v>
      </c>
      <c r="W7" s="2909">
        <f t="shared" si="11"/>
        <v>0.99129999999999996</v>
      </c>
      <c r="X7" s="2909"/>
      <c r="Y7" s="2911">
        <f t="shared" si="12"/>
        <v>0</v>
      </c>
      <c r="Z7" s="2911">
        <f t="shared" ref="Z7" si="43">IF(E7=0,0,ROUND(AVERAGE(E7:E20)/100,4))</f>
        <v>0</v>
      </c>
      <c r="AA7" s="2911">
        <f t="shared" ref="AA7" si="44">IF(F7=0,0,ROUND(AVERAGE(F7:F20)/100,4))</f>
        <v>0</v>
      </c>
      <c r="AB7" s="2911">
        <f t="shared" ref="AB7" si="45">IF(G7=0,0,ROUND(AVERAGE(G7:G20)/100,4))</f>
        <v>0</v>
      </c>
      <c r="AC7" s="2911">
        <f t="shared" ref="AC7" si="46">IF(H7=0,0,ROUND(AVERAGE(H7:H20)/100,4))</f>
        <v>0</v>
      </c>
      <c r="AD7" s="2911">
        <f t="shared" ref="AD7" si="47">AA7</f>
        <v>0</v>
      </c>
      <c r="AF7" s="3150">
        <f t="shared" si="30"/>
        <v>105.72</v>
      </c>
      <c r="AG7" s="3150">
        <f t="shared" si="31"/>
        <v>103.39</v>
      </c>
      <c r="AH7" s="3150">
        <f t="shared" si="32"/>
        <v>99.13</v>
      </c>
      <c r="AI7" s="3150">
        <f t="shared" si="33"/>
        <v>106.79</v>
      </c>
      <c r="AJ7" s="3150">
        <f t="shared" si="34"/>
        <v>108.72</v>
      </c>
      <c r="AK7" s="3150">
        <f t="shared" si="35"/>
        <v>99.13</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1" customFormat="1" ht="13.2">
      <c r="A8" s="2036" t="s">
        <v>3406</v>
      </c>
      <c r="B8" s="2027">
        <v>2025</v>
      </c>
      <c r="C8" s="2038">
        <v>1</v>
      </c>
      <c r="D8" s="2003">
        <v>0.56999999999999995</v>
      </c>
      <c r="E8" s="2003">
        <v>-0.56999999999999995</v>
      </c>
      <c r="F8" s="2003">
        <v>-0.9</v>
      </c>
      <c r="G8" s="2003">
        <v>1.1200000000000001</v>
      </c>
      <c r="H8" s="2003">
        <v>0.42</v>
      </c>
      <c r="I8" s="2004">
        <f t="shared" ref="I8" si="54">F8</f>
        <v>-0.9</v>
      </c>
      <c r="J8" s="2902"/>
      <c r="K8" s="2039">
        <f t="shared" ref="K8" si="55">D8/100</f>
        <v>5.6999999999999993E-3</v>
      </c>
      <c r="L8" s="2024">
        <f t="shared" ref="L8" si="56">E8/100</f>
        <v>-5.6999999999999993E-3</v>
      </c>
      <c r="M8" s="2024">
        <f t="shared" ref="M8" si="57">F8/100</f>
        <v>-9.0000000000000011E-3</v>
      </c>
      <c r="N8" s="2024">
        <f t="shared" ref="N8" si="58">G8/100</f>
        <v>1.1200000000000002E-2</v>
      </c>
      <c r="O8" s="2024">
        <f t="shared" ref="O8" si="59">H8/100</f>
        <v>4.1999999999999997E-3</v>
      </c>
      <c r="P8" s="2024">
        <f t="shared" si="10"/>
        <v>-9.0000000000000011E-3</v>
      </c>
      <c r="Q8" s="2902"/>
      <c r="R8" s="2023">
        <f>ROUND(IF(项目基本情况!$B$8="出让",SUMPRODUCT(PRODUCT(1+K8:$K$24)),SUMPRODUCT(PRODUCT(1+K8:$K$23))),4)</f>
        <v>1.0571999999999999</v>
      </c>
      <c r="S8" s="2023">
        <f>ROUND(IF(项目基本情况!$B$8="出让",SUMPRODUCT(PRODUCT(1+L8:$L$24)),SUMPRODUCT(PRODUCT(1+L8:$L$23))),4)</f>
        <v>1.0339</v>
      </c>
      <c r="T8" s="2023">
        <f>ROUND(IF(项目基本情况!$B$8="出让",SUMPRODUCT(PRODUCT(1+M8:$M$24)),SUMPRODUCT(PRODUCT(1+M8:$M$23))),4)</f>
        <v>0.99129999999999996</v>
      </c>
      <c r="U8" s="2023">
        <f>ROUND(IF(项目基本情况!$B$8="出让",SUMPRODUCT(PRODUCT(1+N8:$N$24)),SUMPRODUCT(PRODUCT(1+N8:$N$23))),4)</f>
        <v>1.0679000000000001</v>
      </c>
      <c r="V8" s="2023">
        <f>ROUND(IF(项目基本情况!$B$8="出让",SUMPRODUCT(PRODUCT(1+O8:$O$24)),SUMPRODUCT(PRODUCT(1+O8:$O$23))),4)</f>
        <v>1.0871999999999999</v>
      </c>
      <c r="W8" s="2023">
        <f t="shared" si="11"/>
        <v>0.99129999999999996</v>
      </c>
      <c r="X8" s="2902"/>
      <c r="Y8" s="2024">
        <f t="shared" si="12"/>
        <v>3.0000000000000001E-3</v>
      </c>
      <c r="Z8" s="2024">
        <f t="shared" ref="Z8" si="60">IF(E8=0,0,ROUND(AVERAGE(E8:E21)/100,4))</f>
        <v>1.6000000000000001E-3</v>
      </c>
      <c r="AA8" s="2024">
        <f t="shared" ref="AA8" si="61">IF(F8=0,0,ROUND(AVERAGE(F8:F21)/100,4))</f>
        <v>-1.1000000000000001E-3</v>
      </c>
      <c r="AB8" s="2024">
        <f t="shared" ref="AB8" si="62">IF(G8=0,0,ROUND(AVERAGE(G8:G21)/100,4))</f>
        <v>3.7000000000000002E-3</v>
      </c>
      <c r="AC8" s="2024">
        <f t="shared" ref="AC8" si="63">IF(H8=0,0,ROUND(AVERAGE(H8:H21)/100,4))</f>
        <v>4.8999999999999998E-3</v>
      </c>
      <c r="AD8" s="2024">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100</v>
      </c>
      <c r="AN8" s="3149">
        <f t="shared" si="49"/>
        <v>100</v>
      </c>
      <c r="AO8" s="3149">
        <f t="shared" si="50"/>
        <v>100</v>
      </c>
      <c r="AP8" s="3149">
        <f t="shared" si="51"/>
        <v>100</v>
      </c>
      <c r="AQ8" s="3149">
        <f t="shared" si="52"/>
        <v>100</v>
      </c>
      <c r="AR8" s="3149">
        <f t="shared" si="53"/>
        <v>100</v>
      </c>
    </row>
    <row r="9" spans="1:44" s="2041" customFormat="1" ht="13.2">
      <c r="A9" s="2036" t="s">
        <v>3405</v>
      </c>
      <c r="B9" s="2027">
        <v>2024</v>
      </c>
      <c r="C9" s="2038">
        <v>4</v>
      </c>
      <c r="D9" s="2003">
        <v>-1.02</v>
      </c>
      <c r="E9" s="2003">
        <v>-0.48</v>
      </c>
      <c r="F9" s="2003">
        <v>-0.75</v>
      </c>
      <c r="G9" s="2003">
        <v>-1.05</v>
      </c>
      <c r="H9" s="2003">
        <v>0.08</v>
      </c>
      <c r="I9" s="2004">
        <f t="shared" ref="I9" si="65">F9</f>
        <v>-0.75</v>
      </c>
      <c r="J9" s="2902"/>
      <c r="K9" s="2039">
        <f t="shared" ref="K9" si="66">D9/100</f>
        <v>-1.0200000000000001E-2</v>
      </c>
      <c r="L9" s="2024">
        <f t="shared" ref="L9" si="67">E9/100</f>
        <v>-4.7999999999999996E-3</v>
      </c>
      <c r="M9" s="2024">
        <f t="shared" ref="M9" si="68">F9/100</f>
        <v>-7.4999999999999997E-3</v>
      </c>
      <c r="N9" s="2024">
        <f t="shared" ref="N9" si="69">G9/100</f>
        <v>-1.0500000000000001E-2</v>
      </c>
      <c r="O9" s="2024">
        <f t="shared" ref="O9" si="70">H9/100</f>
        <v>8.0000000000000004E-4</v>
      </c>
      <c r="P9" s="2024">
        <f t="shared" si="10"/>
        <v>-7.4999999999999997E-3</v>
      </c>
      <c r="Q9" s="2902"/>
      <c r="R9" s="2023">
        <f>ROUND(IF(项目基本情况!$B$8="出让",SUMPRODUCT(PRODUCT(1+K9:$K$24)),SUMPRODUCT(PRODUCT(1+K9:$K$23))),4)</f>
        <v>1.0511999999999999</v>
      </c>
      <c r="S9" s="2023">
        <f>ROUND(IF(项目基本情况!$B$8="出让",SUMPRODUCT(PRODUCT(1+L9:$L$24)),SUMPRODUCT(PRODUCT(1+L9:$L$23))),4)</f>
        <v>1.0398000000000001</v>
      </c>
      <c r="T9" s="2023">
        <f>ROUND(IF(项目基本情况!$B$8="出让",SUMPRODUCT(PRODUCT(1+M9:$M$24)),SUMPRODUCT(PRODUCT(1+M9:$M$23))),4)</f>
        <v>1.0003</v>
      </c>
      <c r="U9" s="2023">
        <f>ROUND(IF(项目基本情况!$B$8="出让",SUMPRODUCT(PRODUCT(1+N9:$N$24)),SUMPRODUCT(PRODUCT(1+N9:$N$23))),4)</f>
        <v>1.0561</v>
      </c>
      <c r="V9" s="2023">
        <f>ROUND(IF(项目基本情况!$B$8="出让",SUMPRODUCT(PRODUCT(1+O9:$O$24)),SUMPRODUCT(PRODUCT(1+O9:$O$23))),4)</f>
        <v>1.0827</v>
      </c>
      <c r="W9" s="2023">
        <f t="shared" si="11"/>
        <v>1.0003</v>
      </c>
      <c r="X9" s="2902"/>
      <c r="Y9" s="2024">
        <f t="shared" si="12"/>
        <v>2.8999999999999998E-3</v>
      </c>
      <c r="Z9" s="2024">
        <f t="shared" ref="Z9" si="71">IF(E9=0,0,ROUND(AVERAGE(E9:E22)/100,4))</f>
        <v>2.3E-3</v>
      </c>
      <c r="AA9" s="2024">
        <f t="shared" ref="AA9" si="72">IF(F9=0,0,ROUND(AVERAGE(F9:F22)/100,4))</f>
        <v>-2.9999999999999997E-4</v>
      </c>
      <c r="AB9" s="2024">
        <f t="shared" ref="AB9" si="73">IF(G9=0,0,ROUND(AVERAGE(G9:G22)/100,4))</f>
        <v>3.3E-3</v>
      </c>
      <c r="AC9" s="2024">
        <f t="shared" ref="AC9" si="74">IF(H9=0,0,ROUND(AVERAGE(H9:H22)/100,4))</f>
        <v>5.0000000000000001E-3</v>
      </c>
      <c r="AD9" s="2024">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99.433230585661718</v>
      </c>
      <c r="AN9" s="3149">
        <f t="shared" si="49"/>
        <v>100.57326762546515</v>
      </c>
      <c r="AO9" s="3149">
        <f t="shared" si="50"/>
        <v>100.90817356205852</v>
      </c>
      <c r="AP9" s="3149">
        <f t="shared" si="51"/>
        <v>98.892405063291136</v>
      </c>
      <c r="AQ9" s="3149">
        <f t="shared" si="52"/>
        <v>99.581756622186816</v>
      </c>
      <c r="AR9" s="3149">
        <f t="shared" si="53"/>
        <v>100.90817356205852</v>
      </c>
    </row>
    <row r="10" spans="1:44" s="2041" customFormat="1" ht="13.2">
      <c r="A10" s="2036" t="s">
        <v>3378</v>
      </c>
      <c r="B10" s="2027">
        <v>2024</v>
      </c>
      <c r="C10" s="2038">
        <v>3</v>
      </c>
      <c r="D10" s="2003">
        <v>-1.19</v>
      </c>
      <c r="E10" s="2003">
        <v>-0.47</v>
      </c>
      <c r="F10" s="2003">
        <v>-0.28999999999999998</v>
      </c>
      <c r="G10" s="2003">
        <v>-0.74</v>
      </c>
      <c r="H10" s="2003">
        <v>-0.21</v>
      </c>
      <c r="I10" s="2004">
        <f t="shared" ref="I10" si="76">F10</f>
        <v>-0.28999999999999998</v>
      </c>
      <c r="J10" s="2902"/>
      <c r="K10" s="2039">
        <f t="shared" ref="K10" si="77">D10/100</f>
        <v>-1.1899999999999999E-2</v>
      </c>
      <c r="L10" s="2024">
        <f t="shared" ref="L10" si="78">E10/100</f>
        <v>-4.6999999999999993E-3</v>
      </c>
      <c r="M10" s="2024">
        <f t="shared" ref="M10" si="79">F10/100</f>
        <v>-2.8999999999999998E-3</v>
      </c>
      <c r="N10" s="2024">
        <f t="shared" ref="N10" si="80">G10/100</f>
        <v>-7.4000000000000003E-3</v>
      </c>
      <c r="O10" s="2024">
        <f t="shared" ref="O10" si="81">H10/100</f>
        <v>-2.0999999999999999E-3</v>
      </c>
      <c r="P10" s="2024">
        <f t="shared" si="10"/>
        <v>-2.8999999999999998E-3</v>
      </c>
      <c r="Q10" s="2902"/>
      <c r="R10" s="2023">
        <f>ROUND(IF(项目基本情况!$B$8="出让",SUMPRODUCT(PRODUCT(1+K10:$K$24)),SUMPRODUCT(PRODUCT(1+K10:$K$23))),4)</f>
        <v>1.0620000000000001</v>
      </c>
      <c r="S10" s="2023">
        <f>ROUND(IF(项目基本情况!$B$8="出让",SUMPRODUCT(PRODUCT(1+L10:$L$24)),SUMPRODUCT(PRODUCT(1+L10:$L$23))),4)</f>
        <v>1.0448</v>
      </c>
      <c r="T10" s="2023">
        <f>ROUND(IF(项目基本情况!$B$8="出让",SUMPRODUCT(PRODUCT(1+M10:$M$24)),SUMPRODUCT(PRODUCT(1+M10:$M$23))),4)</f>
        <v>1.0079</v>
      </c>
      <c r="U10" s="2023">
        <f>ROUND(IF(项目基本情况!$B$8="出让",SUMPRODUCT(PRODUCT(1+N10:$N$24)),SUMPRODUCT(PRODUCT(1+N10:$N$23))),4)</f>
        <v>1.0672999999999999</v>
      </c>
      <c r="V10" s="2023">
        <f>ROUND(IF(项目基本情况!$B$8="出让",SUMPRODUCT(PRODUCT(1+O10:$O$24)),SUMPRODUCT(PRODUCT(1+O10:$O$23))),4)</f>
        <v>1.0818000000000001</v>
      </c>
      <c r="W10" s="2023">
        <f t="shared" si="11"/>
        <v>1.0079</v>
      </c>
      <c r="X10" s="2902"/>
      <c r="Y10" s="2024">
        <f t="shared" si="12"/>
        <v>4.3E-3</v>
      </c>
      <c r="Z10" s="2024">
        <f t="shared" ref="Z10" si="82">IF(E10=0,0,ROUND(AVERAGE(E10:E23)/100,4))</f>
        <v>3.0999999999999999E-3</v>
      </c>
      <c r="AA10" s="2024">
        <f t="shared" ref="AA10" si="83">IF(F10=0,0,ROUND(AVERAGE(F10:F23)/100,4))</f>
        <v>5.9999999999999995E-4</v>
      </c>
      <c r="AB10" s="2024">
        <f t="shared" ref="AB10" si="84">IF(G10=0,0,ROUND(AVERAGE(G10:G23)/100,4))</f>
        <v>4.7000000000000002E-3</v>
      </c>
      <c r="AC10" s="2024">
        <f t="shared" ref="AC10" si="85">IF(H10=0,0,ROUND(AVERAGE(H10:H23)/100,4))</f>
        <v>5.5999999999999999E-3</v>
      </c>
      <c r="AD10" s="2024">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100.45790117767399</v>
      </c>
      <c r="AN10" s="3149">
        <f t="shared" si="49"/>
        <v>101.05834769439826</v>
      </c>
      <c r="AO10" s="3149">
        <f t="shared" si="50"/>
        <v>101.670703840865</v>
      </c>
      <c r="AP10" s="3149">
        <f t="shared" si="51"/>
        <v>99.941793899233076</v>
      </c>
      <c r="AQ10" s="3149">
        <f t="shared" si="52"/>
        <v>99.502154898268216</v>
      </c>
      <c r="AR10" s="3149">
        <f t="shared" si="53"/>
        <v>101.670703840865</v>
      </c>
    </row>
    <row r="11" spans="1:44" s="2041" customFormat="1" ht="13.2">
      <c r="A11" s="2901" t="s">
        <v>3372</v>
      </c>
      <c r="B11" s="2027">
        <v>2024</v>
      </c>
      <c r="C11" s="2038">
        <v>2</v>
      </c>
      <c r="D11" s="2003">
        <v>-0.59</v>
      </c>
      <c r="E11" s="2003">
        <v>-0.21</v>
      </c>
      <c r="F11" s="2003">
        <v>-1.38</v>
      </c>
      <c r="G11" s="2003">
        <v>-1.24</v>
      </c>
      <c r="H11" s="2913">
        <v>0.34</v>
      </c>
      <c r="I11" s="2004">
        <f t="shared" ref="I11:I24" si="87">F11</f>
        <v>-1.38</v>
      </c>
      <c r="J11" s="2902"/>
      <c r="K11" s="2039">
        <f t="shared" ref="K11:O24" si="88">D11/100</f>
        <v>-5.8999999999999999E-3</v>
      </c>
      <c r="L11" s="2024">
        <f t="shared" si="88"/>
        <v>-2.0999999999999999E-3</v>
      </c>
      <c r="M11" s="2024">
        <f t="shared" si="88"/>
        <v>-1.38E-2</v>
      </c>
      <c r="N11" s="2024">
        <f t="shared" si="88"/>
        <v>-1.24E-2</v>
      </c>
      <c r="O11" s="2024">
        <f t="shared" si="88"/>
        <v>3.4000000000000002E-3</v>
      </c>
      <c r="P11" s="2024">
        <f t="shared" si="10"/>
        <v>-1.38E-2</v>
      </c>
      <c r="Q11" s="2902"/>
      <c r="R11" s="2023">
        <f>ROUND(IF(项目基本情况!$B$8="出让",SUMPRODUCT(PRODUCT(1+K11:$K$24)),SUMPRODUCT(PRODUCT(1+K11:$K$23))),4)</f>
        <v>1.0748</v>
      </c>
      <c r="S11" s="2023">
        <f>ROUND(IF(项目基本情况!$B$8="出让",SUMPRODUCT(PRODUCT(1+L11:$L$24)),SUMPRODUCT(PRODUCT(1+L11:$L$23))),4)</f>
        <v>1.0498000000000001</v>
      </c>
      <c r="T11" s="2023">
        <f>ROUND(IF(项目基本情况!$B$8="出让",SUMPRODUCT(PRODUCT(1+M11:$M$24)),SUMPRODUCT(PRODUCT(1+M11:$M$23))),4)</f>
        <v>1.0107999999999999</v>
      </c>
      <c r="U11" s="2023">
        <f>ROUND(IF(项目基本情况!$B$8="出让",SUMPRODUCT(PRODUCT(1+N11:$N$24)),SUMPRODUCT(PRODUCT(1+N11:$N$23))),4)</f>
        <v>1.0752999999999999</v>
      </c>
      <c r="V11" s="2023">
        <f>ROUND(IF(项目基本情况!$B$8="出让",SUMPRODUCT(PRODUCT(1+O11:$O$24)),SUMPRODUCT(PRODUCT(1+O11:$O$23))),4)</f>
        <v>1.0841000000000001</v>
      </c>
      <c r="W11" s="2023">
        <f t="shared" si="11"/>
        <v>1.0107999999999999</v>
      </c>
      <c r="X11" s="2902"/>
      <c r="Y11" s="2024">
        <f t="shared" si="12"/>
        <v>5.8999999999999999E-3</v>
      </c>
      <c r="Z11" s="2024">
        <f t="shared" ref="Z11:AC11" si="89">IF(E11=0,0,ROUND(AVERAGE(E11:E24)/100,4))</f>
        <v>3.5999999999999999E-3</v>
      </c>
      <c r="AA11" s="2024">
        <f t="shared" si="89"/>
        <v>5.9999999999999995E-4</v>
      </c>
      <c r="AB11" s="2024">
        <f t="shared" si="89"/>
        <v>6.0000000000000001E-3</v>
      </c>
      <c r="AC11" s="2024">
        <f t="shared" si="89"/>
        <v>6.0000000000000001E-3</v>
      </c>
      <c r="AD11" s="2024">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101.66774737139357</v>
      </c>
      <c r="AN11" s="3149">
        <f t="shared" si="49"/>
        <v>101.53556484918946</v>
      </c>
      <c r="AO11" s="3149">
        <f t="shared" si="50"/>
        <v>101.9664064194815</v>
      </c>
      <c r="AP11" s="3149">
        <f t="shared" si="51"/>
        <v>100.68687678746028</v>
      </c>
      <c r="AQ11" s="3149">
        <f t="shared" si="52"/>
        <v>99.711549151486338</v>
      </c>
      <c r="AR11" s="3149">
        <f t="shared" si="53"/>
        <v>101.9664064194815</v>
      </c>
    </row>
    <row r="12" spans="1:44" s="2041" customFormat="1" ht="13.2">
      <c r="A12" s="2901" t="s">
        <v>3371</v>
      </c>
      <c r="B12" s="2027">
        <v>2024</v>
      </c>
      <c r="C12" s="2038">
        <v>1</v>
      </c>
      <c r="D12" s="2003">
        <v>0.08</v>
      </c>
      <c r="E12" s="2003">
        <v>0.46</v>
      </c>
      <c r="F12" s="2003">
        <v>-0.16</v>
      </c>
      <c r="G12" s="2003">
        <v>0.26</v>
      </c>
      <c r="H12" s="2913">
        <v>0.59</v>
      </c>
      <c r="I12" s="2004">
        <f t="shared" si="87"/>
        <v>-0.16</v>
      </c>
      <c r="J12" s="2902"/>
      <c r="K12" s="2039">
        <f t="shared" ref="K12" si="91">D12/100</f>
        <v>8.0000000000000004E-4</v>
      </c>
      <c r="L12" s="2024">
        <f t="shared" ref="L12" si="92">E12/100</f>
        <v>4.5999999999999999E-3</v>
      </c>
      <c r="M12" s="2024">
        <f t="shared" ref="M12" si="93">F12/100</f>
        <v>-1.6000000000000001E-3</v>
      </c>
      <c r="N12" s="2024">
        <f t="shared" ref="N12" si="94">G12/100</f>
        <v>2.5999999999999999E-3</v>
      </c>
      <c r="O12" s="2024">
        <f t="shared" ref="O12" si="95">H12/100</f>
        <v>5.8999999999999999E-3</v>
      </c>
      <c r="P12" s="2024">
        <f t="shared" ref="P12" si="96">M12</f>
        <v>-1.6000000000000001E-3</v>
      </c>
      <c r="Q12" s="2902"/>
      <c r="R12" s="2023">
        <f>ROUND(IF(项目基本情况!$B$8="出让",SUMPRODUCT(PRODUCT(1+K12:$K$24)),SUMPRODUCT(PRODUCT(1+K12:$K$23))),4)</f>
        <v>1.0811999999999999</v>
      </c>
      <c r="S12" s="2023">
        <f>ROUND(IF(项目基本情况!$B$8="出让",SUMPRODUCT(PRODUCT(1+L12:$L$24)),SUMPRODUCT(PRODUCT(1+L12:$L$23))),4)</f>
        <v>1.052</v>
      </c>
      <c r="T12" s="2023">
        <f>ROUND(IF(项目基本情况!$B$8="出让",SUMPRODUCT(PRODUCT(1+M12:$M$24)),SUMPRODUCT(PRODUCT(1+M12:$M$23))),4)</f>
        <v>1.0249999999999999</v>
      </c>
      <c r="U12" s="2023">
        <f>ROUND(IF(项目基本情况!$B$8="出让",SUMPRODUCT(PRODUCT(1+N12:$N$24)),SUMPRODUCT(PRODUCT(1+N12:$N$23))),4)</f>
        <v>1.0888</v>
      </c>
      <c r="V12" s="2023">
        <f>ROUND(IF(项目基本情况!$B$8="出让",SUMPRODUCT(PRODUCT(1+O12:$O$24)),SUMPRODUCT(PRODUCT(1+O12:$O$23))),4)</f>
        <v>1.0804</v>
      </c>
      <c r="W12" s="2023">
        <f t="shared" ref="W12" si="97">T12</f>
        <v>1.0249999999999999</v>
      </c>
      <c r="X12" s="2902"/>
      <c r="Y12" s="2024"/>
      <c r="Z12" s="2024"/>
      <c r="AA12" s="2024"/>
      <c r="AB12" s="2024"/>
      <c r="AC12" s="2024"/>
      <c r="AD12" s="2024"/>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102.27114713951673</v>
      </c>
      <c r="AN12" s="3149">
        <f t="shared" si="49"/>
        <v>101.74923824951344</v>
      </c>
      <c r="AO12" s="3149">
        <f t="shared" si="50"/>
        <v>103.3932330353696</v>
      </c>
      <c r="AP12" s="3149">
        <f t="shared" si="51"/>
        <v>101.95107005615662</v>
      </c>
      <c r="AQ12" s="3149">
        <f t="shared" si="52"/>
        <v>99.373678644096401</v>
      </c>
      <c r="AR12" s="3149">
        <f t="shared" si="53"/>
        <v>103.3932330353696</v>
      </c>
    </row>
    <row r="13" spans="1:44" s="2041" customFormat="1" ht="13.2">
      <c r="A13" s="2901" t="s">
        <v>3367</v>
      </c>
      <c r="B13" s="2027">
        <v>2023</v>
      </c>
      <c r="C13" s="2038">
        <v>4</v>
      </c>
      <c r="D13" s="2003">
        <v>0.19</v>
      </c>
      <c r="E13" s="2003">
        <v>0.24</v>
      </c>
      <c r="F13" s="2003">
        <v>-0.16</v>
      </c>
      <c r="G13" s="2003">
        <v>0.17</v>
      </c>
      <c r="H13" s="2913">
        <v>0.61</v>
      </c>
      <c r="I13" s="2004">
        <f>F13</f>
        <v>-0.16</v>
      </c>
      <c r="J13" s="2902"/>
      <c r="K13" s="2039">
        <f t="shared" si="88"/>
        <v>1.9E-3</v>
      </c>
      <c r="L13" s="2024">
        <f t="shared" si="88"/>
        <v>2.3999999999999998E-3</v>
      </c>
      <c r="M13" s="2024">
        <f t="shared" si="88"/>
        <v>-1.6000000000000001E-3</v>
      </c>
      <c r="N13" s="2024">
        <f t="shared" si="88"/>
        <v>1.7000000000000001E-3</v>
      </c>
      <c r="O13" s="2024">
        <f t="shared" si="88"/>
        <v>6.0999999999999995E-3</v>
      </c>
      <c r="P13" s="2024">
        <f t="shared" ref="P13" si="98">M13</f>
        <v>-1.6000000000000001E-3</v>
      </c>
      <c r="Q13" s="2902"/>
      <c r="R13" s="2023">
        <f>ROUND(IF(项目基本情况!$B$8="出让",SUMPRODUCT(PRODUCT(1+K13:$K$24)),SUMPRODUCT(PRODUCT(1+K13:$K$23))),4)</f>
        <v>1.0804</v>
      </c>
      <c r="S13" s="2023">
        <f>ROUND(IF(项目基本情况!$B$8="出让",SUMPRODUCT(PRODUCT(1+L13:$L$24)),SUMPRODUCT(PRODUCT(1+L13:$L$23))),4)</f>
        <v>1.0471999999999999</v>
      </c>
      <c r="T13" s="2023">
        <f>ROUND(IF(项目基本情况!$B$8="出让",SUMPRODUCT(PRODUCT(1+M13:$M$24)),SUMPRODUCT(PRODUCT(1+M13:$M$23))),4)</f>
        <v>1.0266</v>
      </c>
      <c r="U13" s="2023">
        <f>ROUND(IF(项目基本情况!$B$8="出让",SUMPRODUCT(PRODUCT(1+N13:$N$24)),SUMPRODUCT(PRODUCT(1+N13:$N$23))),4)</f>
        <v>1.0859000000000001</v>
      </c>
      <c r="V13" s="2023">
        <f>ROUND(IF(项目基本情况!$B$8="出让",SUMPRODUCT(PRODUCT(1+O13:$O$24)),SUMPRODUCT(PRODUCT(1+O13:$O$23))),4)</f>
        <v>1.0741000000000001</v>
      </c>
      <c r="W13" s="2023">
        <f t="shared" ref="W13" si="99">T13</f>
        <v>1.0266</v>
      </c>
      <c r="X13" s="2902"/>
      <c r="Y13" s="2024"/>
      <c r="Z13" s="2024"/>
      <c r="AA13" s="2024"/>
      <c r="AB13" s="2024"/>
      <c r="AC13" s="2024"/>
      <c r="AD13" s="2024"/>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102.18939562301833</v>
      </c>
      <c r="AN13" s="3149">
        <f t="shared" si="49"/>
        <v>101.28333490893236</v>
      </c>
      <c r="AO13" s="3149">
        <f t="shared" si="50"/>
        <v>103.55892731908014</v>
      </c>
      <c r="AP13" s="3149">
        <f t="shared" si="51"/>
        <v>101.68668467599903</v>
      </c>
      <c r="AQ13" s="3149">
        <f t="shared" si="52"/>
        <v>98.79081284829148</v>
      </c>
      <c r="AR13" s="3149">
        <f t="shared" si="53"/>
        <v>103.55892731908014</v>
      </c>
    </row>
    <row r="14" spans="1:44" s="2041" customFormat="1" ht="13.2">
      <c r="A14" s="2901" t="s">
        <v>3366</v>
      </c>
      <c r="B14" s="2027">
        <v>2023</v>
      </c>
      <c r="C14" s="2038">
        <v>3</v>
      </c>
      <c r="D14" s="2003">
        <v>0.25</v>
      </c>
      <c r="E14" s="2003">
        <v>0.5</v>
      </c>
      <c r="F14" s="2003">
        <v>0.31</v>
      </c>
      <c r="G14" s="2003">
        <v>0.21</v>
      </c>
      <c r="H14" s="2913">
        <v>0.43</v>
      </c>
      <c r="I14" s="2004">
        <f t="shared" si="87"/>
        <v>0.31</v>
      </c>
      <c r="J14" s="2902"/>
      <c r="K14" s="2039">
        <f t="shared" ref="K14:K16" si="100">D14/100</f>
        <v>2.5000000000000001E-3</v>
      </c>
      <c r="L14" s="2024">
        <f t="shared" ref="L14:L16" si="101">E14/100</f>
        <v>5.0000000000000001E-3</v>
      </c>
      <c r="M14" s="2024">
        <f t="shared" ref="M14:M16" si="102">F14/100</f>
        <v>3.0999999999999999E-3</v>
      </c>
      <c r="N14" s="2024">
        <f t="shared" ref="N14:N16" si="103">G14/100</f>
        <v>2.0999999999999999E-3</v>
      </c>
      <c r="O14" s="2024">
        <f t="shared" ref="O14:O16" si="104">H14/100</f>
        <v>4.3E-3</v>
      </c>
      <c r="P14" s="2024">
        <f t="shared" ref="P14:P16" si="105">M14</f>
        <v>3.0999999999999999E-3</v>
      </c>
      <c r="Q14" s="2902"/>
      <c r="R14" s="2023">
        <f>ROUND(IF(项目基本情况!$B$8="出让",SUMPRODUCT(PRODUCT(1+K14:$K$24)),SUMPRODUCT(PRODUCT(1+K14:$K$23))),4)</f>
        <v>1.0783</v>
      </c>
      <c r="S14" s="2023">
        <f>ROUND(IF(项目基本情况!$B$8="出让",SUMPRODUCT(PRODUCT(1+L14:$L$24)),SUMPRODUCT(PRODUCT(1+L14:$L$23))),4)</f>
        <v>1.0447</v>
      </c>
      <c r="T14" s="2023">
        <f>ROUND(IF(项目基本情况!$B$8="出让",SUMPRODUCT(PRODUCT(1+M14:$M$24)),SUMPRODUCT(PRODUCT(1+M14:$M$23))),4)</f>
        <v>1.0282</v>
      </c>
      <c r="U14" s="2023">
        <f>ROUND(IF(项目基本情况!$B$8="出让",SUMPRODUCT(PRODUCT(1+N14:$N$24)),SUMPRODUCT(PRODUCT(1+N14:$N$23))),4)</f>
        <v>1.0841000000000001</v>
      </c>
      <c r="V14" s="2023">
        <f>ROUND(IF(项目基本情况!$B$8="出让",SUMPRODUCT(PRODUCT(1+O14:$O$24)),SUMPRODUCT(PRODUCT(1+O14:$O$23))),4)</f>
        <v>1.0674999999999999</v>
      </c>
      <c r="W14" s="2023">
        <f t="shared" ref="W14:W15" si="106">T14</f>
        <v>1.0282</v>
      </c>
      <c r="X14" s="2902"/>
      <c r="Y14" s="2024"/>
      <c r="Z14" s="2024"/>
      <c r="AA14" s="2024"/>
      <c r="AB14" s="2024"/>
      <c r="AC14" s="2024"/>
      <c r="AD14" s="2024"/>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101.99560397546495</v>
      </c>
      <c r="AN14" s="3149">
        <f t="shared" si="49"/>
        <v>101.04083690037147</v>
      </c>
      <c r="AO14" s="3149">
        <f t="shared" si="50"/>
        <v>103.72488713850174</v>
      </c>
      <c r="AP14" s="3149">
        <f t="shared" si="51"/>
        <v>101.51411068782971</v>
      </c>
      <c r="AQ14" s="3149">
        <f t="shared" si="52"/>
        <v>98.191842608380355</v>
      </c>
      <c r="AR14" s="3149">
        <f t="shared" si="53"/>
        <v>103.72488713850174</v>
      </c>
    </row>
    <row r="15" spans="1:44" s="2041" customFormat="1" ht="13.2">
      <c r="A15" s="2901" t="s">
        <v>3364</v>
      </c>
      <c r="B15" s="2027">
        <v>2023</v>
      </c>
      <c r="C15" s="2038">
        <v>2</v>
      </c>
      <c r="D15" s="2003">
        <v>0.91</v>
      </c>
      <c r="E15" s="2003">
        <v>0.66</v>
      </c>
      <c r="F15" s="2003">
        <v>0.47</v>
      </c>
      <c r="G15" s="2003">
        <v>0.96</v>
      </c>
      <c r="H15" s="2913">
        <v>0.71</v>
      </c>
      <c r="I15" s="2004">
        <f t="shared" si="87"/>
        <v>0.47</v>
      </c>
      <c r="J15" s="2902"/>
      <c r="K15" s="2039">
        <f t="shared" si="100"/>
        <v>9.1000000000000004E-3</v>
      </c>
      <c r="L15" s="2024">
        <f t="shared" si="101"/>
        <v>6.6E-3</v>
      </c>
      <c r="M15" s="2024">
        <f t="shared" si="102"/>
        <v>4.6999999999999993E-3</v>
      </c>
      <c r="N15" s="2024">
        <f t="shared" si="103"/>
        <v>9.5999999999999992E-3</v>
      </c>
      <c r="O15" s="2024">
        <f t="shared" si="104"/>
        <v>7.0999999999999995E-3</v>
      </c>
      <c r="P15" s="2024">
        <f t="shared" si="105"/>
        <v>4.6999999999999993E-3</v>
      </c>
      <c r="Q15" s="2902"/>
      <c r="R15" s="2023">
        <f>ROUND(IF(项目基本情况!$B$8="出让",SUMPRODUCT(PRODUCT(1+K15:$K$24)),SUMPRODUCT(PRODUCT(1+K15:$K$23))),4)</f>
        <v>1.0755999999999999</v>
      </c>
      <c r="S15" s="2023">
        <f>ROUND(IF(项目基本情况!$B$8="出让",SUMPRODUCT(PRODUCT(1+L15:$L$24)),SUMPRODUCT(PRODUCT(1+L15:$L$23))),4)</f>
        <v>1.0395000000000001</v>
      </c>
      <c r="T15" s="2023">
        <f>ROUND(IF(项目基本情况!$B$8="出让",SUMPRODUCT(PRODUCT(1+M15:$M$24)),SUMPRODUCT(PRODUCT(1+M15:$M$23))),4)</f>
        <v>1.0250999999999999</v>
      </c>
      <c r="U15" s="2023">
        <f>ROUND(IF(项目基本情况!$B$8="出让",SUMPRODUCT(PRODUCT(1+N15:$N$24)),SUMPRODUCT(PRODUCT(1+N15:$N$23))),4)</f>
        <v>1.0818000000000001</v>
      </c>
      <c r="V15" s="2023">
        <f>ROUND(IF(项目基本情况!$B$8="出让",SUMPRODUCT(PRODUCT(1+O15:$O$24)),SUMPRODUCT(PRODUCT(1+O15:$O$23))),4)</f>
        <v>1.0629999999999999</v>
      </c>
      <c r="W15" s="2023">
        <f t="shared" si="106"/>
        <v>1.0250999999999999</v>
      </c>
      <c r="X15" s="2902"/>
      <c r="Y15" s="2024"/>
      <c r="Z15" s="2024"/>
      <c r="AA15" s="2024"/>
      <c r="AB15" s="2024"/>
      <c r="AC15" s="2024"/>
      <c r="AD15" s="2024"/>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101.74125084834409</v>
      </c>
      <c r="AN15" s="3149">
        <f t="shared" si="49"/>
        <v>100.53814616952387</v>
      </c>
      <c r="AO15" s="3149">
        <f t="shared" si="50"/>
        <v>103.40433370401927</v>
      </c>
      <c r="AP15" s="3149">
        <f t="shared" si="51"/>
        <v>101.30137779446135</v>
      </c>
      <c r="AQ15" s="3149">
        <f t="shared" si="52"/>
        <v>97.771425478821428</v>
      </c>
      <c r="AR15" s="3149">
        <f t="shared" si="53"/>
        <v>103.40433370401927</v>
      </c>
    </row>
    <row r="16" spans="1:44" s="2041" customFormat="1" ht="13.2">
      <c r="A16" s="2901" t="s">
        <v>3363</v>
      </c>
      <c r="B16" s="2027">
        <v>2023</v>
      </c>
      <c r="C16" s="2038">
        <v>1</v>
      </c>
      <c r="D16" s="2003">
        <v>0.89</v>
      </c>
      <c r="E16" s="2003">
        <v>0.74</v>
      </c>
      <c r="F16" s="2003">
        <v>0.56999999999999995</v>
      </c>
      <c r="G16" s="2003">
        <v>0.92</v>
      </c>
      <c r="H16" s="2913">
        <v>0.5</v>
      </c>
      <c r="I16" s="2004">
        <f t="shared" si="87"/>
        <v>0.56999999999999995</v>
      </c>
      <c r="J16" s="2902"/>
      <c r="K16" s="2039">
        <f t="shared" si="100"/>
        <v>8.8999999999999999E-3</v>
      </c>
      <c r="L16" s="2024">
        <f t="shared" si="101"/>
        <v>7.4000000000000003E-3</v>
      </c>
      <c r="M16" s="2024">
        <f t="shared" si="102"/>
        <v>5.6999999999999993E-3</v>
      </c>
      <c r="N16" s="2024">
        <f t="shared" si="103"/>
        <v>9.1999999999999998E-3</v>
      </c>
      <c r="O16" s="2024">
        <f t="shared" si="104"/>
        <v>5.0000000000000001E-3</v>
      </c>
      <c r="P16" s="2024">
        <f t="shared" si="105"/>
        <v>5.6999999999999993E-3</v>
      </c>
      <c r="Q16" s="2902"/>
      <c r="R16" s="2023">
        <f>ROUND(IF(项目基本情况!$B$8="出让",SUMPRODUCT(PRODUCT(1+K16:$K$24)),SUMPRODUCT(PRODUCT(1+K16:$K$23))),4)</f>
        <v>1.0659000000000001</v>
      </c>
      <c r="S16" s="2023">
        <f>ROUND(IF(项目基本情况!$B$8="出让",SUMPRODUCT(PRODUCT(1+L16:$L$24)),SUMPRODUCT(PRODUCT(1+L16:$L$23))),4)</f>
        <v>1.0326</v>
      </c>
      <c r="T16" s="2023">
        <f>ROUND(IF(项目基本情况!$B$8="出让",SUMPRODUCT(PRODUCT(1+M16:$M$24)),SUMPRODUCT(PRODUCT(1+M16:$M$23))),4)</f>
        <v>1.0203</v>
      </c>
      <c r="U16" s="2023">
        <f>ROUND(IF(项目基本情况!$B$8="出让",SUMPRODUCT(PRODUCT(1+N16:$N$24)),SUMPRODUCT(PRODUCT(1+N16:$N$23))),4)</f>
        <v>1.0714999999999999</v>
      </c>
      <c r="V16" s="2023">
        <f>ROUND(IF(项目基本情况!$B$8="出让",SUMPRODUCT(PRODUCT(1+O16:$O$24)),SUMPRODUCT(PRODUCT(1+O16:$O$23))),4)</f>
        <v>1.0555000000000001</v>
      </c>
      <c r="W16" s="2023">
        <f t="shared" ref="W16:W23" si="107">T16</f>
        <v>1.0203</v>
      </c>
      <c r="X16" s="2902"/>
      <c r="Y16" s="2024"/>
      <c r="Z16" s="2024"/>
      <c r="AA16" s="2024"/>
      <c r="AB16" s="2024"/>
      <c r="AC16" s="2024"/>
      <c r="AD16" s="2024"/>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100.82375468074926</v>
      </c>
      <c r="AN16" s="3149">
        <f t="shared" si="49"/>
        <v>99.878945131654959</v>
      </c>
      <c r="AO16" s="3149">
        <f t="shared" si="50"/>
        <v>102.92060685181573</v>
      </c>
      <c r="AP16" s="3149">
        <f t="shared" si="51"/>
        <v>100.33813172985474</v>
      </c>
      <c r="AQ16" s="3149">
        <f t="shared" si="52"/>
        <v>97.082142268713554</v>
      </c>
      <c r="AR16" s="3149">
        <f t="shared" si="53"/>
        <v>102.92060685181573</v>
      </c>
    </row>
    <row r="17" spans="1:44" s="2041" customFormat="1" ht="13.2">
      <c r="A17" s="2901" t="s">
        <v>3362</v>
      </c>
      <c r="B17" s="2027">
        <v>2022</v>
      </c>
      <c r="C17" s="2038">
        <v>4</v>
      </c>
      <c r="D17" s="2003">
        <v>0.62</v>
      </c>
      <c r="E17" s="2003">
        <v>0.2</v>
      </c>
      <c r="F17" s="2003">
        <v>0.11</v>
      </c>
      <c r="G17" s="2003">
        <v>0.69</v>
      </c>
      <c r="H17" s="2913">
        <v>0.53</v>
      </c>
      <c r="I17" s="2004">
        <f t="shared" si="87"/>
        <v>0.11</v>
      </c>
      <c r="J17" s="2902"/>
      <c r="K17" s="2039">
        <f t="shared" si="88"/>
        <v>6.1999999999999998E-3</v>
      </c>
      <c r="L17" s="2024">
        <f t="shared" si="88"/>
        <v>2E-3</v>
      </c>
      <c r="M17" s="2024">
        <f t="shared" si="88"/>
        <v>1.1000000000000001E-3</v>
      </c>
      <c r="N17" s="2024">
        <f t="shared" si="88"/>
        <v>6.8999999999999999E-3</v>
      </c>
      <c r="O17" s="2024">
        <f t="shared" si="88"/>
        <v>5.3E-3</v>
      </c>
      <c r="P17" s="2024">
        <f t="shared" ref="P17:P24" si="108">M17</f>
        <v>1.1000000000000001E-3</v>
      </c>
      <c r="Q17" s="2902"/>
      <c r="R17" s="2023">
        <f>ROUND(IF(项目基本情况!$B$8="出让",SUMPRODUCT(PRODUCT(1+K17:$K$24)),SUMPRODUCT(PRODUCT(1+K17:$K$23))),4)</f>
        <v>1.0565</v>
      </c>
      <c r="S17" s="2023">
        <f>ROUND(IF(项目基本情况!$B$8="出让",SUMPRODUCT(PRODUCT(1+L17:$L$24)),SUMPRODUCT(PRODUCT(1+L17:$L$23))),4)</f>
        <v>1.0250999999999999</v>
      </c>
      <c r="T17" s="2023">
        <f>ROUND(IF(项目基本情况!$B$8="出让",SUMPRODUCT(PRODUCT(1+M17:$M$24)),SUMPRODUCT(PRODUCT(1+M17:$M$23))),4)</f>
        <v>1.0145</v>
      </c>
      <c r="U17" s="2023">
        <f>ROUND(IF(项目基本情况!$B$8="出让",SUMPRODUCT(PRODUCT(1+N17:$N$24)),SUMPRODUCT(PRODUCT(1+N17:$N$23))),4)</f>
        <v>1.0618000000000001</v>
      </c>
      <c r="V17" s="2023">
        <f>ROUND(IF(项目基本情况!$B$8="出让",SUMPRODUCT(PRODUCT(1+O17:$O$24)),SUMPRODUCT(PRODUCT(1+O17:$O$23))),4)</f>
        <v>1.0502</v>
      </c>
      <c r="W17" s="2023">
        <f t="shared" si="107"/>
        <v>1.0145</v>
      </c>
      <c r="X17" s="2902"/>
      <c r="Y17" s="2024">
        <f>IF(D17=0,0,ROUND(AVERAGE(D17:D25)/100,4))</f>
        <v>8.0999999999999996E-3</v>
      </c>
      <c r="Z17" s="2024">
        <f t="shared" ref="Z17:AC17" si="109">IF(E17=0,0,ROUND(AVERAGE(E17:E24)/100,4))</f>
        <v>3.3E-3</v>
      </c>
      <c r="AA17" s="2024">
        <f t="shared" si="109"/>
        <v>1.5E-3</v>
      </c>
      <c r="AB17" s="2024">
        <f t="shared" si="109"/>
        <v>8.8999999999999999E-3</v>
      </c>
      <c r="AC17" s="2024">
        <f t="shared" si="109"/>
        <v>6.6E-3</v>
      </c>
      <c r="AD17" s="2024">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99.934339063087791</v>
      </c>
      <c r="AN17" s="3149">
        <f t="shared" si="49"/>
        <v>99.145270132673176</v>
      </c>
      <c r="AO17" s="3149">
        <f t="shared" si="50"/>
        <v>102.3372843311283</v>
      </c>
      <c r="AP17" s="3149">
        <f t="shared" si="51"/>
        <v>99.423436117573061</v>
      </c>
      <c r="AQ17" s="3149">
        <f t="shared" si="52"/>
        <v>96.599146536033402</v>
      </c>
      <c r="AR17" s="3149">
        <f t="shared" si="53"/>
        <v>102.3372843311283</v>
      </c>
    </row>
    <row r="18" spans="1:44" s="2041" customFormat="1" ht="13.2">
      <c r="A18" s="2901" t="s">
        <v>3360</v>
      </c>
      <c r="B18" s="2027">
        <v>2022</v>
      </c>
      <c r="C18" s="2038">
        <v>3</v>
      </c>
      <c r="D18" s="2003">
        <v>0.66</v>
      </c>
      <c r="E18" s="2003">
        <v>0.32</v>
      </c>
      <c r="F18" s="2003">
        <v>0.23</v>
      </c>
      <c r="G18" s="2003">
        <v>0.72</v>
      </c>
      <c r="H18" s="2913">
        <v>0.63</v>
      </c>
      <c r="I18" s="2004">
        <f t="shared" si="87"/>
        <v>0.23</v>
      </c>
      <c r="J18" s="2902"/>
      <c r="K18" s="2039">
        <f t="shared" si="88"/>
        <v>6.6E-3</v>
      </c>
      <c r="L18" s="2024">
        <f t="shared" si="88"/>
        <v>3.2000000000000002E-3</v>
      </c>
      <c r="M18" s="2024">
        <f t="shared" si="88"/>
        <v>2.3E-3</v>
      </c>
      <c r="N18" s="2024">
        <f t="shared" si="88"/>
        <v>7.1999999999999998E-3</v>
      </c>
      <c r="O18" s="2024">
        <f t="shared" si="88"/>
        <v>6.3E-3</v>
      </c>
      <c r="P18" s="2024">
        <f t="shared" si="108"/>
        <v>2.3E-3</v>
      </c>
      <c r="Q18" s="2902"/>
      <c r="R18" s="2023">
        <f>ROUND(IF(项目基本情况!$B$8="出让",SUMPRODUCT(PRODUCT(1+K18:$K$24)),SUMPRODUCT(PRODUCT(1+K18:$K$23))),4)</f>
        <v>1.05</v>
      </c>
      <c r="S18" s="2023">
        <f>ROUND(IF(项目基本情况!$B$8="出让",SUMPRODUCT(PRODUCT(1+L18:$L$24)),SUMPRODUCT(PRODUCT(1+L18:$L$23))),4)</f>
        <v>1.0229999999999999</v>
      </c>
      <c r="T18" s="2023">
        <f>ROUND(IF(项目基本情况!$B$8="出让",SUMPRODUCT(PRODUCT(1+M18:$M$24)),SUMPRODUCT(PRODUCT(1+M18:$M$23))),4)</f>
        <v>1.0134000000000001</v>
      </c>
      <c r="U18" s="2023">
        <f>ROUND(IF(项目基本情况!$B$8="出让",SUMPRODUCT(PRODUCT(1+N18:$N$24)),SUMPRODUCT(PRODUCT(1+N18:$N$23))),4)</f>
        <v>1.0545</v>
      </c>
      <c r="V18" s="2023">
        <f>ROUND(IF(项目基本情况!$B$8="出让",SUMPRODUCT(PRODUCT(1+O18:$O$24)),SUMPRODUCT(PRODUCT(1+O18:$O$23))),4)</f>
        <v>1.0447</v>
      </c>
      <c r="W18" s="2023">
        <f t="shared" si="107"/>
        <v>1.0134000000000001</v>
      </c>
      <c r="X18" s="2902"/>
      <c r="Y18" s="2024">
        <f>IF(D18=0,0,ROUND(AVERAGE(D18:D24)/100,4))</f>
        <v>8.3999999999999995E-3</v>
      </c>
      <c r="Z18" s="2024">
        <f t="shared" ref="Z18:AC18" si="110">IF(E18=0,0,ROUND(AVERAGE(E18:E24)/100,4))</f>
        <v>3.5000000000000001E-3</v>
      </c>
      <c r="AA18" s="2024">
        <f t="shared" si="110"/>
        <v>1.5E-3</v>
      </c>
      <c r="AB18" s="2024">
        <f t="shared" si="110"/>
        <v>9.1999999999999998E-3</v>
      </c>
      <c r="AC18" s="2024">
        <f t="shared" si="110"/>
        <v>6.7999999999999996E-3</v>
      </c>
      <c r="AD18" s="2024">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99.318563966495518</v>
      </c>
      <c r="AN18" s="3149">
        <f t="shared" si="49"/>
        <v>98.947375381909353</v>
      </c>
      <c r="AO18" s="3149">
        <f t="shared" si="50"/>
        <v>102.22483701041683</v>
      </c>
      <c r="AP18" s="3149">
        <f t="shared" si="51"/>
        <v>98.742115520481747</v>
      </c>
      <c r="AQ18" s="3149">
        <f t="shared" si="52"/>
        <v>96.089870223847001</v>
      </c>
      <c r="AR18" s="3149">
        <f t="shared" si="53"/>
        <v>102.22483701041683</v>
      </c>
    </row>
    <row r="19" spans="1:44" s="2041" customFormat="1" ht="13.2">
      <c r="A19" s="2901" t="s">
        <v>3351</v>
      </c>
      <c r="B19" s="2027">
        <v>2022</v>
      </c>
      <c r="C19" s="2038">
        <v>2</v>
      </c>
      <c r="D19" s="2003">
        <v>0.93</v>
      </c>
      <c r="E19" s="2003">
        <v>0.15</v>
      </c>
      <c r="F19" s="2003">
        <v>0.01</v>
      </c>
      <c r="G19" s="2003">
        <v>1.05</v>
      </c>
      <c r="H19" s="2913">
        <v>1.08</v>
      </c>
      <c r="I19" s="2004">
        <f t="shared" si="87"/>
        <v>0.01</v>
      </c>
      <c r="J19" s="2902"/>
      <c r="K19" s="2039">
        <f t="shared" si="88"/>
        <v>9.300000000000001E-3</v>
      </c>
      <c r="L19" s="2024">
        <f t="shared" si="88"/>
        <v>1.5E-3</v>
      </c>
      <c r="M19" s="2024">
        <f t="shared" si="88"/>
        <v>1E-4</v>
      </c>
      <c r="N19" s="2024">
        <f t="shared" si="88"/>
        <v>1.0500000000000001E-2</v>
      </c>
      <c r="O19" s="2024">
        <f t="shared" si="88"/>
        <v>1.0800000000000001E-2</v>
      </c>
      <c r="P19" s="2024">
        <f t="shared" si="108"/>
        <v>1E-4</v>
      </c>
      <c r="Q19" s="2902"/>
      <c r="R19" s="2023">
        <f>ROUND(IF(项目基本情况!$B$8="出让",SUMPRODUCT(PRODUCT(1+K19:$K$24)),SUMPRODUCT(PRODUCT(1+K19:$K$23))),4)</f>
        <v>1.0430999999999999</v>
      </c>
      <c r="S19" s="2023">
        <f>ROUND(IF(项目基本情况!$B$8="出让",SUMPRODUCT(PRODUCT(1+L19:$L$24)),SUMPRODUCT(PRODUCT(1+L19:$L$23))),4)</f>
        <v>1.0197000000000001</v>
      </c>
      <c r="T19" s="2023">
        <f>ROUND(IF(项目基本情况!$B$8="出让",SUMPRODUCT(PRODUCT(1+M19:$M$24)),SUMPRODUCT(PRODUCT(1+M19:$M$23))),4)</f>
        <v>1.0109999999999999</v>
      </c>
      <c r="U19" s="2023">
        <f>ROUND(IF(项目基本情况!$B$8="出让",SUMPRODUCT(PRODUCT(1+N19:$N$24)),SUMPRODUCT(PRODUCT(1+N19:$N$23))),4)</f>
        <v>1.0468999999999999</v>
      </c>
      <c r="V19" s="2023">
        <f>ROUND(IF(项目基本情况!$B$8="出让",SUMPRODUCT(PRODUCT(1+O19:$O$24)),SUMPRODUCT(PRODUCT(1+O19:$O$23))),4)</f>
        <v>1.0382</v>
      </c>
      <c r="W19" s="2023">
        <f t="shared" si="107"/>
        <v>1.0109999999999999</v>
      </c>
      <c r="X19" s="2902"/>
      <c r="Y19" s="2024">
        <f>IF(D19=0,0,ROUND(AVERAGE(D19:D24)/100,4))</f>
        <v>8.6999999999999994E-3</v>
      </c>
      <c r="Z19" s="2024">
        <f t="shared" ref="Z19:AC19" si="111">IF(E19=0,0,ROUND(AVERAGE(E19:E24)/100,4))</f>
        <v>3.5000000000000001E-3</v>
      </c>
      <c r="AA19" s="2024">
        <f t="shared" si="111"/>
        <v>1.4E-3</v>
      </c>
      <c r="AB19" s="2024">
        <f t="shared" si="111"/>
        <v>9.4999999999999998E-3</v>
      </c>
      <c r="AC19" s="2024">
        <f t="shared" si="111"/>
        <v>6.8999999999999999E-3</v>
      </c>
      <c r="AD19" s="2024">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98.667359394491882</v>
      </c>
      <c r="AN19" s="3149">
        <f t="shared" si="49"/>
        <v>98.631753769845844</v>
      </c>
      <c r="AO19" s="3149">
        <f t="shared" si="50"/>
        <v>101.99025941376517</v>
      </c>
      <c r="AP19" s="3149">
        <f t="shared" si="51"/>
        <v>98.036254488166932</v>
      </c>
      <c r="AQ19" s="3149">
        <f t="shared" si="52"/>
        <v>95.488293971824504</v>
      </c>
      <c r="AR19" s="3149">
        <f t="shared" si="53"/>
        <v>101.99025941376517</v>
      </c>
    </row>
    <row r="20" spans="1:44" s="2041" customFormat="1" ht="13.2">
      <c r="A20" s="2901" t="s">
        <v>2817</v>
      </c>
      <c r="B20" s="2027">
        <v>2022</v>
      </c>
      <c r="C20" s="2038">
        <v>1</v>
      </c>
      <c r="D20" s="2003">
        <v>0.89</v>
      </c>
      <c r="E20" s="2003">
        <v>0.44</v>
      </c>
      <c r="F20" s="2003">
        <v>0.37</v>
      </c>
      <c r="G20" s="2003">
        <v>0.96</v>
      </c>
      <c r="H20" s="2913">
        <v>0.64</v>
      </c>
      <c r="I20" s="2004">
        <f t="shared" si="87"/>
        <v>0.37</v>
      </c>
      <c r="J20" s="2902"/>
      <c r="K20" s="2039">
        <f t="shared" si="88"/>
        <v>8.8999999999999999E-3</v>
      </c>
      <c r="L20" s="2024">
        <f t="shared" si="88"/>
        <v>4.4000000000000003E-3</v>
      </c>
      <c r="M20" s="2024">
        <f t="shared" si="88"/>
        <v>3.7000000000000002E-3</v>
      </c>
      <c r="N20" s="2024">
        <f t="shared" si="88"/>
        <v>9.5999999999999992E-3</v>
      </c>
      <c r="O20" s="2024">
        <f t="shared" si="88"/>
        <v>6.4000000000000003E-3</v>
      </c>
      <c r="P20" s="2024">
        <f t="shared" si="108"/>
        <v>3.7000000000000002E-3</v>
      </c>
      <c r="Q20" s="2902"/>
      <c r="R20" s="2023">
        <f>ROUND(IF(项目基本情况!$B$8="出让",SUMPRODUCT(PRODUCT(1+K20:$K$24)),SUMPRODUCT(PRODUCT(1+K20:$K$23))),4)</f>
        <v>1.0335000000000001</v>
      </c>
      <c r="S20" s="2023">
        <f>ROUND(IF(项目基本情况!$B$8="出让",SUMPRODUCT(PRODUCT(1+L20:$L$24)),SUMPRODUCT(PRODUCT(1+L20:$L$23))),4)</f>
        <v>1.0182</v>
      </c>
      <c r="T20" s="2023">
        <f>ROUND(IF(项目基本情况!$B$8="出让",SUMPRODUCT(PRODUCT(1+M20:$M$24)),SUMPRODUCT(PRODUCT(1+M20:$M$23))),4)</f>
        <v>1.0108999999999999</v>
      </c>
      <c r="U20" s="2023">
        <f>ROUND(IF(项目基本情况!$B$8="出让",SUMPRODUCT(PRODUCT(1+N20:$N$24)),SUMPRODUCT(PRODUCT(1+N20:$N$23))),4)</f>
        <v>1.0361</v>
      </c>
      <c r="V20" s="2023">
        <f>ROUND(IF(项目基本情况!$B$8="出让",SUMPRODUCT(PRODUCT(1+O20:$O$24)),SUMPRODUCT(PRODUCT(1+O20:$O$23))),4)</f>
        <v>1.0270999999999999</v>
      </c>
      <c r="W20" s="2023">
        <f t="shared" si="107"/>
        <v>1.0108999999999999</v>
      </c>
      <c r="X20" s="2902"/>
      <c r="Y20" s="2024">
        <f>IF(D20=0,0,ROUND(AVERAGE(D20:D24)/100,4))</f>
        <v>8.6E-3</v>
      </c>
      <c r="Z20" s="2024">
        <f t="shared" ref="Z20:AC20" si="112">IF(E20=0,0,ROUND(AVERAGE(E20:E24)/100,4))</f>
        <v>3.8999999999999998E-3</v>
      </c>
      <c r="AA20" s="2024">
        <f t="shared" si="112"/>
        <v>1.6999999999999999E-3</v>
      </c>
      <c r="AB20" s="2024">
        <f t="shared" si="112"/>
        <v>9.2999999999999992E-3</v>
      </c>
      <c r="AC20" s="2024">
        <f t="shared" si="112"/>
        <v>6.1000000000000004E-3</v>
      </c>
      <c r="AD20" s="2024">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97.758208059538163</v>
      </c>
      <c r="AN20" s="3149">
        <f t="shared" si="49"/>
        <v>98.484027728253452</v>
      </c>
      <c r="AO20" s="3149">
        <f t="shared" si="50"/>
        <v>101.98006140762442</v>
      </c>
      <c r="AP20" s="3149">
        <f t="shared" si="51"/>
        <v>97.017570003134026</v>
      </c>
      <c r="AQ20" s="3149">
        <f t="shared" si="52"/>
        <v>94.468039149015155</v>
      </c>
      <c r="AR20" s="3149">
        <f t="shared" si="53"/>
        <v>101.98006140762442</v>
      </c>
    </row>
    <row r="21" spans="1:44" s="2041" customFormat="1" ht="13.2">
      <c r="A21" s="2901" t="s">
        <v>2818</v>
      </c>
      <c r="B21" s="2027">
        <v>2021</v>
      </c>
      <c r="C21" s="2038">
        <v>4</v>
      </c>
      <c r="D21" s="2003">
        <v>1.03</v>
      </c>
      <c r="E21" s="2003">
        <v>0.24</v>
      </c>
      <c r="F21" s="2003">
        <v>7.0000000000000007E-2</v>
      </c>
      <c r="G21" s="2003">
        <v>1.17</v>
      </c>
      <c r="H21" s="2913">
        <v>0.55000000000000004</v>
      </c>
      <c r="I21" s="2004">
        <f t="shared" si="87"/>
        <v>7.0000000000000007E-2</v>
      </c>
      <c r="J21" s="2902"/>
      <c r="K21" s="2039">
        <f t="shared" si="88"/>
        <v>1.03E-2</v>
      </c>
      <c r="L21" s="2024">
        <f t="shared" si="88"/>
        <v>2.3999999999999998E-3</v>
      </c>
      <c r="M21" s="2024">
        <f t="shared" si="88"/>
        <v>7.000000000000001E-4</v>
      </c>
      <c r="N21" s="2024">
        <f t="shared" si="88"/>
        <v>1.1699999999999999E-2</v>
      </c>
      <c r="O21" s="2024">
        <f t="shared" si="88"/>
        <v>5.5000000000000005E-3</v>
      </c>
      <c r="P21" s="2024">
        <f t="shared" si="108"/>
        <v>7.000000000000001E-4</v>
      </c>
      <c r="Q21" s="2902"/>
      <c r="R21" s="2023">
        <f>ROUND(IF(项目基本情况!$B$8="出让",SUMPRODUCT(PRODUCT(1+K21:$K$24)),SUMPRODUCT(PRODUCT(1+K21:$K$23))),4)</f>
        <v>1.0244</v>
      </c>
      <c r="S21" s="2023">
        <f>ROUND(IF(项目基本情况!$B$8="出让",SUMPRODUCT(PRODUCT(1+L21:$L$24)),SUMPRODUCT(PRODUCT(1+L21:$L$23))),4)</f>
        <v>1.0138</v>
      </c>
      <c r="T21" s="2023">
        <f>ROUND(IF(项目基本情况!$B$8="出让",SUMPRODUCT(PRODUCT(1+M21:$M$24)),SUMPRODUCT(PRODUCT(1+M21:$M$23))),4)</f>
        <v>1.0072000000000001</v>
      </c>
      <c r="U21" s="2023">
        <f>ROUND(IF(项目基本情况!$B$8="出让",SUMPRODUCT(PRODUCT(1+N21:$N$24)),SUMPRODUCT(PRODUCT(1+N21:$N$23))),4)</f>
        <v>1.0262</v>
      </c>
      <c r="V21" s="2023">
        <f>ROUND(IF(项目基本情况!$B$8="出让",SUMPRODUCT(PRODUCT(1+O21:$O$24)),SUMPRODUCT(PRODUCT(1+O21:$O$23))),4)</f>
        <v>1.0205</v>
      </c>
      <c r="W21" s="2023">
        <f t="shared" si="107"/>
        <v>1.0072000000000001</v>
      </c>
      <c r="X21" s="2902"/>
      <c r="Y21" s="2024">
        <f>IF(D21=0,0,ROUND(AVERAGE(D21:D24)/100,4))</f>
        <v>8.5000000000000006E-3</v>
      </c>
      <c r="Z21" s="2024">
        <f t="shared" ref="Z21:AC21" si="113">IF(E21=0,0,ROUND(AVERAGE(E21:E24)/100,4))</f>
        <v>3.8E-3</v>
      </c>
      <c r="AA21" s="2024">
        <f t="shared" si="113"/>
        <v>1.1999999999999999E-3</v>
      </c>
      <c r="AB21" s="2024">
        <f t="shared" si="113"/>
        <v>9.2999999999999992E-3</v>
      </c>
      <c r="AC21" s="2024">
        <f t="shared" si="113"/>
        <v>6.0000000000000001E-3</v>
      </c>
      <c r="AD21" s="2024">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96.895835126908679</v>
      </c>
      <c r="AN21" s="3149">
        <f t="shared" si="49"/>
        <v>98.0525963045136</v>
      </c>
      <c r="AO21" s="3149">
        <f t="shared" si="50"/>
        <v>101.60412614090308</v>
      </c>
      <c r="AP21" s="3149">
        <f t="shared" si="51"/>
        <v>96.095057451598677</v>
      </c>
      <c r="AQ21" s="3149">
        <f t="shared" si="52"/>
        <v>93.867288502598527</v>
      </c>
      <c r="AR21" s="3149">
        <f t="shared" si="53"/>
        <v>101.60412614090308</v>
      </c>
    </row>
    <row r="22" spans="1:44" s="2041" customFormat="1" ht="13.2">
      <c r="A22" s="2901" t="s">
        <v>2819</v>
      </c>
      <c r="B22" s="2027">
        <v>2021</v>
      </c>
      <c r="C22" s="2038">
        <v>3</v>
      </c>
      <c r="D22" s="2003">
        <v>0.47</v>
      </c>
      <c r="E22" s="2003">
        <v>0.41</v>
      </c>
      <c r="F22" s="2003">
        <v>0.24</v>
      </c>
      <c r="G22" s="2003">
        <v>0.48</v>
      </c>
      <c r="H22" s="2913">
        <v>0.48</v>
      </c>
      <c r="I22" s="2004">
        <f t="shared" si="87"/>
        <v>0.24</v>
      </c>
      <c r="J22" s="2902"/>
      <c r="K22" s="2039">
        <f t="shared" si="88"/>
        <v>4.6999999999999993E-3</v>
      </c>
      <c r="L22" s="2024">
        <f t="shared" si="88"/>
        <v>4.0999999999999995E-3</v>
      </c>
      <c r="M22" s="2024">
        <f t="shared" si="88"/>
        <v>2.3999999999999998E-3</v>
      </c>
      <c r="N22" s="2024">
        <f t="shared" si="88"/>
        <v>4.7999999999999996E-3</v>
      </c>
      <c r="O22" s="2024">
        <f t="shared" si="88"/>
        <v>4.7999999999999996E-3</v>
      </c>
      <c r="P22" s="2024">
        <f t="shared" si="108"/>
        <v>2.3999999999999998E-3</v>
      </c>
      <c r="Q22" s="2902"/>
      <c r="R22" s="2023">
        <f>ROUND(IF(项目基本情况!$B$8="出让",SUMPRODUCT(PRODUCT(1+K22:$K$24)),SUMPRODUCT(PRODUCT(1+K22:$K$23))),4)</f>
        <v>1.0139</v>
      </c>
      <c r="S22" s="2023">
        <f>ROUND(IF(项目基本情况!$B$8="出让",SUMPRODUCT(PRODUCT(1+L22:$L$24)),SUMPRODUCT(PRODUCT(1+L22:$L$23))),4)</f>
        <v>1.0113000000000001</v>
      </c>
      <c r="T22" s="2023">
        <f>ROUND(IF(项目基本情况!$B$8="出让",SUMPRODUCT(PRODUCT(1+M22:$M$24)),SUMPRODUCT(PRODUCT(1+M22:$M$23))),4)</f>
        <v>1.0065</v>
      </c>
      <c r="U22" s="2023">
        <f>ROUND(IF(项目基本情况!$B$8="出让",SUMPRODUCT(PRODUCT(1+N22:$N$24)),SUMPRODUCT(PRODUCT(1+N22:$N$23))),4)</f>
        <v>1.0143</v>
      </c>
      <c r="V22" s="2023">
        <f>ROUND(IF(项目基本情况!$B$8="出让",SUMPRODUCT(PRODUCT(1+O22:$O$24)),SUMPRODUCT(PRODUCT(1+O22:$O$23))),4)</f>
        <v>1.0148999999999999</v>
      </c>
      <c r="W22" s="2023">
        <f t="shared" si="107"/>
        <v>1.0065</v>
      </c>
      <c r="X22" s="2902"/>
      <c r="Y22" s="2024">
        <f>IF(D22=0,0,ROUND(AVERAGE(D22:D24)/100,4))</f>
        <v>7.9000000000000008E-3</v>
      </c>
      <c r="Z22" s="2024">
        <f>IF(E22=0,0,ROUND(AVERAGE(E22:E24)/100,4))</f>
        <v>4.3E-3</v>
      </c>
      <c r="AA22" s="2024">
        <f>IF(F22=0,0,ROUND(AVERAGE(F22:F24)/100,4))</f>
        <v>1.2999999999999999E-3</v>
      </c>
      <c r="AB22" s="2024">
        <f>IF(G22=0,0,ROUND(AVERAGE(G22:G24)/100,4))</f>
        <v>8.5000000000000006E-3</v>
      </c>
      <c r="AC22" s="2024">
        <f>IF(H22=0,0,ROUND(AVERAGE(H22:H24)/100,4))</f>
        <v>6.1999999999999998E-3</v>
      </c>
      <c r="AD22" s="2024">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95.907982903007706</v>
      </c>
      <c r="AN22" s="3149">
        <f t="shared" si="49"/>
        <v>97.81783350410376</v>
      </c>
      <c r="AO22" s="3149">
        <f t="shared" si="50"/>
        <v>101.53305300380042</v>
      </c>
      <c r="AP22" s="3149">
        <f t="shared" si="51"/>
        <v>94.983747604624568</v>
      </c>
      <c r="AQ22" s="3149">
        <f t="shared" si="52"/>
        <v>93.353842369565911</v>
      </c>
      <c r="AR22" s="3149">
        <f t="shared" si="53"/>
        <v>101.53305300380042</v>
      </c>
    </row>
    <row r="23" spans="1:44" s="2041" customFormat="1" ht="13.2">
      <c r="A23" s="2901" t="s">
        <v>2820</v>
      </c>
      <c r="B23" s="2027">
        <v>2021</v>
      </c>
      <c r="C23" s="2038">
        <v>2</v>
      </c>
      <c r="D23" s="2003">
        <v>0.92</v>
      </c>
      <c r="E23" s="2003">
        <v>0.72</v>
      </c>
      <c r="F23" s="2003">
        <v>0.41</v>
      </c>
      <c r="G23" s="2003">
        <v>0.95</v>
      </c>
      <c r="H23" s="2913">
        <v>1.01</v>
      </c>
      <c r="I23" s="2004">
        <f t="shared" si="87"/>
        <v>0.41</v>
      </c>
      <c r="J23" s="2902"/>
      <c r="K23" s="2039">
        <f t="shared" si="88"/>
        <v>9.1999999999999998E-3</v>
      </c>
      <c r="L23" s="2024">
        <f t="shared" si="88"/>
        <v>7.1999999999999998E-3</v>
      </c>
      <c r="M23" s="2024">
        <f t="shared" si="88"/>
        <v>4.0999999999999995E-3</v>
      </c>
      <c r="N23" s="2024">
        <f t="shared" si="88"/>
        <v>9.4999999999999998E-3</v>
      </c>
      <c r="O23" s="2024">
        <f t="shared" si="88"/>
        <v>1.01E-2</v>
      </c>
      <c r="P23" s="2024">
        <f t="shared" si="108"/>
        <v>4.0999999999999995E-3</v>
      </c>
      <c r="Q23" s="2902"/>
      <c r="R23" s="2023">
        <f>ROUND(IF(项目基本情况!$B$8="出让",SUMPRODUCT(PRODUCT(1+K23:$K$24)),SUMPRODUCT(PRODUCT(1+K23:$K$23))),4)</f>
        <v>1.0092000000000001</v>
      </c>
      <c r="S23" s="2023">
        <f>ROUND(IF(项目基本情况!$B$8="出让",SUMPRODUCT(PRODUCT(1+L23:$L$24)),SUMPRODUCT(PRODUCT(1+L23:$L$23))),4)</f>
        <v>1.0072000000000001</v>
      </c>
      <c r="T23" s="2023">
        <f>ROUND(IF(项目基本情况!$B$8="出让",SUMPRODUCT(PRODUCT(1+M23:$M$24)),SUMPRODUCT(PRODUCT(1+M23:$M$23))),4)</f>
        <v>1.0041</v>
      </c>
      <c r="U23" s="2023">
        <f>ROUND(IF(项目基本情况!$B$8="出让",SUMPRODUCT(PRODUCT(1+N23:$N$24)),SUMPRODUCT(PRODUCT(1+N23:$N$23))),4)</f>
        <v>1.0095000000000001</v>
      </c>
      <c r="V23" s="2023">
        <f>ROUND(IF(项目基本情况!$B$8="出让",SUMPRODUCT(PRODUCT(1+O23:$O$24)),SUMPRODUCT(PRODUCT(1+O23:$O$23))),4)</f>
        <v>1.0101</v>
      </c>
      <c r="W23" s="2023">
        <f t="shared" si="107"/>
        <v>1.0041</v>
      </c>
      <c r="X23" s="2902"/>
      <c r="Y23" s="2024">
        <f>IF(D23=0,0,ROUND(AVERAGE(D23:D24)/100,4))</f>
        <v>9.4999999999999998E-3</v>
      </c>
      <c r="Z23" s="2024">
        <f>IF(E23=0,0,ROUND(AVERAGE(E23:E24)/100,4))</f>
        <v>4.4000000000000003E-3</v>
      </c>
      <c r="AA23" s="2024">
        <f>IF(F23=0,0,ROUND(AVERAGE(F23:F24)/100,4))</f>
        <v>8.0000000000000004E-4</v>
      </c>
      <c r="AB23" s="2024">
        <f>IF(G23=0,0,ROUND(AVERAGE(G23:G24)/100,4))</f>
        <v>1.03E-2</v>
      </c>
      <c r="AC23" s="2024">
        <f>IF(H23=0,0,ROUND(AVERAGE(H23:H24)/100,4))</f>
        <v>6.8999999999999999E-3</v>
      </c>
      <c r="AD23" s="2024">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95.459324079832498</v>
      </c>
      <c r="AN23" s="3149">
        <f t="shared" si="49"/>
        <v>97.418417990343357</v>
      </c>
      <c r="AO23" s="3149">
        <f t="shared" si="50"/>
        <v>101.28995710674424</v>
      </c>
      <c r="AP23" s="3149">
        <f t="shared" si="51"/>
        <v>94.530003587405034</v>
      </c>
      <c r="AQ23" s="3149">
        <f t="shared" si="52"/>
        <v>92.907884523851436</v>
      </c>
      <c r="AR23" s="3149">
        <f t="shared" si="53"/>
        <v>101.28995710674424</v>
      </c>
    </row>
    <row r="24" spans="1:44" s="2924" customFormat="1" ht="15" thickBot="1">
      <c r="A24" s="2914" t="s">
        <v>2821</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94.589104320087685</v>
      </c>
      <c r="AN24" s="3156">
        <f t="shared" si="49"/>
        <v>96.722019450301175</v>
      </c>
      <c r="AO24" s="3156">
        <f t="shared" si="50"/>
        <v>100.87636401428567</v>
      </c>
      <c r="AP24" s="3156">
        <f t="shared" si="51"/>
        <v>93.640419601193685</v>
      </c>
      <c r="AQ24" s="3156">
        <f t="shared" si="52"/>
        <v>91.978897657510586</v>
      </c>
      <c r="AR24" s="3156">
        <f t="shared" si="53"/>
        <v>100.87636401428567</v>
      </c>
    </row>
    <row r="25" spans="1:44" ht="15" thickTop="1"/>
    <row r="26" spans="1:44">
      <c r="A26" s="3139" t="s">
        <v>3377</v>
      </c>
    </row>
    <row r="27" spans="1:44">
      <c r="I27" s="1404" t="s">
        <v>2822</v>
      </c>
    </row>
    <row r="29" spans="1:44" s="2005" customFormat="1" ht="13.2">
      <c r="B29" s="2925" t="s">
        <v>3375</v>
      </c>
      <c r="C29" s="2926"/>
      <c r="D29" s="2926"/>
      <c r="E29" s="2926"/>
      <c r="F29" s="2926"/>
      <c r="G29" s="2926"/>
      <c r="H29" s="2926"/>
      <c r="I29" s="2926"/>
      <c r="J29" s="2892"/>
      <c r="K29" s="2926" t="s">
        <v>2823</v>
      </c>
      <c r="L29" s="2926"/>
      <c r="M29" s="2926"/>
      <c r="N29" s="2926"/>
      <c r="O29" s="2926"/>
      <c r="P29" s="2926"/>
      <c r="Q29" s="2892"/>
      <c r="R29" s="3568" t="s">
        <v>2824</v>
      </c>
      <c r="S29" s="3569"/>
      <c r="T29" s="3569"/>
      <c r="U29" s="3569"/>
      <c r="V29" s="3569"/>
      <c r="W29" s="3569"/>
      <c r="X29" s="2892"/>
      <c r="Y29" s="3568" t="s">
        <v>2825</v>
      </c>
      <c r="Z29" s="3569"/>
      <c r="AA29" s="3569"/>
      <c r="AB29" s="3569"/>
      <c r="AC29" s="3569"/>
      <c r="AD29" s="3569"/>
    </row>
    <row r="30" spans="1:44" s="2006" customFormat="1" ht="15" thickBot="1">
      <c r="B30" s="2877"/>
      <c r="C30" s="2878"/>
      <c r="D30" s="2007" t="s">
        <v>2826</v>
      </c>
      <c r="E30" s="2008" t="s">
        <v>2827</v>
      </c>
      <c r="F30" s="2008" t="s">
        <v>2828</v>
      </c>
      <c r="G30" s="2008" t="s">
        <v>2829</v>
      </c>
      <c r="H30" s="2008"/>
      <c r="I30" s="2008" t="s">
        <v>2830</v>
      </c>
      <c r="J30" s="2879"/>
      <c r="K30" s="2007" t="s">
        <v>2826</v>
      </c>
      <c r="L30" s="2008" t="s">
        <v>2827</v>
      </c>
      <c r="M30" s="2008" t="s">
        <v>2828</v>
      </c>
      <c r="N30" s="2008" t="s">
        <v>2829</v>
      </c>
      <c r="O30" s="2008"/>
      <c r="P30" s="2008" t="s">
        <v>2830</v>
      </c>
      <c r="Q30" s="2879"/>
      <c r="R30" s="2007" t="s">
        <v>2826</v>
      </c>
      <c r="S30" s="2008" t="s">
        <v>2827</v>
      </c>
      <c r="T30" s="2008" t="s">
        <v>2828</v>
      </c>
      <c r="U30" s="2008" t="s">
        <v>2829</v>
      </c>
      <c r="V30" s="2008"/>
      <c r="W30" s="2008" t="s">
        <v>2830</v>
      </c>
      <c r="X30" s="2879"/>
      <c r="Y30" s="2007" t="s">
        <v>2826</v>
      </c>
      <c r="Z30" s="2008" t="s">
        <v>2827</v>
      </c>
      <c r="AA30" s="2008" t="s">
        <v>2828</v>
      </c>
      <c r="AB30" s="2008" t="s">
        <v>2829</v>
      </c>
      <c r="AC30" s="2008"/>
      <c r="AD30" s="2008" t="s">
        <v>2830</v>
      </c>
      <c r="AG30" t="s">
        <v>673</v>
      </c>
      <c r="AH30" t="s">
        <v>21</v>
      </c>
      <c r="AI30" t="s">
        <v>3402</v>
      </c>
      <c r="AJ30"/>
      <c r="AK30" t="s">
        <v>3403</v>
      </c>
      <c r="AN30" t="s">
        <v>673</v>
      </c>
      <c r="AO30" t="s">
        <v>21</v>
      </c>
      <c r="AP30" t="s">
        <v>3402</v>
      </c>
      <c r="AQ30"/>
      <c r="AR30" t="s">
        <v>3403</v>
      </c>
    </row>
    <row r="31" spans="1:44" s="2882" customFormat="1" ht="13.2">
      <c r="A31" s="2880" t="s">
        <v>2831</v>
      </c>
      <c r="B31" s="2881"/>
      <c r="E31" s="2882">
        <f t="shared" ref="E31:G31" si="115">ROUND(AVERAGEIF(E32:E52,"&lt;&gt;0"),2)</f>
        <v>0.11</v>
      </c>
      <c r="F31" s="2882">
        <f t="shared" si="115"/>
        <v>7.0000000000000007E-2</v>
      </c>
      <c r="G31" s="2882">
        <f t="shared" si="115"/>
        <v>0.26</v>
      </c>
      <c r="I31" s="2882">
        <f>F31</f>
        <v>7.0000000000000007E-2</v>
      </c>
      <c r="J31" s="2883"/>
      <c r="K31" s="2884"/>
      <c r="L31" s="2885">
        <f t="shared" ref="L31:N31" si="116">ROUND(AVERAGEIF(L32:L52,"&lt;&gt;0"),4)</f>
        <v>1.1000000000000001E-3</v>
      </c>
      <c r="M31" s="2885">
        <f t="shared" si="116"/>
        <v>6.9999999999999999E-4</v>
      </c>
      <c r="N31" s="2885">
        <f t="shared" si="116"/>
        <v>2.5999999999999999E-3</v>
      </c>
      <c r="O31" s="2885"/>
      <c r="P31" s="2885">
        <f>M31</f>
        <v>6.9999999999999999E-4</v>
      </c>
      <c r="Q31" s="2883"/>
      <c r="R31" s="2886"/>
      <c r="S31" s="2887">
        <f>ROUND(SUMPRODUCT(PRODUCT(1+L32:L52)),4)</f>
        <v>1.0185</v>
      </c>
      <c r="T31" s="2887">
        <f t="shared" ref="T31:U31" si="117">ROUND(SUMPRODUCT(PRODUCT(1+M32:M52)),4)</f>
        <v>1.012</v>
      </c>
      <c r="U31" s="2887">
        <f t="shared" si="117"/>
        <v>1.0436000000000001</v>
      </c>
      <c r="V31" s="2887"/>
      <c r="W31" s="2886">
        <f>T31</f>
        <v>1.012</v>
      </c>
      <c r="X31" s="2883"/>
      <c r="Y31" s="2888"/>
      <c r="Z31" s="2889">
        <f t="shared" ref="Z31:AB31" si="118">ROUND(AVERAGEIF(Z32:Z52,"&lt;&gt;0"),4)</f>
        <v>3.5999999999999999E-3</v>
      </c>
      <c r="AA31" s="2890">
        <f t="shared" si="118"/>
        <v>3.0000000000000001E-3</v>
      </c>
      <c r="AB31" s="2888">
        <f t="shared" si="118"/>
        <v>7.0000000000000001E-3</v>
      </c>
      <c r="AC31" s="2891"/>
      <c r="AD31" s="2888">
        <f>AA31</f>
        <v>3.0000000000000001E-3</v>
      </c>
    </row>
    <row r="32" spans="1:44" s="2005" customFormat="1" ht="13.2">
      <c r="B32" s="2021"/>
      <c r="J32" s="2892"/>
      <c r="K32" s="2893"/>
      <c r="L32" s="2894"/>
      <c r="M32" s="2894"/>
      <c r="N32" s="2894"/>
      <c r="O32" s="2894"/>
      <c r="P32" s="2894"/>
      <c r="Q32" s="2892"/>
      <c r="R32" s="2023"/>
      <c r="S32" s="2895"/>
      <c r="T32" s="2896"/>
      <c r="U32" s="2023"/>
      <c r="V32" s="2897"/>
      <c r="W32" s="2023"/>
      <c r="X32" s="2892"/>
      <c r="Y32" s="2024"/>
      <c r="Z32" s="2898"/>
      <c r="AA32" s="2899"/>
      <c r="AB32" s="2024"/>
      <c r="AC32" s="2900"/>
      <c r="AD32" s="2024"/>
    </row>
    <row r="33" spans="1:44" s="2041" customFormat="1">
      <c r="A33" s="2036" t="s">
        <v>3400</v>
      </c>
      <c r="B33" s="2027">
        <v>2025</v>
      </c>
      <c r="C33" s="2038">
        <v>4</v>
      </c>
      <c r="D33" s="2003"/>
      <c r="E33" s="2003">
        <v>0</v>
      </c>
      <c r="F33" s="2003">
        <v>0</v>
      </c>
      <c r="G33" s="2003">
        <v>0</v>
      </c>
      <c r="H33" s="2003"/>
      <c r="I33" s="2004">
        <f t="shared" ref="I33" si="119">F33</f>
        <v>0</v>
      </c>
      <c r="J33" s="2902"/>
      <c r="K33" s="2039"/>
      <c r="L33" s="2024">
        <f t="shared" ref="L33" si="120">E33/100</f>
        <v>0</v>
      </c>
      <c r="M33" s="2024">
        <f t="shared" ref="M33" si="121">F33/100</f>
        <v>0</v>
      </c>
      <c r="N33" s="2024">
        <f t="shared" ref="N33" si="122">G33/100</f>
        <v>0</v>
      </c>
      <c r="O33" s="2024"/>
      <c r="P33" s="2024">
        <f t="shared" ref="P33:P39" si="123">M33</f>
        <v>0</v>
      </c>
      <c r="Q33" s="2902"/>
      <c r="R33" s="2023"/>
      <c r="S33" s="2023">
        <f>ROUND(IF(项目基本情况!$B$8="出让",SUMPRODUCT(PRODUCT(1+L33:L$52)),SUMPRODUCT(PRODUCT(1+L33:L$51))),4)</f>
        <v>1.0148999999999999</v>
      </c>
      <c r="T33" s="2023">
        <f>ROUND(IF(项目基本情况!$B$8="出让",SUMPRODUCT(PRODUCT(1+M33:M$52)),SUMPRODUCT(PRODUCT(1+M33:M$51))),4)</f>
        <v>1.0072000000000001</v>
      </c>
      <c r="U33" s="2023">
        <f>ROUND(IF(项目基本情况!$B$8="出让",SUMPRODUCT(PRODUCT(1+N33:N$52)),SUMPRODUCT(PRODUCT(1+N33:N$51))),4)</f>
        <v>1.0335000000000001</v>
      </c>
      <c r="V33" s="2023"/>
      <c r="W33" s="2023">
        <f t="shared" ref="W33:W39" si="124">T33</f>
        <v>1.0072000000000001</v>
      </c>
      <c r="X33" s="2902"/>
      <c r="Y33" s="2024"/>
      <c r="Z33" s="2898">
        <f t="shared" ref="Z33" si="125">IF(E33=0,0,ROUND(AVERAGE(E33:E46)/100,4))</f>
        <v>0</v>
      </c>
      <c r="AA33" s="2898">
        <f t="shared" ref="AA33" si="126">IF(F33=0,0,ROUND(AVERAGE(F33:F46)/100,4))</f>
        <v>0</v>
      </c>
      <c r="AB33" s="2898">
        <f t="shared" ref="AB33" si="127">IF(G33=0,0,ROUND(AVERAGE(G33:G46)/100,4))</f>
        <v>0</v>
      </c>
      <c r="AC33" s="2900"/>
      <c r="AD33" s="2024">
        <f t="shared" ref="AD33:AD39" si="128">IF(I33=0,0,ROUND(AVERAGE(I33:I46)/100,4))</f>
        <v>0</v>
      </c>
      <c r="AG33" s="3149">
        <f t="shared" ref="AG33:AG50" si="129">$AG$52*S33</f>
        <v>101.49</v>
      </c>
      <c r="AH33" s="3149">
        <f t="shared" ref="AH33:AH50" si="130">$AG$52*T33</f>
        <v>100.72000000000001</v>
      </c>
      <c r="AI33" s="3149">
        <f t="shared" ref="AI33:AI50" si="131">$AG$52*U33</f>
        <v>103.35000000000001</v>
      </c>
      <c r="AJ33" s="3151"/>
      <c r="AK33" s="3149">
        <f t="shared" ref="AK33:AK50" si="132">$AG$52*W33</f>
        <v>100.72000000000001</v>
      </c>
      <c r="AN33" s="3154">
        <v>100</v>
      </c>
      <c r="AO33" s="3154">
        <v>100</v>
      </c>
      <c r="AP33" s="3154">
        <v>100</v>
      </c>
      <c r="AQ33" s="3154"/>
      <c r="AR33" s="3154">
        <v>100</v>
      </c>
    </row>
    <row r="34" spans="1:44" s="2041" customFormat="1" ht="13.2">
      <c r="A34" s="2036" t="s">
        <v>3399</v>
      </c>
      <c r="B34" s="2027">
        <v>2025</v>
      </c>
      <c r="C34" s="2038">
        <v>3</v>
      </c>
      <c r="D34" s="2003"/>
      <c r="E34" s="2003">
        <v>0</v>
      </c>
      <c r="F34" s="2003">
        <v>0</v>
      </c>
      <c r="G34" s="2003">
        <v>0</v>
      </c>
      <c r="H34" s="2003"/>
      <c r="I34" s="2004">
        <f t="shared" ref="I34" si="133">F34</f>
        <v>0</v>
      </c>
      <c r="J34" s="2902"/>
      <c r="K34" s="2039"/>
      <c r="L34" s="2024">
        <f t="shared" ref="L34" si="134">E34/100</f>
        <v>0</v>
      </c>
      <c r="M34" s="2024">
        <f t="shared" ref="M34" si="135">F34/100</f>
        <v>0</v>
      </c>
      <c r="N34" s="2024">
        <f t="shared" ref="N34" si="136">G34/100</f>
        <v>0</v>
      </c>
      <c r="O34" s="2024"/>
      <c r="P34" s="2024">
        <f t="shared" si="123"/>
        <v>0</v>
      </c>
      <c r="Q34" s="2902"/>
      <c r="R34" s="2023"/>
      <c r="S34" s="2023">
        <f>ROUND(IF(项目基本情况!$B$8="出让",SUMPRODUCT(PRODUCT(1+L34:L$52)),SUMPRODUCT(PRODUCT(1+L34:L$51))),4)</f>
        <v>1.0148999999999999</v>
      </c>
      <c r="T34" s="2023">
        <f>ROUND(IF(项目基本情况!$B$8="出让",SUMPRODUCT(PRODUCT(1+M34:M$52)),SUMPRODUCT(PRODUCT(1+M34:M$51))),4)</f>
        <v>1.0072000000000001</v>
      </c>
      <c r="U34" s="2023">
        <f>ROUND(IF(项目基本情况!$B$8="出让",SUMPRODUCT(PRODUCT(1+N34:N$52)),SUMPRODUCT(PRODUCT(1+N34:N$51))),4)</f>
        <v>1.0335000000000001</v>
      </c>
      <c r="V34" s="2023"/>
      <c r="W34" s="2023">
        <f t="shared" si="124"/>
        <v>1.0072000000000001</v>
      </c>
      <c r="X34" s="2902"/>
      <c r="Y34" s="2024"/>
      <c r="Z34" s="2898">
        <f t="shared" ref="Z34" si="137">IF(E34=0,0,ROUND(AVERAGE(E34:E47)/100,4))</f>
        <v>0</v>
      </c>
      <c r="AA34" s="2898">
        <f t="shared" ref="AA34" si="138">IF(F34=0,0,ROUND(AVERAGE(F34:F47)/100,4))</f>
        <v>0</v>
      </c>
      <c r="AB34" s="2898">
        <f t="shared" ref="AB34" si="139">IF(G34=0,0,ROUND(AVERAGE(G34:G47)/100,4))</f>
        <v>0</v>
      </c>
      <c r="AC34" s="2900"/>
      <c r="AD34" s="2024">
        <f t="shared" si="128"/>
        <v>0</v>
      </c>
      <c r="AG34" s="3149">
        <f t="shared" si="129"/>
        <v>101.49</v>
      </c>
      <c r="AH34" s="3149">
        <f t="shared" si="130"/>
        <v>100.72000000000001</v>
      </c>
      <c r="AI34" s="3149">
        <f t="shared" si="131"/>
        <v>103.35000000000001</v>
      </c>
      <c r="AJ34" s="3151"/>
      <c r="AK34" s="3149">
        <f t="shared" si="132"/>
        <v>100.72000000000001</v>
      </c>
      <c r="AN34" s="3149">
        <f>AN33/(1+E33/100)</f>
        <v>100</v>
      </c>
      <c r="AO34" s="3149">
        <f t="shared" ref="AO34:AR34" si="140">AO33/(1+F33/100)</f>
        <v>100</v>
      </c>
      <c r="AP34" s="3149">
        <f t="shared" si="140"/>
        <v>100</v>
      </c>
      <c r="AQ34" s="3149"/>
      <c r="AR34" s="3149">
        <f t="shared" si="140"/>
        <v>100</v>
      </c>
    </row>
    <row r="35" spans="1:44" s="2912" customFormat="1" ht="13.2">
      <c r="A35" s="2903" t="s">
        <v>3407</v>
      </c>
      <c r="B35" s="2904">
        <v>2025</v>
      </c>
      <c r="C35" s="2905">
        <v>2</v>
      </c>
      <c r="D35" s="2906"/>
      <c r="E35" s="2906">
        <v>0</v>
      </c>
      <c r="F35" s="2906">
        <v>0</v>
      </c>
      <c r="G35" s="2906">
        <v>0</v>
      </c>
      <c r="H35" s="2907"/>
      <c r="I35" s="2908">
        <f t="shared" ref="I35" si="141">F35</f>
        <v>0</v>
      </c>
      <c r="J35" s="2909"/>
      <c r="K35" s="2910"/>
      <c r="L35" s="2911">
        <f t="shared" ref="L35" si="142">E35/100</f>
        <v>0</v>
      </c>
      <c r="M35" s="2911">
        <f t="shared" ref="M35" si="143">F35/100</f>
        <v>0</v>
      </c>
      <c r="N35" s="2911">
        <f t="shared" ref="N35" si="144">G35/100</f>
        <v>0</v>
      </c>
      <c r="O35" s="2911"/>
      <c r="P35" s="2911">
        <f t="shared" si="123"/>
        <v>0</v>
      </c>
      <c r="Q35" s="2909"/>
      <c r="R35" s="2909"/>
      <c r="S35" s="2909">
        <f>ROUND(IF(项目基本情况!$B$8="出让",SUMPRODUCT(PRODUCT(1+L35:L$52)),SUMPRODUCT(PRODUCT(1+L35:L$51))),4)</f>
        <v>1.0148999999999999</v>
      </c>
      <c r="T35" s="2909">
        <f>ROUND(IF(项目基本情况!$B$8="出让",SUMPRODUCT(PRODUCT(1+M35:M$52)),SUMPRODUCT(PRODUCT(1+M35:M$51))),4)</f>
        <v>1.0072000000000001</v>
      </c>
      <c r="U35" s="2909">
        <f>ROUND(IF(项目基本情况!$B$8="出让",SUMPRODUCT(PRODUCT(1+N35:N$52)),SUMPRODUCT(PRODUCT(1+N35:N$51))),4)</f>
        <v>1.0335000000000001</v>
      </c>
      <c r="V35" s="2909"/>
      <c r="W35" s="2909">
        <f t="shared" si="124"/>
        <v>1.0072000000000001</v>
      </c>
      <c r="X35" s="2909"/>
      <c r="Y35" s="2911"/>
      <c r="Z35" s="2927">
        <f t="shared" ref="Z35" si="145">IF(E35=0,0,ROUND(AVERAGE(E35:E48)/100,4))</f>
        <v>0</v>
      </c>
      <c r="AA35" s="2928">
        <f t="shared" ref="AA35" si="146">IF(F35=0,0,ROUND(AVERAGE(F35:F48)/100,4))</f>
        <v>0</v>
      </c>
      <c r="AB35" s="2911">
        <f t="shared" ref="AB35" si="147">IF(G35=0,0,ROUND(AVERAGE(G35:G48)/100,4))</f>
        <v>0</v>
      </c>
      <c r="AC35" s="2929"/>
      <c r="AD35" s="2911">
        <f t="shared" si="128"/>
        <v>0</v>
      </c>
      <c r="AG35" s="3150">
        <f t="shared" si="129"/>
        <v>101.49</v>
      </c>
      <c r="AH35" s="3150">
        <f t="shared" si="130"/>
        <v>100.72000000000001</v>
      </c>
      <c r="AI35" s="3150">
        <f t="shared" si="131"/>
        <v>103.35000000000001</v>
      </c>
      <c r="AJ35" s="3152"/>
      <c r="AK35" s="3150">
        <f t="shared" si="132"/>
        <v>100.72000000000001</v>
      </c>
      <c r="AN35" s="3150">
        <f t="shared" ref="AN35:AN52" si="148">AN34/(1+E34/100)</f>
        <v>100</v>
      </c>
      <c r="AO35" s="3150">
        <f t="shared" ref="AO35" si="149">AO34/(1+F34/100)</f>
        <v>100</v>
      </c>
      <c r="AP35" s="3150">
        <f t="shared" ref="AP35" si="150">AP34/(1+G34/100)</f>
        <v>100</v>
      </c>
      <c r="AQ35" s="3150"/>
      <c r="AR35" s="3150">
        <f t="shared" ref="AR35" si="151">AR34/(1+I34/100)</f>
        <v>100</v>
      </c>
    </row>
    <row r="36" spans="1:44" s="2041" customFormat="1" ht="13.2">
      <c r="A36" s="2036" t="s">
        <v>3404</v>
      </c>
      <c r="B36" s="2027">
        <v>2025</v>
      </c>
      <c r="C36" s="2038">
        <v>1</v>
      </c>
      <c r="D36" s="2003"/>
      <c r="E36" s="2003">
        <v>-1.47</v>
      </c>
      <c r="F36" s="2003">
        <v>-0.98</v>
      </c>
      <c r="G36" s="2003">
        <v>-0.51</v>
      </c>
      <c r="H36" s="2003"/>
      <c r="I36" s="2004">
        <f t="shared" ref="I36" si="152">F36</f>
        <v>-0.98</v>
      </c>
      <c r="J36" s="2902"/>
      <c r="K36" s="2039"/>
      <c r="L36" s="2024">
        <f t="shared" ref="L36" si="153">E36/100</f>
        <v>-1.47E-2</v>
      </c>
      <c r="M36" s="2024">
        <f t="shared" ref="M36" si="154">F36/100</f>
        <v>-9.7999999999999997E-3</v>
      </c>
      <c r="N36" s="2024">
        <f t="shared" ref="N36" si="155">G36/100</f>
        <v>-5.1000000000000004E-3</v>
      </c>
      <c r="O36" s="2024"/>
      <c r="P36" s="2024">
        <f t="shared" si="123"/>
        <v>-9.7999999999999997E-3</v>
      </c>
      <c r="Q36" s="2902"/>
      <c r="R36" s="2023"/>
      <c r="S36" s="2023">
        <f>ROUND(IF(项目基本情况!$B$8="出让",SUMPRODUCT(PRODUCT(1+L36:L$52)),SUMPRODUCT(PRODUCT(1+L36:L$51))),4)</f>
        <v>1.0148999999999999</v>
      </c>
      <c r="T36" s="2023">
        <f>ROUND(IF(项目基本情况!$B$8="出让",SUMPRODUCT(PRODUCT(1+M36:M$52)),SUMPRODUCT(PRODUCT(1+M36:M$51))),4)</f>
        <v>1.0072000000000001</v>
      </c>
      <c r="U36" s="2023">
        <f>ROUND(IF(项目基本情况!$B$8="出让",SUMPRODUCT(PRODUCT(1+N36:N$52)),SUMPRODUCT(PRODUCT(1+N36:N$51))),4)</f>
        <v>1.0335000000000001</v>
      </c>
      <c r="V36" s="2023"/>
      <c r="W36" s="2023">
        <f t="shared" si="124"/>
        <v>1.0072000000000001</v>
      </c>
      <c r="X36" s="2902"/>
      <c r="Y36" s="2024"/>
      <c r="Z36" s="2898">
        <f t="shared" ref="Z36" si="156">IF(E36=0,0,ROUND(AVERAGE(E36:E49)/100,4))</f>
        <v>4.0000000000000002E-4</v>
      </c>
      <c r="AA36" s="2898">
        <f t="shared" ref="AA36" si="157">IF(F36=0,0,ROUND(AVERAGE(F36:F49)/100,4))</f>
        <v>0</v>
      </c>
      <c r="AB36" s="2898">
        <f t="shared" ref="AB36" si="158">IF(G36=0,0,ROUND(AVERAGE(G36:G49)/100,4))</f>
        <v>1E-3</v>
      </c>
      <c r="AC36" s="2900"/>
      <c r="AD36" s="2024">
        <f t="shared" si="128"/>
        <v>0</v>
      </c>
      <c r="AG36" s="3149">
        <f t="shared" si="129"/>
        <v>101.49</v>
      </c>
      <c r="AH36" s="3149">
        <f t="shared" si="130"/>
        <v>100.72000000000001</v>
      </c>
      <c r="AI36" s="3149">
        <f t="shared" si="131"/>
        <v>103.35000000000001</v>
      </c>
      <c r="AJ36" s="3151"/>
      <c r="AK36" s="3149">
        <f t="shared" si="132"/>
        <v>100.72000000000001</v>
      </c>
      <c r="AN36" s="3149">
        <f t="shared" si="148"/>
        <v>100</v>
      </c>
      <c r="AO36" s="3149">
        <f t="shared" ref="AO36:AO52" si="159">AO35/(1+F35/100)</f>
        <v>100</v>
      </c>
      <c r="AP36" s="3149">
        <f t="shared" ref="AP36:AP52" si="160">AP35/(1+G35/100)</f>
        <v>100</v>
      </c>
      <c r="AQ36" s="3149"/>
      <c r="AR36" s="3149">
        <f t="shared" ref="AR36:AR52" si="161">AR35/(1+I35/100)</f>
        <v>100</v>
      </c>
    </row>
    <row r="37" spans="1:44" s="2041" customFormat="1" ht="13.2">
      <c r="A37" s="2036" t="s">
        <v>3405</v>
      </c>
      <c r="B37" s="2027">
        <v>2024</v>
      </c>
      <c r="C37" s="2038">
        <v>4</v>
      </c>
      <c r="D37" s="2003"/>
      <c r="E37" s="2003">
        <v>-0.61</v>
      </c>
      <c r="F37" s="2003">
        <v>-0.71</v>
      </c>
      <c r="G37" s="2003">
        <v>-0.88</v>
      </c>
      <c r="H37" s="2003"/>
      <c r="I37" s="2004">
        <f t="shared" ref="I37" si="162">F37</f>
        <v>-0.71</v>
      </c>
      <c r="J37" s="2902"/>
      <c r="K37" s="2039"/>
      <c r="L37" s="2024">
        <f t="shared" ref="L37" si="163">E37/100</f>
        <v>-6.0999999999999995E-3</v>
      </c>
      <c r="M37" s="2024">
        <f t="shared" ref="M37" si="164">F37/100</f>
        <v>-7.0999999999999995E-3</v>
      </c>
      <c r="N37" s="2024">
        <f t="shared" ref="N37" si="165">G37/100</f>
        <v>-8.8000000000000005E-3</v>
      </c>
      <c r="O37" s="2024"/>
      <c r="P37" s="2024">
        <f t="shared" si="123"/>
        <v>-7.0999999999999995E-3</v>
      </c>
      <c r="Q37" s="2902"/>
      <c r="R37" s="2023"/>
      <c r="S37" s="2023">
        <f>ROUND(IF(项目基本情况!$B$8="出让",SUMPRODUCT(PRODUCT(1+L37:L$52)),SUMPRODUCT(PRODUCT(1+L37:L$51))),4)</f>
        <v>1.0301</v>
      </c>
      <c r="T37" s="2023">
        <f>ROUND(IF(项目基本情况!$B$8="出让",SUMPRODUCT(PRODUCT(1+M37:M$52)),SUMPRODUCT(PRODUCT(1+M37:M$51))),4)</f>
        <v>1.0170999999999999</v>
      </c>
      <c r="U37" s="2023">
        <f>ROUND(IF(项目基本情况!$B$8="出让",SUMPRODUCT(PRODUCT(1+N37:N$52)),SUMPRODUCT(PRODUCT(1+N37:N$51))),4)</f>
        <v>1.0387999999999999</v>
      </c>
      <c r="V37" s="2023"/>
      <c r="W37" s="2023">
        <f t="shared" si="124"/>
        <v>1.0170999999999999</v>
      </c>
      <c r="X37" s="2902"/>
      <c r="Y37" s="2024"/>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4">
        <f t="shared" si="128"/>
        <v>8.9999999999999998E-4</v>
      </c>
      <c r="AG37" s="3149">
        <f t="shared" si="129"/>
        <v>103.01</v>
      </c>
      <c r="AH37" s="3149">
        <f t="shared" si="130"/>
        <v>101.71</v>
      </c>
      <c r="AI37" s="3149">
        <f t="shared" si="131"/>
        <v>103.88</v>
      </c>
      <c r="AJ37" s="3151"/>
      <c r="AK37" s="3149">
        <f t="shared" si="132"/>
        <v>101.71</v>
      </c>
      <c r="AN37" s="3149">
        <f t="shared" si="148"/>
        <v>101.49193139145439</v>
      </c>
      <c r="AO37" s="3149">
        <f t="shared" si="159"/>
        <v>100.98969905069683</v>
      </c>
      <c r="AP37" s="3149">
        <f t="shared" si="160"/>
        <v>100.51261433309881</v>
      </c>
      <c r="AQ37" s="3149"/>
      <c r="AR37" s="3149">
        <f t="shared" si="161"/>
        <v>100.98969905069683</v>
      </c>
    </row>
    <row r="38" spans="1:44" s="2041" customFormat="1" ht="13.2">
      <c r="A38" s="2036" t="s">
        <v>3369</v>
      </c>
      <c r="B38" s="2027">
        <v>2024</v>
      </c>
      <c r="C38" s="2038">
        <v>3</v>
      </c>
      <c r="D38" s="2003"/>
      <c r="E38" s="2003">
        <v>-0.66</v>
      </c>
      <c r="F38" s="2003">
        <v>-0.52</v>
      </c>
      <c r="G38" s="2003">
        <v>-2.87</v>
      </c>
      <c r="H38" s="2003"/>
      <c r="I38" s="2004">
        <f t="shared" ref="I38" si="169">F38</f>
        <v>-0.52</v>
      </c>
      <c r="J38" s="2902"/>
      <c r="K38" s="2039"/>
      <c r="L38" s="2024">
        <f t="shared" ref="L38" si="170">E38/100</f>
        <v>-6.6E-3</v>
      </c>
      <c r="M38" s="2024">
        <f t="shared" ref="M38" si="171">F38/100</f>
        <v>-5.1999999999999998E-3</v>
      </c>
      <c r="N38" s="2024">
        <f t="shared" ref="N38" si="172">G38/100</f>
        <v>-2.87E-2</v>
      </c>
      <c r="O38" s="2024"/>
      <c r="P38" s="2024">
        <f t="shared" si="123"/>
        <v>-5.1999999999999998E-3</v>
      </c>
      <c r="Q38" s="2902"/>
      <c r="R38" s="2023"/>
      <c r="S38" s="2023">
        <f>ROUND(IF(项目基本情况!$B$8="出让",SUMPRODUCT(PRODUCT(1+L38:L$52)),SUMPRODUCT(PRODUCT(1+L38:L$51))),4)</f>
        <v>1.0364</v>
      </c>
      <c r="T38" s="2023">
        <f>ROUND(IF(项目基本情况!$B$8="出让",SUMPRODUCT(PRODUCT(1+M38:M$52)),SUMPRODUCT(PRODUCT(1+M38:M$51))),4)</f>
        <v>1.0244</v>
      </c>
      <c r="U38" s="2023">
        <f>ROUND(IF(项目基本情况!$B$8="出让",SUMPRODUCT(PRODUCT(1+N38:N$52)),SUMPRODUCT(PRODUCT(1+N38:N$51))),4)</f>
        <v>1.048</v>
      </c>
      <c r="V38" s="2023"/>
      <c r="W38" s="2023">
        <f t="shared" si="124"/>
        <v>1.0244</v>
      </c>
      <c r="X38" s="2902"/>
      <c r="Y38" s="2024"/>
      <c r="Z38" s="2898">
        <f t="shared" ref="Z38:AB39" si="173">IF(E38=0,0,ROUND(AVERAGE(E38:E51)/100,4))</f>
        <v>2.5999999999999999E-3</v>
      </c>
      <c r="AA38" s="2898">
        <f t="shared" si="173"/>
        <v>1.6999999999999999E-3</v>
      </c>
      <c r="AB38" s="2898">
        <f t="shared" si="173"/>
        <v>3.3999999999999998E-3</v>
      </c>
      <c r="AC38" s="2900"/>
      <c r="AD38" s="2024">
        <f t="shared" si="128"/>
        <v>1.6999999999999999E-3</v>
      </c>
      <c r="AG38" s="3149">
        <f t="shared" si="129"/>
        <v>103.64</v>
      </c>
      <c r="AH38" s="3149">
        <f t="shared" si="130"/>
        <v>102.44</v>
      </c>
      <c r="AI38" s="3149">
        <f t="shared" si="131"/>
        <v>104.80000000000001</v>
      </c>
      <c r="AJ38" s="3151"/>
      <c r="AK38" s="3149">
        <f t="shared" si="132"/>
        <v>102.44</v>
      </c>
      <c r="AN38" s="3149">
        <f t="shared" si="148"/>
        <v>102.11483186583598</v>
      </c>
      <c r="AO38" s="3149">
        <f t="shared" si="159"/>
        <v>101.71185320847701</v>
      </c>
      <c r="AP38" s="3149">
        <f t="shared" si="160"/>
        <v>101.4049781407373</v>
      </c>
      <c r="AQ38" s="3149"/>
      <c r="AR38" s="3149">
        <f t="shared" si="161"/>
        <v>101.71185320847701</v>
      </c>
    </row>
    <row r="39" spans="1:44" s="2041" customFormat="1" ht="13.2">
      <c r="A39" s="2901" t="s">
        <v>3373</v>
      </c>
      <c r="B39" s="2027">
        <v>2024</v>
      </c>
      <c r="C39" s="2038">
        <v>2</v>
      </c>
      <c r="D39" s="2003"/>
      <c r="E39" s="2003">
        <v>-0.31</v>
      </c>
      <c r="F39" s="2003">
        <v>-0.39</v>
      </c>
      <c r="G39" s="2003">
        <v>1.23</v>
      </c>
      <c r="H39" s="2913"/>
      <c r="I39" s="2004">
        <f t="shared" ref="I39:I52" si="174">F39</f>
        <v>-0.39</v>
      </c>
      <c r="J39" s="2902"/>
      <c r="K39" s="2039"/>
      <c r="L39" s="2024">
        <f t="shared" ref="L39:N52" si="175">E39/100</f>
        <v>-3.0999999999999999E-3</v>
      </c>
      <c r="M39" s="2024">
        <f t="shared" si="175"/>
        <v>-3.9000000000000003E-3</v>
      </c>
      <c r="N39" s="2024">
        <f t="shared" si="175"/>
        <v>1.23E-2</v>
      </c>
      <c r="O39" s="2024"/>
      <c r="P39" s="2024">
        <f t="shared" si="123"/>
        <v>-3.9000000000000003E-3</v>
      </c>
      <c r="Q39" s="2902"/>
      <c r="R39" s="2023"/>
      <c r="S39" s="2023">
        <f>ROUND(IF(项目基本情况!$B$8="出让",SUMPRODUCT(PRODUCT(1+L39:L$52)),SUMPRODUCT(PRODUCT(1+L39:L$51))),4)</f>
        <v>1.0432999999999999</v>
      </c>
      <c r="T39" s="2023">
        <f>ROUND(IF(项目基本情况!$B$8="出让",SUMPRODUCT(PRODUCT(1+M39:M$52)),SUMPRODUCT(PRODUCT(1+M39:M$51))),4)</f>
        <v>1.0298</v>
      </c>
      <c r="U39" s="2023">
        <f>ROUND(IF(项目基本情况!$B$8="出让",SUMPRODUCT(PRODUCT(1+N39:N$52)),SUMPRODUCT(PRODUCT(1+N39:N$51))),4)</f>
        <v>1.079</v>
      </c>
      <c r="V39" s="2023"/>
      <c r="W39" s="2023">
        <f t="shared" si="124"/>
        <v>1.0298</v>
      </c>
      <c r="X39" s="2902"/>
      <c r="Y39" s="2024"/>
      <c r="Z39" s="2898">
        <f t="shared" si="173"/>
        <v>3.3E-3</v>
      </c>
      <c r="AA39" s="2899">
        <f t="shared" si="173"/>
        <v>2.3999999999999998E-3</v>
      </c>
      <c r="AB39" s="2024">
        <f t="shared" si="173"/>
        <v>6.1999999999999998E-3</v>
      </c>
      <c r="AC39" s="2900"/>
      <c r="AD39" s="2024">
        <f t="shared" si="128"/>
        <v>2.3999999999999998E-3</v>
      </c>
      <c r="AG39" s="3149">
        <f t="shared" si="129"/>
        <v>104.32999999999998</v>
      </c>
      <c r="AH39" s="3149">
        <f t="shared" si="130"/>
        <v>102.98</v>
      </c>
      <c r="AI39" s="3149">
        <f t="shared" si="131"/>
        <v>107.89999999999999</v>
      </c>
      <c r="AJ39" s="3151"/>
      <c r="AK39" s="3149">
        <f t="shared" si="132"/>
        <v>102.98</v>
      </c>
      <c r="AN39" s="3149">
        <f t="shared" si="148"/>
        <v>102.79326743087979</v>
      </c>
      <c r="AO39" s="3149">
        <f t="shared" si="159"/>
        <v>102.24351950992863</v>
      </c>
      <c r="AP39" s="3149">
        <f t="shared" si="160"/>
        <v>104.40129531631555</v>
      </c>
      <c r="AQ39" s="3149"/>
      <c r="AR39" s="3149">
        <f t="shared" si="161"/>
        <v>102.24351950992863</v>
      </c>
    </row>
    <row r="40" spans="1:44" s="2041" customFormat="1" ht="13.2">
      <c r="A40" s="2901" t="s">
        <v>3370</v>
      </c>
      <c r="B40" s="2027">
        <v>2024</v>
      </c>
      <c r="C40" s="2038">
        <v>1</v>
      </c>
      <c r="D40" s="2003"/>
      <c r="E40" s="2003">
        <v>0.25</v>
      </c>
      <c r="F40" s="2003">
        <v>0.4</v>
      </c>
      <c r="G40" s="2003">
        <v>-0.63</v>
      </c>
      <c r="H40" s="2913"/>
      <c r="I40" s="2004">
        <f t="shared" ref="I40:I41" si="176">F40</f>
        <v>0.4</v>
      </c>
      <c r="J40" s="2902"/>
      <c r="K40" s="2039"/>
      <c r="L40" s="2024">
        <f t="shared" ref="L40" si="177">E40/100</f>
        <v>2.5000000000000001E-3</v>
      </c>
      <c r="M40" s="2024">
        <f t="shared" ref="M40" si="178">F40/100</f>
        <v>4.0000000000000001E-3</v>
      </c>
      <c r="N40" s="2024">
        <f t="shared" ref="N40" si="179">G40/100</f>
        <v>-6.3E-3</v>
      </c>
      <c r="O40" s="2024"/>
      <c r="P40" s="2024">
        <f t="shared" ref="P40" si="180">M40</f>
        <v>4.0000000000000001E-3</v>
      </c>
      <c r="Q40" s="2902"/>
      <c r="R40" s="2023"/>
      <c r="S40" s="2023">
        <f>ROUND(IF(项目基本情况!$B$8="出让",SUMPRODUCT(PRODUCT(1+L40:L$52)),SUMPRODUCT(PRODUCT(1+L40:L$51))),4)</f>
        <v>1.0465</v>
      </c>
      <c r="T40" s="2023">
        <f>ROUND(IF(项目基本情况!$B$8="出让",SUMPRODUCT(PRODUCT(1+M40:M$52)),SUMPRODUCT(PRODUCT(1+M40:M$51))),4)</f>
        <v>1.0338000000000001</v>
      </c>
      <c r="U40" s="2023">
        <f>ROUND(IF(项目基本情况!$B$8="出让",SUMPRODUCT(PRODUCT(1+N40:N$52)),SUMPRODUCT(PRODUCT(1+N40:N$51))),4)</f>
        <v>1.0659000000000001</v>
      </c>
      <c r="V40" s="2023"/>
      <c r="W40" s="2023">
        <f t="shared" ref="W40" si="181">T40</f>
        <v>1.0338000000000001</v>
      </c>
      <c r="X40" s="2902"/>
      <c r="Y40" s="2024"/>
      <c r="Z40" s="2898"/>
      <c r="AA40" s="2899"/>
      <c r="AB40" s="2024"/>
      <c r="AC40" s="2900"/>
      <c r="AD40" s="2024"/>
      <c r="AG40" s="3149">
        <f t="shared" si="129"/>
        <v>104.65</v>
      </c>
      <c r="AH40" s="3149">
        <f t="shared" si="130"/>
        <v>103.38000000000001</v>
      </c>
      <c r="AI40" s="3149">
        <f t="shared" si="131"/>
        <v>106.59</v>
      </c>
      <c r="AJ40" s="3151"/>
      <c r="AK40" s="3149">
        <f t="shared" si="132"/>
        <v>103.38000000000001</v>
      </c>
      <c r="AN40" s="3149">
        <f t="shared" si="148"/>
        <v>103.11291747505246</v>
      </c>
      <c r="AO40" s="3149">
        <f t="shared" si="159"/>
        <v>102.64383044867849</v>
      </c>
      <c r="AP40" s="3149">
        <f t="shared" si="160"/>
        <v>103.13276233953923</v>
      </c>
      <c r="AQ40" s="3149"/>
      <c r="AR40" s="3149">
        <f t="shared" si="161"/>
        <v>102.64383044867849</v>
      </c>
    </row>
    <row r="41" spans="1:44" s="2041" customFormat="1" ht="13.2">
      <c r="A41" s="2901" t="s">
        <v>3368</v>
      </c>
      <c r="B41" s="2027">
        <v>2023</v>
      </c>
      <c r="C41" s="2038">
        <v>4</v>
      </c>
      <c r="D41" s="2003"/>
      <c r="E41" s="2003">
        <v>7.0000000000000007E-2</v>
      </c>
      <c r="F41" s="2003">
        <v>0.09</v>
      </c>
      <c r="G41" s="2003">
        <v>0.03</v>
      </c>
      <c r="H41" s="2913"/>
      <c r="I41" s="2004">
        <f t="shared" si="176"/>
        <v>0.09</v>
      </c>
      <c r="J41" s="2902"/>
      <c r="K41" s="2039"/>
      <c r="L41" s="2024">
        <f t="shared" si="175"/>
        <v>7.000000000000001E-4</v>
      </c>
      <c r="M41" s="2024">
        <f t="shared" si="175"/>
        <v>8.9999999999999998E-4</v>
      </c>
      <c r="N41" s="2024">
        <f t="shared" si="175"/>
        <v>2.9999999999999997E-4</v>
      </c>
      <c r="O41" s="2024"/>
      <c r="P41" s="2024">
        <f t="shared" ref="P41" si="182">M41</f>
        <v>8.9999999999999998E-4</v>
      </c>
      <c r="Q41" s="2902"/>
      <c r="R41" s="2023"/>
      <c r="S41" s="2023">
        <f>ROUND(IF(项目基本情况!$B$8="出让",SUMPRODUCT(PRODUCT(1+L41:L$52)),SUMPRODUCT(PRODUCT(1+L41:L$51))),4)</f>
        <v>1.0439000000000001</v>
      </c>
      <c r="T41" s="2023">
        <f>ROUND(IF(项目基本情况!$B$8="出让",SUMPRODUCT(PRODUCT(1+M41:M$52)),SUMPRODUCT(PRODUCT(1+M41:M$51))),4)</f>
        <v>1.0297000000000001</v>
      </c>
      <c r="U41" s="2023">
        <f>ROUND(IF(项目基本情况!$B$8="出让",SUMPRODUCT(PRODUCT(1+N41:N$52)),SUMPRODUCT(PRODUCT(1+N41:N$51))),4)</f>
        <v>1.0727</v>
      </c>
      <c r="V41" s="2023"/>
      <c r="W41" s="2023">
        <f t="shared" ref="W41" si="183">T41</f>
        <v>1.0297000000000001</v>
      </c>
      <c r="X41" s="2902"/>
      <c r="Y41" s="2024"/>
      <c r="Z41" s="2898"/>
      <c r="AA41" s="2899"/>
      <c r="AB41" s="2024"/>
      <c r="AC41" s="2900"/>
      <c r="AD41" s="2024"/>
      <c r="AG41" s="3149">
        <f t="shared" si="129"/>
        <v>104.39</v>
      </c>
      <c r="AH41" s="3149">
        <f t="shared" si="130"/>
        <v>102.97</v>
      </c>
      <c r="AI41" s="3149">
        <f t="shared" si="131"/>
        <v>107.27</v>
      </c>
      <c r="AJ41" s="3151"/>
      <c r="AK41" s="3149">
        <f t="shared" si="132"/>
        <v>102.97</v>
      </c>
      <c r="AN41" s="3149">
        <f t="shared" si="148"/>
        <v>102.85577802997751</v>
      </c>
      <c r="AO41" s="3149">
        <f t="shared" si="159"/>
        <v>102.23489088513793</v>
      </c>
      <c r="AP41" s="3149">
        <f t="shared" si="160"/>
        <v>103.78661803314806</v>
      </c>
      <c r="AQ41" s="3149"/>
      <c r="AR41" s="3149">
        <f t="shared" si="161"/>
        <v>102.23489088513793</v>
      </c>
    </row>
    <row r="42" spans="1:44" s="2041" customFormat="1" ht="13.2">
      <c r="A42" s="2901" t="s">
        <v>3366</v>
      </c>
      <c r="B42" s="2027">
        <v>2023</v>
      </c>
      <c r="C42" s="2038">
        <v>3</v>
      </c>
      <c r="D42" s="2003"/>
      <c r="E42" s="2003">
        <v>0.35</v>
      </c>
      <c r="F42" s="2003">
        <v>0.17</v>
      </c>
      <c r="G42" s="2003">
        <v>0.52</v>
      </c>
      <c r="H42" s="2913"/>
      <c r="I42" s="2004">
        <f t="shared" si="174"/>
        <v>0.17</v>
      </c>
      <c r="J42" s="2902"/>
      <c r="K42" s="2039"/>
      <c r="L42" s="2024">
        <f t="shared" ref="L42:L44" si="184">E42/100</f>
        <v>3.4999999999999996E-3</v>
      </c>
      <c r="M42" s="2024">
        <f t="shared" ref="M42:M44" si="185">F42/100</f>
        <v>1.7000000000000001E-3</v>
      </c>
      <c r="N42" s="2024">
        <f t="shared" ref="N42:N44" si="186">G42/100</f>
        <v>5.1999999999999998E-3</v>
      </c>
      <c r="O42" s="2024"/>
      <c r="P42" s="2024">
        <f t="shared" ref="P42:P44" si="187">M42</f>
        <v>1.7000000000000001E-3</v>
      </c>
      <c r="Q42" s="2902"/>
      <c r="R42" s="2023"/>
      <c r="S42" s="2023">
        <f>ROUND(IF(项目基本情况!$B$8="出让",SUMPRODUCT(PRODUCT(1+L42:L$52)),SUMPRODUCT(PRODUCT(1+L42:L$51))),4)</f>
        <v>1.0431999999999999</v>
      </c>
      <c r="T42" s="2023">
        <f>ROUND(IF(项目基本情况!$B$8="出让",SUMPRODUCT(PRODUCT(1+M42:M$52)),SUMPRODUCT(PRODUCT(1+M42:M$51))),4)</f>
        <v>1.0286999999999999</v>
      </c>
      <c r="U42" s="2023">
        <f>ROUND(IF(项目基本情况!$B$8="出让",SUMPRODUCT(PRODUCT(1+N42:N$52)),SUMPRODUCT(PRODUCT(1+N42:N$51))),4)</f>
        <v>1.0723</v>
      </c>
      <c r="V42" s="2023"/>
      <c r="W42" s="2023">
        <f t="shared" ref="W42:W44" si="188">T42</f>
        <v>1.0286999999999999</v>
      </c>
      <c r="X42" s="2902"/>
      <c r="Y42" s="2024"/>
      <c r="Z42" s="2898"/>
      <c r="AA42" s="2899"/>
      <c r="AB42" s="2024"/>
      <c r="AC42" s="2900"/>
      <c r="AD42" s="2024"/>
      <c r="AG42" s="3149">
        <f t="shared" si="129"/>
        <v>104.32</v>
      </c>
      <c r="AH42" s="3149">
        <f t="shared" si="130"/>
        <v>102.86999999999999</v>
      </c>
      <c r="AI42" s="3149">
        <f t="shared" si="131"/>
        <v>107.23</v>
      </c>
      <c r="AJ42" s="3151"/>
      <c r="AK42" s="3149">
        <f t="shared" si="132"/>
        <v>102.86999999999999</v>
      </c>
      <c r="AN42" s="3149">
        <f t="shared" si="148"/>
        <v>102.78382934943292</v>
      </c>
      <c r="AO42" s="3149">
        <f t="shared" si="159"/>
        <v>102.14296221914071</v>
      </c>
      <c r="AP42" s="3149">
        <f t="shared" si="160"/>
        <v>103.75549138573234</v>
      </c>
      <c r="AQ42" s="3149"/>
      <c r="AR42" s="3149">
        <f t="shared" si="161"/>
        <v>102.14296221914071</v>
      </c>
    </row>
    <row r="43" spans="1:44" s="2041" customFormat="1" ht="13.2">
      <c r="A43" s="2901" t="s">
        <v>3365</v>
      </c>
      <c r="B43" s="2027">
        <v>2023</v>
      </c>
      <c r="C43" s="2038">
        <v>2</v>
      </c>
      <c r="D43" s="2003"/>
      <c r="E43" s="2003">
        <v>0.5</v>
      </c>
      <c r="F43" s="2003">
        <v>0.45</v>
      </c>
      <c r="G43" s="2003">
        <v>0.89</v>
      </c>
      <c r="H43" s="2913"/>
      <c r="I43" s="2004">
        <f t="shared" si="174"/>
        <v>0.45</v>
      </c>
      <c r="J43" s="2902"/>
      <c r="K43" s="2039"/>
      <c r="L43" s="2024">
        <f t="shared" si="184"/>
        <v>5.0000000000000001E-3</v>
      </c>
      <c r="M43" s="2024">
        <f t="shared" si="185"/>
        <v>4.5000000000000005E-3</v>
      </c>
      <c r="N43" s="2024">
        <f t="shared" si="186"/>
        <v>8.8999999999999999E-3</v>
      </c>
      <c r="O43" s="2024"/>
      <c r="P43" s="2024">
        <f t="shared" si="187"/>
        <v>4.5000000000000005E-3</v>
      </c>
      <c r="Q43" s="2902"/>
      <c r="R43" s="2023"/>
      <c r="S43" s="2023">
        <f>ROUND(IF(项目基本情况!$B$8="出让",SUMPRODUCT(PRODUCT(1+L43:L$52)),SUMPRODUCT(PRODUCT(1+L43:L$51))),4)</f>
        <v>1.0396000000000001</v>
      </c>
      <c r="T43" s="2023">
        <f>ROUND(IF(项目基本情况!$B$8="出让",SUMPRODUCT(PRODUCT(1+M43:M$52)),SUMPRODUCT(PRODUCT(1+M43:M$51))),4)</f>
        <v>1.0269999999999999</v>
      </c>
      <c r="U43" s="2023">
        <f>ROUND(IF(项目基本情况!$B$8="出让",SUMPRODUCT(PRODUCT(1+N43:N$52)),SUMPRODUCT(PRODUCT(1+N43:N$51))),4)</f>
        <v>1.0668</v>
      </c>
      <c r="V43" s="2023"/>
      <c r="W43" s="2023">
        <f t="shared" si="188"/>
        <v>1.0269999999999999</v>
      </c>
      <c r="X43" s="2902"/>
      <c r="Y43" s="2024"/>
      <c r="Z43" s="2898"/>
      <c r="AA43" s="2899"/>
      <c r="AB43" s="2024"/>
      <c r="AC43" s="2900"/>
      <c r="AD43" s="2024"/>
      <c r="AG43" s="3149">
        <f t="shared" si="129"/>
        <v>103.96000000000001</v>
      </c>
      <c r="AH43" s="3149">
        <f t="shared" si="130"/>
        <v>102.69999999999999</v>
      </c>
      <c r="AI43" s="3149">
        <f t="shared" si="131"/>
        <v>106.67999999999999</v>
      </c>
      <c r="AJ43" s="3151"/>
      <c r="AK43" s="3149">
        <f t="shared" si="132"/>
        <v>102.69999999999999</v>
      </c>
      <c r="AN43" s="3149">
        <f t="shared" si="148"/>
        <v>102.42534065713295</v>
      </c>
      <c r="AO43" s="3149">
        <f t="shared" si="159"/>
        <v>101.96961387555227</v>
      </c>
      <c r="AP43" s="3149">
        <f t="shared" si="160"/>
        <v>103.21875386563104</v>
      </c>
      <c r="AQ43" s="3149"/>
      <c r="AR43" s="3149">
        <f t="shared" si="161"/>
        <v>101.96961387555227</v>
      </c>
    </row>
    <row r="44" spans="1:44" s="2041" customFormat="1" ht="13.2">
      <c r="A44" s="2901" t="s">
        <v>3363</v>
      </c>
      <c r="B44" s="2027">
        <v>2023</v>
      </c>
      <c r="C44" s="2038">
        <v>1</v>
      </c>
      <c r="D44" s="2003"/>
      <c r="E44" s="2003">
        <v>0.55000000000000004</v>
      </c>
      <c r="F44" s="2003">
        <v>0.59</v>
      </c>
      <c r="G44" s="2003">
        <v>0.64</v>
      </c>
      <c r="H44" s="2913"/>
      <c r="I44" s="2004">
        <f t="shared" si="174"/>
        <v>0.59</v>
      </c>
      <c r="J44" s="2902"/>
      <c r="K44" s="2039"/>
      <c r="L44" s="2024">
        <f t="shared" si="184"/>
        <v>5.5000000000000005E-3</v>
      </c>
      <c r="M44" s="2024">
        <f t="shared" si="185"/>
        <v>5.8999999999999999E-3</v>
      </c>
      <c r="N44" s="2024">
        <f t="shared" si="186"/>
        <v>6.4000000000000003E-3</v>
      </c>
      <c r="O44" s="2024"/>
      <c r="P44" s="2024">
        <f t="shared" si="187"/>
        <v>5.8999999999999999E-3</v>
      </c>
      <c r="Q44" s="2902"/>
      <c r="R44" s="2023"/>
      <c r="S44" s="2023">
        <f>ROUND(IF(项目基本情况!$B$8="出让",SUMPRODUCT(PRODUCT(1+L44:L$52)),SUMPRODUCT(PRODUCT(1+L44:L$51))),4)</f>
        <v>1.0344</v>
      </c>
      <c r="T44" s="2023">
        <f>ROUND(IF(项目基本情况!$B$8="出让",SUMPRODUCT(PRODUCT(1+M44:M$52)),SUMPRODUCT(PRODUCT(1+M44:M$51))),4)</f>
        <v>1.0224</v>
      </c>
      <c r="U44" s="2023">
        <f>ROUND(IF(项目基本情况!$B$8="出让",SUMPRODUCT(PRODUCT(1+N44:N$52)),SUMPRODUCT(PRODUCT(1+N44:N$51))),4)</f>
        <v>1.0573999999999999</v>
      </c>
      <c r="V44" s="2023"/>
      <c r="W44" s="2023">
        <f t="shared" si="188"/>
        <v>1.0224</v>
      </c>
      <c r="X44" s="2902"/>
      <c r="Y44" s="2024"/>
      <c r="Z44" s="2898"/>
      <c r="AA44" s="2899"/>
      <c r="AB44" s="2024"/>
      <c r="AC44" s="2900"/>
      <c r="AD44" s="2024"/>
      <c r="AG44" s="3149">
        <f t="shared" si="129"/>
        <v>103.44</v>
      </c>
      <c r="AH44" s="3149">
        <f t="shared" si="130"/>
        <v>102.24</v>
      </c>
      <c r="AI44" s="3149">
        <f t="shared" si="131"/>
        <v>105.74</v>
      </c>
      <c r="AJ44" s="3151"/>
      <c r="AK44" s="3149">
        <f t="shared" si="132"/>
        <v>102.24</v>
      </c>
      <c r="AN44" s="3149">
        <f t="shared" si="148"/>
        <v>101.91576184789349</v>
      </c>
      <c r="AO44" s="3149">
        <f t="shared" si="159"/>
        <v>101.5128062474388</v>
      </c>
      <c r="AP44" s="3149">
        <f t="shared" si="160"/>
        <v>102.30821078960358</v>
      </c>
      <c r="AQ44" s="3149"/>
      <c r="AR44" s="3149">
        <f t="shared" si="161"/>
        <v>101.5128062474388</v>
      </c>
    </row>
    <row r="45" spans="1:44" s="2041" customFormat="1" ht="13.2">
      <c r="A45" s="2901" t="s">
        <v>3362</v>
      </c>
      <c r="B45" s="2027">
        <v>2022</v>
      </c>
      <c r="C45" s="2038">
        <v>4</v>
      </c>
      <c r="D45" s="2003"/>
      <c r="E45" s="2003">
        <v>0.45</v>
      </c>
      <c r="F45" s="2003">
        <v>0.2</v>
      </c>
      <c r="G45" s="2003">
        <v>0.38</v>
      </c>
      <c r="H45" s="2913"/>
      <c r="I45" s="2004">
        <f t="shared" si="174"/>
        <v>0.2</v>
      </c>
      <c r="J45" s="2902"/>
      <c r="K45" s="2039"/>
      <c r="L45" s="2024">
        <f t="shared" si="175"/>
        <v>4.5000000000000005E-3</v>
      </c>
      <c r="M45" s="2024">
        <f t="shared" si="175"/>
        <v>2E-3</v>
      </c>
      <c r="N45" s="2024">
        <f t="shared" si="175"/>
        <v>3.8E-3</v>
      </c>
      <c r="O45" s="2024"/>
      <c r="P45" s="2024">
        <f t="shared" ref="P45:P52" si="189">M45</f>
        <v>2E-3</v>
      </c>
      <c r="Q45" s="2902"/>
      <c r="R45" s="2023"/>
      <c r="S45" s="2023">
        <f>ROUND(IF(项目基本情况!$B$8="出让",SUMPRODUCT(PRODUCT(1+L45:L$52)),SUMPRODUCT(PRODUCT(1+L45:L$51))),4)</f>
        <v>1.0286999999999999</v>
      </c>
      <c r="T45" s="2023">
        <f>ROUND(IF(项目基本情况!$B$8="出让",SUMPRODUCT(PRODUCT(1+M45:M$52)),SUMPRODUCT(PRODUCT(1+M45:M$51))),4)</f>
        <v>1.0164</v>
      </c>
      <c r="U45" s="2023">
        <f>ROUND(IF(项目基本情况!$B$8="出让",SUMPRODUCT(PRODUCT(1+N45:N$52)),SUMPRODUCT(PRODUCT(1+N45:N$51))),4)</f>
        <v>1.0506</v>
      </c>
      <c r="V45" s="2023"/>
      <c r="W45" s="2023">
        <f t="shared" ref="W45:W52" si="190">T45</f>
        <v>1.0164</v>
      </c>
      <c r="X45" s="2902"/>
      <c r="Y45" s="2024"/>
      <c r="Z45" s="2898">
        <f t="shared" ref="Z45:AD52" si="191">IF(E45=0,0,ROUND(AVERAGE(E45:E53)/100,4))</f>
        <v>4.0000000000000001E-3</v>
      </c>
      <c r="AA45" s="2899">
        <f t="shared" si="191"/>
        <v>2.5999999999999999E-3</v>
      </c>
      <c r="AB45" s="2024">
        <f t="shared" si="191"/>
        <v>7.4000000000000003E-3</v>
      </c>
      <c r="AC45" s="2900"/>
      <c r="AD45" s="2024">
        <f t="shared" si="191"/>
        <v>2.5999999999999999E-3</v>
      </c>
      <c r="AG45" s="3149">
        <f t="shared" si="129"/>
        <v>102.86999999999999</v>
      </c>
      <c r="AH45" s="3149">
        <f t="shared" si="130"/>
        <v>101.64</v>
      </c>
      <c r="AI45" s="3149">
        <f t="shared" si="131"/>
        <v>105.06</v>
      </c>
      <c r="AJ45" s="3151"/>
      <c r="AK45" s="3149">
        <f t="shared" si="132"/>
        <v>101.64</v>
      </c>
      <c r="AN45" s="3149">
        <f t="shared" si="148"/>
        <v>101.35829124604027</v>
      </c>
      <c r="AO45" s="3149">
        <f t="shared" si="159"/>
        <v>100.91739362505101</v>
      </c>
      <c r="AP45" s="3149">
        <f t="shared" si="160"/>
        <v>101.6576021359336</v>
      </c>
      <c r="AQ45" s="3149"/>
      <c r="AR45" s="3149">
        <f t="shared" si="161"/>
        <v>100.91739362505101</v>
      </c>
    </row>
    <row r="46" spans="1:44" s="2041" customFormat="1" ht="13.2">
      <c r="A46" s="2901" t="s">
        <v>3361</v>
      </c>
      <c r="B46" s="2027">
        <v>2022</v>
      </c>
      <c r="C46" s="2038">
        <v>3</v>
      </c>
      <c r="D46" s="2003"/>
      <c r="E46" s="2003">
        <v>0.3</v>
      </c>
      <c r="F46" s="2003">
        <v>0.28999999999999998</v>
      </c>
      <c r="G46" s="2003">
        <v>0.83</v>
      </c>
      <c r="H46" s="2913"/>
      <c r="I46" s="2004">
        <f t="shared" si="174"/>
        <v>0.28999999999999998</v>
      </c>
      <c r="J46" s="2902"/>
      <c r="K46" s="2039"/>
      <c r="L46" s="2024">
        <f t="shared" si="175"/>
        <v>3.0000000000000001E-3</v>
      </c>
      <c r="M46" s="2024">
        <f t="shared" si="175"/>
        <v>2.8999999999999998E-3</v>
      </c>
      <c r="N46" s="2024">
        <f t="shared" si="175"/>
        <v>8.3000000000000001E-3</v>
      </c>
      <c r="O46" s="2024"/>
      <c r="P46" s="2024">
        <f t="shared" si="189"/>
        <v>2.8999999999999998E-3</v>
      </c>
      <c r="Q46" s="2902"/>
      <c r="R46" s="2023"/>
      <c r="S46" s="2023">
        <f>ROUND(IF(项目基本情况!$B$8="出让",SUMPRODUCT(PRODUCT(1+L46:L$52)),SUMPRODUCT(PRODUCT(1+L46:L$51))),4)</f>
        <v>1.0241</v>
      </c>
      <c r="T46" s="2023">
        <f>ROUND(IF(项目基本情况!$B$8="出让",SUMPRODUCT(PRODUCT(1+M46:M$52)),SUMPRODUCT(PRODUCT(1+M46:M$51))),4)</f>
        <v>1.0144</v>
      </c>
      <c r="U46" s="2023">
        <f>ROUND(IF(项目基本情况!$B$8="出让",SUMPRODUCT(PRODUCT(1+N46:N$52)),SUMPRODUCT(PRODUCT(1+N46:N$51))),4)</f>
        <v>1.0467</v>
      </c>
      <c r="V46" s="2023"/>
      <c r="W46" s="2023">
        <f t="shared" si="190"/>
        <v>1.0144</v>
      </c>
      <c r="X46" s="2902"/>
      <c r="Y46" s="2024"/>
      <c r="Z46" s="2898">
        <f t="shared" si="191"/>
        <v>3.8999999999999998E-3</v>
      </c>
      <c r="AA46" s="2899">
        <f t="shared" si="191"/>
        <v>2.7000000000000001E-3</v>
      </c>
      <c r="AB46" s="2024">
        <f t="shared" si="191"/>
        <v>7.9000000000000008E-3</v>
      </c>
      <c r="AC46" s="2900"/>
      <c r="AD46" s="2024">
        <f t="shared" si="191"/>
        <v>2.7000000000000001E-3</v>
      </c>
      <c r="AG46" s="3149">
        <f t="shared" si="129"/>
        <v>102.41</v>
      </c>
      <c r="AH46" s="3149">
        <f t="shared" si="130"/>
        <v>101.44</v>
      </c>
      <c r="AI46" s="3149">
        <f t="shared" si="131"/>
        <v>104.67</v>
      </c>
      <c r="AJ46" s="3151"/>
      <c r="AK46" s="3149">
        <f t="shared" si="132"/>
        <v>101.44</v>
      </c>
      <c r="AN46" s="3149">
        <f t="shared" si="148"/>
        <v>100.90422224593357</v>
      </c>
      <c r="AO46" s="3149">
        <f t="shared" si="159"/>
        <v>100.71596170164771</v>
      </c>
      <c r="AP46" s="3149">
        <f t="shared" si="160"/>
        <v>101.2727656265527</v>
      </c>
      <c r="AQ46" s="3149"/>
      <c r="AR46" s="3149">
        <f t="shared" si="161"/>
        <v>100.71596170164771</v>
      </c>
    </row>
    <row r="47" spans="1:44" s="2041" customFormat="1" ht="13.2">
      <c r="A47" s="2901" t="s">
        <v>3351</v>
      </c>
      <c r="B47" s="2027">
        <v>2022</v>
      </c>
      <c r="C47" s="2038">
        <v>2</v>
      </c>
      <c r="D47" s="2003"/>
      <c r="E47" s="2003">
        <v>-0.11</v>
      </c>
      <c r="F47" s="2003">
        <v>-0.13</v>
      </c>
      <c r="G47" s="2003">
        <v>0.53</v>
      </c>
      <c r="H47" s="2913"/>
      <c r="I47" s="2004">
        <f t="shared" si="174"/>
        <v>-0.13</v>
      </c>
      <c r="J47" s="2902"/>
      <c r="K47" s="2039"/>
      <c r="L47" s="2024">
        <f t="shared" si="175"/>
        <v>-1.1000000000000001E-3</v>
      </c>
      <c r="M47" s="2024">
        <f t="shared" si="175"/>
        <v>-1.2999999999999999E-3</v>
      </c>
      <c r="N47" s="2024">
        <f t="shared" si="175"/>
        <v>5.3E-3</v>
      </c>
      <c r="O47" s="2024"/>
      <c r="P47" s="2024">
        <f t="shared" si="189"/>
        <v>-1.2999999999999999E-3</v>
      </c>
      <c r="Q47" s="2902"/>
      <c r="R47" s="2023"/>
      <c r="S47" s="2023">
        <f>ROUND(IF(项目基本情况!$B$8="出让",SUMPRODUCT(PRODUCT(1+L47:L$52)),SUMPRODUCT(PRODUCT(1+L47:L$51))),4)</f>
        <v>1.0210999999999999</v>
      </c>
      <c r="T47" s="2023">
        <f>ROUND(IF(项目基本情况!$B$8="出让",SUMPRODUCT(PRODUCT(1+M47:M$52)),SUMPRODUCT(PRODUCT(1+M47:M$51))),4)</f>
        <v>1.0114000000000001</v>
      </c>
      <c r="U47" s="2023">
        <f>ROUND(IF(项目基本情况!$B$8="出让",SUMPRODUCT(PRODUCT(1+N47:N$52)),SUMPRODUCT(PRODUCT(1+N47:N$51))),4)</f>
        <v>1.0381</v>
      </c>
      <c r="V47" s="2023"/>
      <c r="W47" s="2023">
        <f t="shared" si="190"/>
        <v>1.0114000000000001</v>
      </c>
      <c r="X47" s="2902"/>
      <c r="Y47" s="2024"/>
      <c r="Z47" s="2898">
        <f t="shared" si="191"/>
        <v>4.1000000000000003E-3</v>
      </c>
      <c r="AA47" s="2899">
        <f t="shared" si="191"/>
        <v>2.7000000000000001E-3</v>
      </c>
      <c r="AB47" s="2024">
        <f t="shared" si="191"/>
        <v>7.9000000000000008E-3</v>
      </c>
      <c r="AC47" s="2900"/>
      <c r="AD47" s="2024">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100.60241500093079</v>
      </c>
      <c r="AO47" s="3149">
        <f t="shared" si="159"/>
        <v>100.42472998469212</v>
      </c>
      <c r="AP47" s="3149">
        <f t="shared" si="160"/>
        <v>100.43912092289268</v>
      </c>
      <c r="AQ47" s="3149"/>
      <c r="AR47" s="3149">
        <f t="shared" si="161"/>
        <v>100.42472998469212</v>
      </c>
    </row>
    <row r="48" spans="1:44" s="2041" customFormat="1" ht="13.2">
      <c r="A48" s="2901" t="s">
        <v>2832</v>
      </c>
      <c r="B48" s="2027">
        <v>2022</v>
      </c>
      <c r="C48" s="2038">
        <v>1</v>
      </c>
      <c r="D48" s="2003"/>
      <c r="E48" s="2003">
        <v>0.6</v>
      </c>
      <c r="F48" s="2003">
        <v>0.45</v>
      </c>
      <c r="G48" s="2003">
        <v>0.53</v>
      </c>
      <c r="H48" s="2913"/>
      <c r="I48" s="2004">
        <f t="shared" si="174"/>
        <v>0.45</v>
      </c>
      <c r="J48" s="2902"/>
      <c r="K48" s="2039"/>
      <c r="L48" s="2024">
        <f t="shared" si="175"/>
        <v>6.0000000000000001E-3</v>
      </c>
      <c r="M48" s="2024">
        <f t="shared" si="175"/>
        <v>4.5000000000000005E-3</v>
      </c>
      <c r="N48" s="2024">
        <f t="shared" si="175"/>
        <v>5.3E-3</v>
      </c>
      <c r="O48" s="2024"/>
      <c r="P48" s="2024">
        <f t="shared" si="189"/>
        <v>4.5000000000000005E-3</v>
      </c>
      <c r="Q48" s="2902"/>
      <c r="R48" s="2023"/>
      <c r="S48" s="2023">
        <f>ROUND(IF(项目基本情况!$B$8="出让",SUMPRODUCT(PRODUCT(1+L48:L$52)),SUMPRODUCT(PRODUCT(1+L48:L$51))),4)</f>
        <v>1.0222</v>
      </c>
      <c r="T48" s="2023">
        <f>ROUND(IF(项目基本情况!$B$8="出让",SUMPRODUCT(PRODUCT(1+M48:M$52)),SUMPRODUCT(PRODUCT(1+M48:M$51))),4)</f>
        <v>1.0127999999999999</v>
      </c>
      <c r="U48" s="2023">
        <f>ROUND(IF(项目基本情况!$B$8="出让",SUMPRODUCT(PRODUCT(1+N48:N$52)),SUMPRODUCT(PRODUCT(1+N48:N$51))),4)</f>
        <v>1.0326</v>
      </c>
      <c r="V48" s="2023"/>
      <c r="W48" s="2023">
        <f t="shared" si="190"/>
        <v>1.0127999999999999</v>
      </c>
      <c r="X48" s="2902"/>
      <c r="Y48" s="2024"/>
      <c r="Z48" s="2898">
        <f t="shared" si="191"/>
        <v>5.1000000000000004E-3</v>
      </c>
      <c r="AA48" s="2899">
        <f t="shared" si="191"/>
        <v>3.5000000000000001E-3</v>
      </c>
      <c r="AB48" s="2024">
        <f t="shared" si="191"/>
        <v>8.3999999999999995E-3</v>
      </c>
      <c r="AC48" s="2900"/>
      <c r="AD48" s="2024">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100.71319952040324</v>
      </c>
      <c r="AO48" s="3149">
        <f t="shared" si="159"/>
        <v>100.55545207238622</v>
      </c>
      <c r="AP48" s="3149">
        <f t="shared" si="160"/>
        <v>99.90960004266654</v>
      </c>
      <c r="AQ48" s="3149"/>
      <c r="AR48" s="3149">
        <f t="shared" si="161"/>
        <v>100.55545207238622</v>
      </c>
    </row>
    <row r="49" spans="1:44" s="2041" customFormat="1" ht="13.2">
      <c r="A49" s="2901" t="s">
        <v>2833</v>
      </c>
      <c r="B49" s="2027">
        <v>2021</v>
      </c>
      <c r="C49" s="2038">
        <v>4</v>
      </c>
      <c r="D49" s="2003"/>
      <c r="E49" s="2003">
        <v>0.57999999999999996</v>
      </c>
      <c r="F49" s="2003">
        <v>0.08</v>
      </c>
      <c r="G49" s="2003">
        <v>0.68</v>
      </c>
      <c r="H49" s="2913"/>
      <c r="I49" s="2004">
        <f t="shared" si="174"/>
        <v>0.08</v>
      </c>
      <c r="J49" s="2902"/>
      <c r="K49" s="2039"/>
      <c r="L49" s="2024">
        <f t="shared" si="175"/>
        <v>5.7999999999999996E-3</v>
      </c>
      <c r="M49" s="2024">
        <f t="shared" si="175"/>
        <v>8.0000000000000004E-4</v>
      </c>
      <c r="N49" s="2024">
        <f t="shared" si="175"/>
        <v>6.8000000000000005E-3</v>
      </c>
      <c r="O49" s="2024"/>
      <c r="P49" s="2024">
        <f t="shared" si="189"/>
        <v>8.0000000000000004E-4</v>
      </c>
      <c r="Q49" s="2902"/>
      <c r="R49" s="2023"/>
      <c r="S49" s="2023">
        <f>ROUND(IF(项目基本情况!$B$8="出让",SUMPRODUCT(PRODUCT(1+L49:L$52)),SUMPRODUCT(PRODUCT(1+L49:L$51))),4)</f>
        <v>1.0161</v>
      </c>
      <c r="T49" s="2023">
        <f>ROUND(IF(项目基本情况!$B$8="出让",SUMPRODUCT(PRODUCT(1+M49:M$52)),SUMPRODUCT(PRODUCT(1+M49:M$51))),4)</f>
        <v>1.0082</v>
      </c>
      <c r="U49" s="2023">
        <f>ROUND(IF(项目基本情况!$B$8="出让",SUMPRODUCT(PRODUCT(1+N49:N$52)),SUMPRODUCT(PRODUCT(1+N49:N$51))),4)</f>
        <v>1.0270999999999999</v>
      </c>
      <c r="V49" s="2023"/>
      <c r="W49" s="2023">
        <f t="shared" si="190"/>
        <v>1.0082</v>
      </c>
      <c r="X49" s="2902"/>
      <c r="Y49" s="2024"/>
      <c r="Z49" s="2898">
        <f t="shared" si="191"/>
        <v>4.8999999999999998E-3</v>
      </c>
      <c r="AA49" s="2899">
        <f t="shared" si="191"/>
        <v>3.3E-3</v>
      </c>
      <c r="AB49" s="2024">
        <f t="shared" si="191"/>
        <v>9.1999999999999998E-3</v>
      </c>
      <c r="AC49" s="2900"/>
      <c r="AD49" s="2024">
        <f t="shared" si="191"/>
        <v>3.3E-3</v>
      </c>
      <c r="AG49" s="3149">
        <f t="shared" si="129"/>
        <v>101.61</v>
      </c>
      <c r="AH49" s="3149">
        <f t="shared" si="130"/>
        <v>100.82</v>
      </c>
      <c r="AI49" s="3149">
        <f t="shared" si="131"/>
        <v>102.71</v>
      </c>
      <c r="AJ49" s="3151"/>
      <c r="AK49" s="3149">
        <f t="shared" si="132"/>
        <v>100.82</v>
      </c>
      <c r="AN49" s="3149">
        <f t="shared" si="148"/>
        <v>100.11252437415828</v>
      </c>
      <c r="AO49" s="3149">
        <f t="shared" si="159"/>
        <v>100.10497966389867</v>
      </c>
      <c r="AP49" s="3149">
        <f t="shared" si="160"/>
        <v>99.382870827281934</v>
      </c>
      <c r="AQ49" s="3149"/>
      <c r="AR49" s="3149">
        <f t="shared" si="161"/>
        <v>100.10497966389867</v>
      </c>
    </row>
    <row r="50" spans="1:44" s="2041" customFormat="1" ht="13.2">
      <c r="A50" s="2901" t="s">
        <v>2834</v>
      </c>
      <c r="B50" s="2027">
        <v>2021</v>
      </c>
      <c r="C50" s="2038">
        <v>3</v>
      </c>
      <c r="D50" s="2003"/>
      <c r="E50" s="2003">
        <v>0.47</v>
      </c>
      <c r="F50" s="2003">
        <v>0.28000000000000003</v>
      </c>
      <c r="G50" s="2003">
        <v>0.91</v>
      </c>
      <c r="H50" s="2913"/>
      <c r="I50" s="2004">
        <f t="shared" si="174"/>
        <v>0.28000000000000003</v>
      </c>
      <c r="J50" s="2902"/>
      <c r="K50" s="2039"/>
      <c r="L50" s="2024">
        <f t="shared" si="175"/>
        <v>4.6999999999999993E-3</v>
      </c>
      <c r="M50" s="2024">
        <f t="shared" si="175"/>
        <v>2.8000000000000004E-3</v>
      </c>
      <c r="N50" s="2024">
        <f t="shared" si="175"/>
        <v>9.1000000000000004E-3</v>
      </c>
      <c r="O50" s="2024"/>
      <c r="P50" s="2024">
        <f t="shared" si="189"/>
        <v>2.8000000000000004E-3</v>
      </c>
      <c r="Q50" s="2902"/>
      <c r="R50" s="2023"/>
      <c r="S50" s="2023">
        <f>ROUND(IF(项目基本情况!$B$8="出让",SUMPRODUCT(PRODUCT(1+L50:L$52)),SUMPRODUCT(PRODUCT(1+L50:L$51))),4)</f>
        <v>1.0102</v>
      </c>
      <c r="T50" s="2023">
        <f>ROUND(IF(项目基本情况!$B$8="出让",SUMPRODUCT(PRODUCT(1+M50:M$52)),SUMPRODUCT(PRODUCT(1+M50:M$51))),4)</f>
        <v>1.0074000000000001</v>
      </c>
      <c r="U50" s="2023">
        <f>ROUND(IF(项目基本情况!$B$8="出让",SUMPRODUCT(PRODUCT(1+N50:N$52)),SUMPRODUCT(PRODUCT(1+N50:N$51))),4)</f>
        <v>1.0202</v>
      </c>
      <c r="V50" s="2023"/>
      <c r="W50" s="2023">
        <f t="shared" si="190"/>
        <v>1.0074000000000001</v>
      </c>
      <c r="X50" s="2902"/>
      <c r="Y50" s="2024"/>
      <c r="Z50" s="2898">
        <f t="shared" si="191"/>
        <v>4.5999999999999999E-3</v>
      </c>
      <c r="AA50" s="2899">
        <f t="shared" si="191"/>
        <v>4.1000000000000003E-3</v>
      </c>
      <c r="AB50" s="2024">
        <f t="shared" si="191"/>
        <v>0.01</v>
      </c>
      <c r="AC50" s="2900"/>
      <c r="AD50" s="2024">
        <f t="shared" si="191"/>
        <v>4.1000000000000003E-3</v>
      </c>
      <c r="AG50" s="3149">
        <f t="shared" si="129"/>
        <v>101.02</v>
      </c>
      <c r="AH50" s="3149">
        <f t="shared" si="130"/>
        <v>100.74000000000001</v>
      </c>
      <c r="AI50" s="3149">
        <f t="shared" si="131"/>
        <v>102.02</v>
      </c>
      <c r="AJ50" s="3151"/>
      <c r="AK50" s="3149">
        <f t="shared" si="132"/>
        <v>100.74000000000001</v>
      </c>
      <c r="AN50" s="3149">
        <f t="shared" si="148"/>
        <v>99.535220097592244</v>
      </c>
      <c r="AO50" s="3149">
        <f t="shared" si="159"/>
        <v>100.02495969614176</v>
      </c>
      <c r="AP50" s="3149">
        <f t="shared" si="160"/>
        <v>98.711631731507694</v>
      </c>
      <c r="AQ50" s="3149"/>
      <c r="AR50" s="3149">
        <f t="shared" si="161"/>
        <v>100.02495969614176</v>
      </c>
    </row>
    <row r="51" spans="1:44" s="2041" customFormat="1" ht="13.2">
      <c r="A51" s="2901" t="s">
        <v>2835</v>
      </c>
      <c r="B51" s="2027">
        <v>2021</v>
      </c>
      <c r="C51" s="2038">
        <v>2</v>
      </c>
      <c r="D51" s="2003"/>
      <c r="E51" s="2003">
        <v>0.55000000000000004</v>
      </c>
      <c r="F51" s="2003">
        <v>0.46</v>
      </c>
      <c r="G51" s="2003">
        <v>1.1000000000000001</v>
      </c>
      <c r="H51" s="2913"/>
      <c r="I51" s="2004">
        <f t="shared" si="174"/>
        <v>0.46</v>
      </c>
      <c r="J51" s="2902"/>
      <c r="K51" s="2039"/>
      <c r="L51" s="2024">
        <f t="shared" si="175"/>
        <v>5.5000000000000005E-3</v>
      </c>
      <c r="M51" s="2024">
        <f t="shared" si="175"/>
        <v>4.5999999999999999E-3</v>
      </c>
      <c r="N51" s="2024">
        <f t="shared" si="175"/>
        <v>1.1000000000000001E-2</v>
      </c>
      <c r="O51" s="2024"/>
      <c r="P51" s="2024">
        <f t="shared" si="189"/>
        <v>4.5999999999999999E-3</v>
      </c>
      <c r="Q51" s="2902"/>
      <c r="R51" s="2023"/>
      <c r="S51" s="2023">
        <f>ROUND(IF(项目基本情况!$B$8="出让",SUMPRODUCT(PRODUCT(1+L51:L$52)),SUMPRODUCT(PRODUCT(1+L51:L$51))),4)</f>
        <v>1.0055000000000001</v>
      </c>
      <c r="T51" s="2023">
        <f>ROUND(IF(项目基本情况!$B$8="出让",SUMPRODUCT(PRODUCT(1+M51:M$52)),SUMPRODUCT(PRODUCT(1+M51:M$51))),4)</f>
        <v>1.0045999999999999</v>
      </c>
      <c r="U51" s="2023">
        <f>ROUND(IF(项目基本情况!$B$8="出让",SUMPRODUCT(PRODUCT(1+N51:N$52)),SUMPRODUCT(PRODUCT(1+N51:N$51))),4)</f>
        <v>1.0109999999999999</v>
      </c>
      <c r="V51" s="2023"/>
      <c r="W51" s="2023">
        <f t="shared" si="190"/>
        <v>1.0045999999999999</v>
      </c>
      <c r="X51" s="2902"/>
      <c r="Y51" s="2024"/>
      <c r="Z51" s="2898">
        <f t="shared" si="191"/>
        <v>4.4999999999999997E-3</v>
      </c>
      <c r="AA51" s="2899">
        <f t="shared" si="191"/>
        <v>4.7000000000000002E-3</v>
      </c>
      <c r="AB51" s="2024">
        <f t="shared" si="191"/>
        <v>1.04E-2</v>
      </c>
      <c r="AC51" s="2900"/>
      <c r="AD51" s="2024">
        <f t="shared" si="191"/>
        <v>4.7000000000000002E-3</v>
      </c>
      <c r="AG51" s="3149">
        <f>$AG$52*S51</f>
        <v>100.55000000000001</v>
      </c>
      <c r="AH51" s="3149">
        <f t="shared" ref="AH51:AK51" si="192">$AG$52*T51</f>
        <v>100.46</v>
      </c>
      <c r="AI51" s="3149">
        <f t="shared" si="192"/>
        <v>101.1</v>
      </c>
      <c r="AJ51" s="3151"/>
      <c r="AK51" s="3149">
        <f t="shared" si="192"/>
        <v>100.46</v>
      </c>
      <c r="AN51" s="3149">
        <f t="shared" si="148"/>
        <v>99.069593010443171</v>
      </c>
      <c r="AO51" s="3149">
        <f t="shared" si="159"/>
        <v>99.745671815059609</v>
      </c>
      <c r="AP51" s="3149">
        <f t="shared" si="160"/>
        <v>97.821456477561867</v>
      </c>
      <c r="AQ51" s="3149"/>
      <c r="AR51" s="3149">
        <f t="shared" si="161"/>
        <v>99.745671815059609</v>
      </c>
    </row>
    <row r="52" spans="1:44" s="2924" customFormat="1" ht="15" thickBot="1">
      <c r="A52" s="2914" t="s">
        <v>2821</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98.527690711529758</v>
      </c>
      <c r="AO52" s="3156">
        <f t="shared" si="159"/>
        <v>99.288942678737428</v>
      </c>
      <c r="AP52" s="3156">
        <f t="shared" si="160"/>
        <v>96.757128068805017</v>
      </c>
      <c r="AQ52" s="3156"/>
      <c r="AR52" s="3156">
        <f t="shared" si="161"/>
        <v>99.288942678737428</v>
      </c>
    </row>
    <row r="53" spans="1:44" ht="15" thickTop="1"/>
    <row r="54" spans="1:44">
      <c r="A54" s="3139" t="s">
        <v>3376</v>
      </c>
    </row>
  </sheetData>
  <sheetProtection password="CEE9" sheet="1" objects="1" scenarios="1" formatCells="0" formatColumns="0" formatRows="0"/>
  <mergeCells count="4">
    <mergeCell ref="R29:W29"/>
    <mergeCell ref="Y29:AD29"/>
    <mergeCell ref="R1:W1"/>
    <mergeCell ref="Y1:AD1"/>
  </mergeCells>
  <phoneticPr fontId="6"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H123"/>
  <sheetViews>
    <sheetView zoomScale="80" zoomScaleNormal="80" workbookViewId="0">
      <selection activeCell="I8" sqref="I8:J8"/>
    </sheetView>
  </sheetViews>
  <sheetFormatPr defaultColWidth="9" defaultRowHeight="13.2"/>
  <cols>
    <col min="1" max="1" width="9" style="2023"/>
    <col min="2" max="6" width="9" style="2023" customWidth="1"/>
    <col min="7" max="7" width="9" style="2057"/>
    <col min="8" max="8" width="9" style="2023"/>
    <col min="9" max="12" width="9" style="2023" customWidth="1"/>
    <col min="13" max="13" width="2.21875" style="2023" customWidth="1"/>
    <col min="14" max="14" width="9" style="2057" customWidth="1"/>
    <col min="15" max="17" width="9" style="2023" customWidth="1"/>
    <col min="18" max="18" width="2.33203125" style="2023" customWidth="1"/>
    <col min="19" max="19" width="7.109375" style="2057" customWidth="1"/>
    <col min="20" max="22" width="7.109375" style="2023" customWidth="1"/>
    <col min="23" max="23" width="24.21875" style="2023" customWidth="1"/>
    <col min="24" max="25" width="9" style="2023"/>
    <col min="26" max="27" width="11.6640625" style="2023" customWidth="1"/>
    <col min="28" max="28" width="9" style="2023"/>
    <col min="29" max="29" width="2" style="2023" customWidth="1"/>
    <col min="30" max="16384" width="9" style="2023"/>
  </cols>
  <sheetData>
    <row r="1" spans="1:34" s="2005" customFormat="1">
      <c r="B1" s="3573" t="s">
        <v>452</v>
      </c>
      <c r="C1" s="3573"/>
      <c r="D1" s="3573"/>
      <c r="E1" s="3573"/>
      <c r="F1" s="3573"/>
      <c r="G1" s="3569" t="s">
        <v>453</v>
      </c>
      <c r="H1" s="3569"/>
      <c r="I1" s="3569"/>
      <c r="J1" s="3569"/>
      <c r="K1" s="3569"/>
      <c r="L1" s="3569"/>
      <c r="N1" s="3569" t="s">
        <v>454</v>
      </c>
      <c r="O1" s="3569"/>
      <c r="P1" s="3569"/>
      <c r="Q1" s="3569"/>
      <c r="S1" s="3569" t="s">
        <v>455</v>
      </c>
      <c r="T1" s="3569"/>
      <c r="U1" s="3569"/>
      <c r="V1" s="3569"/>
      <c r="X1" s="3568" t="s">
        <v>456</v>
      </c>
      <c r="Y1" s="3569"/>
      <c r="Z1" s="3569"/>
      <c r="AA1" s="3569"/>
      <c r="AB1" s="3569"/>
      <c r="AD1" s="3568" t="s">
        <v>457</v>
      </c>
      <c r="AE1" s="3569"/>
      <c r="AF1" s="3569"/>
      <c r="AG1" s="3569"/>
      <c r="AH1" s="3569"/>
    </row>
    <row r="2" spans="1:34" s="2006" customFormat="1" ht="1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4">
      <c r="A3" s="2010" t="s">
        <v>2111</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4">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3359</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3356</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2112</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3357</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3358</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2433</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2310</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2309</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2308</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2305</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2304</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2127</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2125</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2124</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8" thickBot="1">
      <c r="A18" s="2036" t="s">
        <v>2123</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2121</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8" thickBot="1">
      <c r="A20" s="2036" t="s">
        <v>2120</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2122</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71">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 customHeight="1">
      <c r="A22" s="2036" t="s">
        <v>2118</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71"/>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 customHeight="1">
      <c r="A23" s="2036" t="s">
        <v>2117</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71"/>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2110</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78"/>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2108</v>
      </c>
      <c r="B25" s="2045">
        <v>439</v>
      </c>
      <c r="C25" s="2045">
        <v>327</v>
      </c>
      <c r="D25" s="2045">
        <f>C25</f>
        <v>327</v>
      </c>
      <c r="E25" s="2045">
        <v>627</v>
      </c>
      <c r="F25" s="2046">
        <v>283</v>
      </c>
      <c r="G25" s="3574">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 customHeight="1">
      <c r="A26" s="2036" t="s">
        <v>2109</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71"/>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571"/>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78"/>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74">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71"/>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71"/>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8"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72"/>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8" thickBot="1">
      <c r="A33" s="2036" t="s">
        <v>124</v>
      </c>
      <c r="B33" s="2045">
        <v>333</v>
      </c>
      <c r="C33" s="2045">
        <v>277</v>
      </c>
      <c r="D33" s="2045">
        <f t="shared" si="246"/>
        <v>277</v>
      </c>
      <c r="E33" s="2045">
        <v>459</v>
      </c>
      <c r="F33" s="2046">
        <v>249</v>
      </c>
      <c r="G33" s="3570">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71"/>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71"/>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72"/>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8" thickBot="1">
      <c r="A37" s="2036" t="s">
        <v>120</v>
      </c>
      <c r="B37" s="2060">
        <v>318</v>
      </c>
      <c r="C37" s="2060">
        <v>268</v>
      </c>
      <c r="D37" s="2060">
        <f t="shared" si="246"/>
        <v>268</v>
      </c>
      <c r="E37" s="2060">
        <v>437</v>
      </c>
      <c r="F37" s="2061">
        <v>237</v>
      </c>
      <c r="G37" s="3570">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71"/>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8"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71"/>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8"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72"/>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8" thickBot="1">
      <c r="A41" s="2036" t="s">
        <v>465</v>
      </c>
      <c r="B41" s="2045">
        <v>299</v>
      </c>
      <c r="C41" s="2045">
        <v>252</v>
      </c>
      <c r="D41" s="2045">
        <f t="shared" si="246"/>
        <v>252</v>
      </c>
      <c r="E41" s="2045">
        <v>409</v>
      </c>
      <c r="F41" s="2046">
        <v>227</v>
      </c>
      <c r="G41" s="3575">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76"/>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76"/>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77"/>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8" thickBot="1">
      <c r="A45" s="2036" t="s">
        <v>469</v>
      </c>
      <c r="B45" s="2079">
        <v>278</v>
      </c>
      <c r="C45" s="2079">
        <v>234</v>
      </c>
      <c r="D45" s="2079">
        <f t="shared" si="246"/>
        <v>234</v>
      </c>
      <c r="E45" s="2079">
        <v>379</v>
      </c>
      <c r="F45" s="2080">
        <v>220</v>
      </c>
      <c r="G45" s="3570">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71"/>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71"/>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8" thickBot="1">
      <c r="A48" s="2036" t="s">
        <v>472</v>
      </c>
      <c r="B48" s="2037">
        <f>B47/(1+N47)</f>
        <v>275.19025476197027</v>
      </c>
      <c r="C48" s="2081">
        <v>232</v>
      </c>
      <c r="D48" s="2081">
        <f t="shared" si="246"/>
        <v>232</v>
      </c>
      <c r="E48" s="2037">
        <f t="shared" si="257"/>
        <v>375.65990977608692</v>
      </c>
      <c r="F48" s="2037">
        <f t="shared" si="257"/>
        <v>214.12518283971252</v>
      </c>
      <c r="G48" s="3572"/>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8" thickBot="1">
      <c r="A49" s="2036" t="s">
        <v>473</v>
      </c>
      <c r="B49" s="2045">
        <v>275</v>
      </c>
      <c r="C49" s="2045">
        <v>232</v>
      </c>
      <c r="D49" s="2045">
        <f t="shared" si="246"/>
        <v>232</v>
      </c>
      <c r="E49" s="2045">
        <v>376</v>
      </c>
      <c r="F49" s="2046">
        <v>213</v>
      </c>
      <c r="G49" s="3570">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71">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71">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8"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72">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8" thickBot="1">
      <c r="A53" s="2036" t="s">
        <v>477</v>
      </c>
      <c r="B53" s="2045">
        <v>269</v>
      </c>
      <c r="C53" s="2045">
        <v>221</v>
      </c>
      <c r="D53" s="2045">
        <f t="shared" si="246"/>
        <v>221</v>
      </c>
      <c r="E53" s="2045">
        <v>373</v>
      </c>
      <c r="F53" s="2046">
        <v>196</v>
      </c>
      <c r="G53" s="3570">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71">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71">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8"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72">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8" thickBot="1">
      <c r="A57" s="2036" t="s">
        <v>481</v>
      </c>
      <c r="B57" s="2045">
        <v>220</v>
      </c>
      <c r="C57" s="2045">
        <v>187</v>
      </c>
      <c r="D57" s="2045">
        <f t="shared" si="246"/>
        <v>187</v>
      </c>
      <c r="E57" s="2045">
        <v>301</v>
      </c>
      <c r="F57" s="2046">
        <v>168</v>
      </c>
      <c r="G57" s="3570">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71">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71">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72">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8" thickBot="1">
      <c r="A61" s="2036" t="s">
        <v>485</v>
      </c>
      <c r="B61" s="2079">
        <v>214</v>
      </c>
      <c r="C61" s="2079">
        <v>188</v>
      </c>
      <c r="D61" s="2079">
        <f t="shared" si="246"/>
        <v>188</v>
      </c>
      <c r="E61" s="2079">
        <v>289</v>
      </c>
      <c r="F61" s="2080">
        <v>166</v>
      </c>
      <c r="G61" s="3570">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71">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71">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8"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72">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8" thickBot="1">
      <c r="A65" s="2036" t="s">
        <v>489</v>
      </c>
      <c r="B65" s="2045">
        <v>188</v>
      </c>
      <c r="C65" s="2045">
        <v>165</v>
      </c>
      <c r="D65" s="2045">
        <f t="shared" si="246"/>
        <v>165</v>
      </c>
      <c r="E65" s="2045">
        <v>254</v>
      </c>
      <c r="F65" s="2046">
        <v>148</v>
      </c>
      <c r="G65" s="3570">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71">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71">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72">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8" thickBot="1">
      <c r="A69" s="2036" t="s">
        <v>493</v>
      </c>
      <c r="B69" s="2060">
        <v>159</v>
      </c>
      <c r="C69" s="2060">
        <v>141</v>
      </c>
      <c r="D69" s="2060">
        <f t="shared" si="246"/>
        <v>141</v>
      </c>
      <c r="E69" s="2060">
        <v>195</v>
      </c>
      <c r="F69" s="2061">
        <v>122</v>
      </c>
      <c r="G69" s="3570">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71">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71">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72">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8" thickBot="1">
      <c r="A73" s="2036" t="s">
        <v>497</v>
      </c>
      <c r="B73" s="2060">
        <v>138</v>
      </c>
      <c r="C73" s="2060">
        <v>131</v>
      </c>
      <c r="D73" s="2060">
        <f t="shared" si="246"/>
        <v>131</v>
      </c>
      <c r="E73" s="2060">
        <v>155</v>
      </c>
      <c r="F73" s="2061">
        <v>114</v>
      </c>
      <c r="G73" s="3570">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71">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71">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72">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8" thickBot="1">
      <c r="A77" s="2036" t="s">
        <v>501</v>
      </c>
      <c r="B77" s="2079">
        <v>121</v>
      </c>
      <c r="C77" s="2079">
        <v>122</v>
      </c>
      <c r="D77" s="2079">
        <f t="shared" si="246"/>
        <v>122</v>
      </c>
      <c r="E77" s="2079">
        <v>124</v>
      </c>
      <c r="F77" s="2080">
        <v>107</v>
      </c>
      <c r="G77" s="3570">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71">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71">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8"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72">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8" thickBot="1">
      <c r="A81" s="2036" t="s">
        <v>505</v>
      </c>
      <c r="B81" s="2099">
        <v>111</v>
      </c>
      <c r="C81" s="2099">
        <v>114</v>
      </c>
      <c r="D81" s="2099">
        <f t="shared" si="246"/>
        <v>114</v>
      </c>
      <c r="E81" s="2099">
        <v>108</v>
      </c>
      <c r="F81" s="2100">
        <v>104</v>
      </c>
      <c r="G81" s="3570">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71">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71">
        <v>2003</v>
      </c>
      <c r="H83" s="2047">
        <v>2</v>
      </c>
      <c r="I83" s="2101"/>
      <c r="J83" s="2101"/>
      <c r="K83" s="2101"/>
      <c r="L83" s="2101"/>
      <c r="X83" s="2093"/>
      <c r="Y83" s="2093"/>
      <c r="Z83" s="2093"/>
    </row>
    <row r="84" spans="1:26" ht="13.8" thickBot="1">
      <c r="A84" s="2036" t="s">
        <v>508</v>
      </c>
      <c r="B84" s="2103">
        <f t="shared" si="282"/>
        <v>107.25</v>
      </c>
      <c r="C84" s="2103">
        <f t="shared" si="282"/>
        <v>108.75</v>
      </c>
      <c r="D84" s="2103">
        <f t="shared" si="246"/>
        <v>108.75</v>
      </c>
      <c r="E84" s="2103">
        <f t="shared" si="283"/>
        <v>105.75</v>
      </c>
      <c r="F84" s="2103">
        <f t="shared" si="283"/>
        <v>102.5</v>
      </c>
      <c r="G84" s="3572">
        <v>2003</v>
      </c>
      <c r="H84" s="2104">
        <v>1</v>
      </c>
      <c r="I84" s="2101"/>
      <c r="J84" s="2101"/>
      <c r="K84" s="2101"/>
      <c r="L84" s="2101"/>
      <c r="S84" s="2039"/>
      <c r="T84" s="2024"/>
      <c r="U84" s="2024"/>
      <c r="X84" s="2093"/>
      <c r="Y84" s="2093"/>
      <c r="Z84" s="2093"/>
    </row>
    <row r="85" spans="1:26" ht="13.8" thickBot="1">
      <c r="A85" s="2036" t="s">
        <v>509</v>
      </c>
      <c r="B85" s="2105">
        <v>106</v>
      </c>
      <c r="C85" s="2105">
        <v>107</v>
      </c>
      <c r="D85" s="2105">
        <f t="shared" si="246"/>
        <v>107</v>
      </c>
      <c r="E85" s="2105">
        <v>105</v>
      </c>
      <c r="F85" s="2106">
        <v>102</v>
      </c>
      <c r="G85" s="3570">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71">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71">
        <v>2002</v>
      </c>
      <c r="H87" s="2047">
        <v>2</v>
      </c>
      <c r="I87" s="2101"/>
      <c r="J87" s="2101"/>
      <c r="K87" s="2101"/>
      <c r="L87" s="2101"/>
      <c r="X87" s="2093"/>
      <c r="Y87" s="2093"/>
      <c r="Z87" s="2093"/>
    </row>
    <row r="88" spans="1:26" s="2068" customFormat="1" ht="13.8" thickBot="1">
      <c r="A88" s="2064" t="s">
        <v>512</v>
      </c>
      <c r="B88" s="2071">
        <f t="shared" si="284"/>
        <v>103</v>
      </c>
      <c r="C88" s="2071">
        <f t="shared" si="284"/>
        <v>104</v>
      </c>
      <c r="D88" s="2071">
        <f t="shared" si="246"/>
        <v>104</v>
      </c>
      <c r="E88" s="2071">
        <f t="shared" si="285"/>
        <v>103.5</v>
      </c>
      <c r="F88" s="2071">
        <f t="shared" si="285"/>
        <v>100.5</v>
      </c>
      <c r="G88" s="3572">
        <v>2002</v>
      </c>
      <c r="H88" s="2107">
        <v>1</v>
      </c>
      <c r="I88" s="2108"/>
      <c r="J88" s="2108"/>
      <c r="K88" s="2108"/>
      <c r="L88" s="2108"/>
      <c r="N88" s="2109"/>
      <c r="S88" s="2109"/>
      <c r="X88" s="2110"/>
      <c r="Y88" s="2110"/>
      <c r="Z88" s="2110"/>
    </row>
    <row r="89" spans="1:26" ht="13.8"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8"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8"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7"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71" t="s">
        <v>949</v>
      </c>
      <c r="B1" s="3271"/>
      <c r="C1" s="3271"/>
      <c r="D1" s="3271"/>
    </row>
    <row r="2" spans="1:4" ht="17.399999999999999">
      <c r="A2" s="3272" t="s">
        <v>933</v>
      </c>
      <c r="B2" s="3272"/>
      <c r="C2" s="3272"/>
      <c r="D2" s="3272"/>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72" t="s">
        <v>939</v>
      </c>
      <c r="B6" s="3272"/>
      <c r="C6" s="3272"/>
      <c r="D6" s="3272"/>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73" t="s">
        <v>942</v>
      </c>
      <c r="B11" s="3265"/>
      <c r="C11" s="3265"/>
      <c r="D11" s="3265"/>
    </row>
    <row r="12" spans="1:4" ht="15.6">
      <c r="A12" s="32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0"/>
      <c r="C12" s="3270"/>
      <c r="D12" s="3270"/>
    </row>
    <row r="13" spans="1:4" ht="30" customHeight="1">
      <c r="A13" s="32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0"/>
      <c r="C13" s="3270"/>
      <c r="D13" s="3270"/>
    </row>
    <row r="14" spans="1:4" ht="15.75" customHeight="1">
      <c r="A14" s="3265" t="str">
        <f>IF(项目基本情况!B8="抵押","4.本次评估估价师所知悉的法定优先受偿款情况说明如下：","——")</f>
        <v>4.本次评估估价师所知悉的法定优先受偿款情况说明如下：</v>
      </c>
      <c r="B14" s="3270"/>
      <c r="C14" s="3270"/>
      <c r="D14" s="3270"/>
    </row>
    <row r="15" spans="1:4" ht="42" customHeight="1">
      <c r="A15" s="326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5"/>
      <c r="C15" s="3265"/>
      <c r="D15" s="3265"/>
    </row>
    <row r="16" spans="1:4" ht="30" customHeight="1">
      <c r="A16" s="3267" t="s">
        <v>943</v>
      </c>
      <c r="B16" s="3267"/>
      <c r="C16" s="3267"/>
      <c r="D16" s="3267"/>
    </row>
    <row r="17" spans="1:4" ht="144" customHeight="1">
      <c r="A17" s="3267" t="s">
        <v>944</v>
      </c>
      <c r="B17" s="3267"/>
      <c r="C17" s="3267"/>
      <c r="D17" s="3267"/>
    </row>
    <row r="18" spans="1:4" ht="15.75" customHeight="1">
      <c r="A18" s="3265" t="str">
        <f>IF(项目基本情况!B8="抵押",'结果表-住宅'!K120,"——")</f>
        <v>故，本次评估不存在估价师知悉的法定优先受偿款</v>
      </c>
      <c r="B18" s="3265"/>
      <c r="C18" s="3265"/>
      <c r="D18" s="3265"/>
    </row>
    <row r="19" spans="1:4" ht="46.5" customHeight="1">
      <c r="A19" s="32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5"/>
      <c r="C19" s="3265"/>
      <c r="D19" s="3265"/>
    </row>
    <row r="20" spans="1:4" ht="57.75" customHeight="1">
      <c r="A20" s="3265"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5"/>
      <c r="C20" s="3265"/>
      <c r="D20" s="3265"/>
    </row>
    <row r="21" spans="1:4" ht="57.75" customHeight="1">
      <c r="A21" s="3268"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8"/>
      <c r="C21" s="3268"/>
      <c r="D21" s="3268"/>
    </row>
    <row r="22" spans="1:4" ht="18.75" customHeight="1">
      <c r="A22" s="3269" t="s">
        <v>945</v>
      </c>
      <c r="B22" s="3269"/>
      <c r="C22" s="3269"/>
      <c r="D22" s="3269"/>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66">
        <v>42551</v>
      </c>
      <c r="D31" s="32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81" t="s">
        <v>2836</v>
      </c>
      <c r="B1" s="3581"/>
      <c r="C1" s="3581"/>
      <c r="D1" s="3581"/>
      <c r="E1" s="3581"/>
      <c r="F1" s="3581"/>
      <c r="G1" s="3582"/>
      <c r="I1" s="2934" t="s">
        <v>2837</v>
      </c>
      <c r="J1" s="2935" t="s">
        <v>2838</v>
      </c>
      <c r="K1" s="2935" t="s">
        <v>2839</v>
      </c>
      <c r="L1" s="2935" t="s">
        <v>2840</v>
      </c>
      <c r="M1" s="2935" t="s">
        <v>2841</v>
      </c>
      <c r="N1" s="2935" t="s">
        <v>2842</v>
      </c>
      <c r="O1" s="2935" t="s">
        <v>2843</v>
      </c>
      <c r="P1" s="2935" t="s">
        <v>2844</v>
      </c>
      <c r="Q1" s="2935" t="s">
        <v>2845</v>
      </c>
      <c r="R1" s="2935" t="s">
        <v>2846</v>
      </c>
      <c r="S1" s="2935" t="s">
        <v>2847</v>
      </c>
      <c r="T1" s="2936" t="s">
        <v>2848</v>
      </c>
    </row>
    <row r="2" spans="1:20" ht="11.4" thickBot="1">
      <c r="A2" s="2937" t="s">
        <v>2849</v>
      </c>
      <c r="B2" s="2937"/>
      <c r="C2" s="2937"/>
      <c r="D2" s="2937"/>
      <c r="E2" s="2937"/>
      <c r="F2" s="2937"/>
      <c r="G2" s="2938" t="s">
        <v>2850</v>
      </c>
      <c r="I2" s="2939" t="s">
        <v>2851</v>
      </c>
      <c r="J2" s="2939" t="s">
        <v>2852</v>
      </c>
      <c r="K2" s="2939" t="s">
        <v>2853</v>
      </c>
      <c r="L2" s="2939" t="s">
        <v>2854</v>
      </c>
      <c r="M2" s="2939" t="s">
        <v>2855</v>
      </c>
      <c r="N2" s="2939" t="s">
        <v>2856</v>
      </c>
      <c r="O2" s="2939" t="s">
        <v>2857</v>
      </c>
      <c r="P2" s="2939" t="s">
        <v>2858</v>
      </c>
      <c r="Q2" s="2939" t="s">
        <v>2859</v>
      </c>
      <c r="R2" s="2939" t="s">
        <v>2860</v>
      </c>
      <c r="S2" s="2939" t="s">
        <v>2861</v>
      </c>
      <c r="T2" s="2939" t="s">
        <v>2862</v>
      </c>
    </row>
    <row r="3" spans="1:20" s="2945" customFormat="1">
      <c r="A3" s="3579" t="s">
        <v>2863</v>
      </c>
      <c r="B3" s="2940"/>
      <c r="C3" s="2941" t="s">
        <v>2808</v>
      </c>
      <c r="D3" s="2941" t="s">
        <v>2864</v>
      </c>
      <c r="E3" s="2941" t="s">
        <v>2810</v>
      </c>
      <c r="F3" s="2941" t="s">
        <v>2865</v>
      </c>
      <c r="G3" s="2941" t="s">
        <v>2628</v>
      </c>
      <c r="H3" s="2942"/>
      <c r="I3" s="2943" t="s">
        <v>2866</v>
      </c>
      <c r="J3" s="2944" t="s">
        <v>128</v>
      </c>
      <c r="K3" s="2944" t="s">
        <v>129</v>
      </c>
      <c r="L3" s="2943" t="s">
        <v>130</v>
      </c>
      <c r="M3" s="2943" t="s">
        <v>131</v>
      </c>
      <c r="N3" s="2943" t="s">
        <v>132</v>
      </c>
      <c r="O3" s="2943" t="s">
        <v>133</v>
      </c>
      <c r="P3" s="2943" t="s">
        <v>134</v>
      </c>
      <c r="Q3" s="2943" t="s">
        <v>135</v>
      </c>
      <c r="R3" s="2943" t="s">
        <v>136</v>
      </c>
      <c r="S3" s="2943" t="s">
        <v>2867</v>
      </c>
      <c r="T3" s="2943" t="s">
        <v>2868</v>
      </c>
    </row>
    <row r="4" spans="1:20" s="2945" customFormat="1" ht="11.4" thickBot="1">
      <c r="A4" s="3580"/>
      <c r="B4" s="2946" t="s">
        <v>2869</v>
      </c>
      <c r="C4" s="2946" t="s">
        <v>2870</v>
      </c>
      <c r="D4" s="2946" t="s">
        <v>2870</v>
      </c>
      <c r="E4" s="2946" t="s">
        <v>2870</v>
      </c>
      <c r="F4" s="2947" t="s">
        <v>2870</v>
      </c>
      <c r="G4" s="2947" t="s">
        <v>2870</v>
      </c>
      <c r="H4" s="2942"/>
      <c r="I4" s="2944" t="s">
        <v>137</v>
      </c>
      <c r="J4" s="2944" t="s">
        <v>111</v>
      </c>
      <c r="K4" s="2944" t="s">
        <v>138</v>
      </c>
      <c r="L4" s="2943" t="s">
        <v>139</v>
      </c>
      <c r="M4" s="2943" t="s">
        <v>140</v>
      </c>
      <c r="N4" s="2943" t="s">
        <v>141</v>
      </c>
      <c r="O4" s="2943" t="s">
        <v>142</v>
      </c>
      <c r="P4" s="2943" t="s">
        <v>143</v>
      </c>
      <c r="Q4" s="2943" t="s">
        <v>2871</v>
      </c>
      <c r="R4" s="2943" t="s">
        <v>2872</v>
      </c>
      <c r="S4" s="2943" t="s">
        <v>2873</v>
      </c>
      <c r="T4" s="2943" t="s">
        <v>2874</v>
      </c>
    </row>
    <row r="5" spans="1:20">
      <c r="A5" s="2948" t="s">
        <v>2837</v>
      </c>
      <c r="B5" s="2939" t="s">
        <v>2851</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2875</v>
      </c>
      <c r="R5" s="2943" t="s">
        <v>2876</v>
      </c>
      <c r="S5" s="2943" t="s">
        <v>153</v>
      </c>
      <c r="T5" s="2943" t="s">
        <v>2877</v>
      </c>
    </row>
    <row r="6" spans="1:20" ht="11.4" thickBot="1">
      <c r="A6" s="2943" t="s">
        <v>144</v>
      </c>
      <c r="B6" s="2943" t="s">
        <v>2866</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2878</v>
      </c>
      <c r="Q6" s="2943" t="s">
        <v>2879</v>
      </c>
      <c r="R6" s="2943" t="s">
        <v>161</v>
      </c>
      <c r="S6" s="2943" t="s">
        <v>2880</v>
      </c>
      <c r="T6" s="2943" t="s">
        <v>2881</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2882</v>
      </c>
      <c r="Q7" s="2943" t="s">
        <v>2883</v>
      </c>
      <c r="R7" s="2943" t="s">
        <v>2884</v>
      </c>
      <c r="S7" s="2943" t="s">
        <v>2885</v>
      </c>
      <c r="T7" s="2943" t="s">
        <v>2886</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2887</v>
      </c>
      <c r="Q8" s="2943" t="s">
        <v>174</v>
      </c>
      <c r="R8" s="2943" t="s">
        <v>2888</v>
      </c>
      <c r="S8" s="2943" t="s">
        <v>2889</v>
      </c>
      <c r="T8" s="2950" t="s">
        <v>2890</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2891</v>
      </c>
      <c r="Q9" s="2943" t="s">
        <v>182</v>
      </c>
      <c r="R9" s="2943" t="s">
        <v>183</v>
      </c>
      <c r="S9" s="2943" t="s">
        <v>200</v>
      </c>
    </row>
    <row r="10" spans="1:20">
      <c r="A10" s="2948" t="s">
        <v>184</v>
      </c>
      <c r="B10" s="2939" t="s">
        <v>2852</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2892</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2893</v>
      </c>
      <c r="P11" s="2943" t="s">
        <v>191</v>
      </c>
      <c r="Q11" s="2943" t="s">
        <v>199</v>
      </c>
      <c r="R11" s="2943" t="s">
        <v>2894</v>
      </c>
      <c r="S11" s="2943" t="s">
        <v>2895</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2896</v>
      </c>
      <c r="P12" s="2943" t="s">
        <v>2897</v>
      </c>
      <c r="Q12" s="2943" t="s">
        <v>2898</v>
      </c>
      <c r="R12" s="2943" t="s">
        <v>2899</v>
      </c>
      <c r="S12" s="2943" t="s">
        <v>2900</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2901</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2902</v>
      </c>
      <c r="K14" s="2944" t="s">
        <v>215</v>
      </c>
      <c r="L14" s="2943" t="s">
        <v>216</v>
      </c>
      <c r="M14" s="2943" t="s">
        <v>217</v>
      </c>
      <c r="N14" s="2943" t="s">
        <v>218</v>
      </c>
      <c r="O14" s="2943" t="s">
        <v>240</v>
      </c>
      <c r="P14" s="2943" t="s">
        <v>213</v>
      </c>
      <c r="Q14" s="2943" t="s">
        <v>2903</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2904</v>
      </c>
      <c r="P15" s="2943" t="s">
        <v>2905</v>
      </c>
      <c r="Q15" s="2943" t="s">
        <v>242</v>
      </c>
      <c r="R15" s="2943" t="s">
        <v>2906</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2907</v>
      </c>
      <c r="P16" s="2943" t="s">
        <v>227</v>
      </c>
      <c r="Q16" s="2943" t="s">
        <v>250</v>
      </c>
      <c r="R16" s="2943" t="s">
        <v>207</v>
      </c>
      <c r="S16" s="2943" t="s">
        <v>2908</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2909</v>
      </c>
      <c r="P17" s="2943" t="s">
        <v>2910</v>
      </c>
      <c r="Q17" s="2943" t="s">
        <v>256</v>
      </c>
      <c r="R17" s="2943" t="s">
        <v>2911</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2912</v>
      </c>
      <c r="P18" s="2943" t="s">
        <v>241</v>
      </c>
      <c r="Q18" s="2943" t="s">
        <v>2913</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2914</v>
      </c>
      <c r="P19" s="2943" t="s">
        <v>249</v>
      </c>
      <c r="Q19" s="2943" t="s">
        <v>2915</v>
      </c>
      <c r="R19" s="2943" t="s">
        <v>265</v>
      </c>
      <c r="S19" s="2943" t="s">
        <v>2916</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2917</v>
      </c>
      <c r="P20" s="2943" t="s">
        <v>2918</v>
      </c>
      <c r="Q20" s="2943" t="s">
        <v>290</v>
      </c>
      <c r="R20" s="2943" t="s">
        <v>2919</v>
      </c>
      <c r="S20" s="2943" t="s">
        <v>277</v>
      </c>
    </row>
    <row r="21" spans="1:19" ht="14.25" customHeight="1" thickBot="1">
      <c r="A21" s="2943" t="s">
        <v>184</v>
      </c>
      <c r="B21" s="2944" t="s">
        <v>208</v>
      </c>
      <c r="C21" s="2943">
        <v>32370</v>
      </c>
      <c r="D21" s="2943">
        <v>26730</v>
      </c>
      <c r="E21" s="2943">
        <v>26640</v>
      </c>
      <c r="F21" s="2943"/>
      <c r="G21" s="2943">
        <v>19440</v>
      </c>
      <c r="J21" s="2950" t="s">
        <v>2920</v>
      </c>
      <c r="K21" s="2944" t="s">
        <v>267</v>
      </c>
      <c r="L21" s="2943" t="s">
        <v>268</v>
      </c>
      <c r="M21" s="2943" t="s">
        <v>269</v>
      </c>
      <c r="N21" s="2943" t="s">
        <v>270</v>
      </c>
      <c r="O21" s="2943" t="s">
        <v>264</v>
      </c>
      <c r="P21" s="2943" t="s">
        <v>283</v>
      </c>
      <c r="Q21" s="2943" t="s">
        <v>293</v>
      </c>
      <c r="R21" s="2943" t="s">
        <v>2921</v>
      </c>
      <c r="S21" s="2950" t="s">
        <v>2922</v>
      </c>
    </row>
    <row r="22" spans="1:19" ht="14.25" customHeight="1">
      <c r="A22" s="2943" t="s">
        <v>184</v>
      </c>
      <c r="B22" s="2944" t="s">
        <v>2902</v>
      </c>
      <c r="C22" s="2943">
        <v>29830</v>
      </c>
      <c r="D22" s="2943">
        <v>27600</v>
      </c>
      <c r="E22" s="2943">
        <v>28150</v>
      </c>
      <c r="F22" s="2943"/>
      <c r="G22" s="2943">
        <v>20080</v>
      </c>
      <c r="K22" s="2944" t="s">
        <v>2923</v>
      </c>
      <c r="L22" s="2943" t="s">
        <v>272</v>
      </c>
      <c r="M22" s="2943" t="s">
        <v>273</v>
      </c>
      <c r="N22" s="2943" t="s">
        <v>274</v>
      </c>
      <c r="O22" s="2943" t="s">
        <v>2924</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2925</v>
      </c>
      <c r="L23" s="2943" t="s">
        <v>278</v>
      </c>
      <c r="M23" s="2943" t="s">
        <v>279</v>
      </c>
      <c r="N23" s="2943" t="s">
        <v>2926</v>
      </c>
      <c r="O23" s="2943" t="s">
        <v>2927</v>
      </c>
      <c r="P23" s="2943" t="s">
        <v>289</v>
      </c>
      <c r="Q23" s="2943" t="s">
        <v>298</v>
      </c>
      <c r="R23" s="2943" t="s">
        <v>2928</v>
      </c>
    </row>
    <row r="24" spans="1:19" ht="14.25" customHeight="1">
      <c r="A24" s="2943" t="s">
        <v>184</v>
      </c>
      <c r="B24" s="2944" t="s">
        <v>230</v>
      </c>
      <c r="C24" s="2943">
        <v>27930</v>
      </c>
      <c r="D24" s="2943">
        <v>32260</v>
      </c>
      <c r="E24" s="2943">
        <v>32120</v>
      </c>
      <c r="F24" s="2943"/>
      <c r="G24" s="2943">
        <v>23470</v>
      </c>
      <c r="K24" s="2944" t="s">
        <v>2929</v>
      </c>
      <c r="L24" s="2943" t="s">
        <v>281</v>
      </c>
      <c r="M24" s="2943" t="s">
        <v>282</v>
      </c>
      <c r="N24" s="2943" t="s">
        <v>2930</v>
      </c>
      <c r="O24" s="2943" t="s">
        <v>285</v>
      </c>
      <c r="P24" s="2943" t="s">
        <v>2931</v>
      </c>
      <c r="Q24" s="2952" t="s">
        <v>2932</v>
      </c>
      <c r="R24" s="2943" t="s">
        <v>2933</v>
      </c>
    </row>
    <row r="25" spans="1:19" ht="14.25" customHeight="1">
      <c r="A25" s="2943" t="s">
        <v>184</v>
      </c>
      <c r="B25" s="2944" t="s">
        <v>235</v>
      </c>
      <c r="C25" s="2943">
        <v>32230</v>
      </c>
      <c r="D25" s="2943">
        <v>29640</v>
      </c>
      <c r="E25" s="2943">
        <v>29510</v>
      </c>
      <c r="F25" s="2943"/>
      <c r="G25" s="2943">
        <v>21560</v>
      </c>
      <c r="K25" s="2944" t="s">
        <v>2934</v>
      </c>
      <c r="L25" s="2943" t="s">
        <v>2935</v>
      </c>
      <c r="M25" s="2943" t="s">
        <v>284</v>
      </c>
      <c r="N25" s="2943" t="s">
        <v>292</v>
      </c>
      <c r="O25" s="2943" t="s">
        <v>288</v>
      </c>
      <c r="P25" s="2943" t="s">
        <v>275</v>
      </c>
      <c r="Q25" s="2952" t="s">
        <v>271</v>
      </c>
      <c r="R25" s="2943" t="s">
        <v>2936</v>
      </c>
    </row>
    <row r="26" spans="1:19" ht="14.25" customHeight="1" thickBot="1">
      <c r="A26" s="2943" t="s">
        <v>184</v>
      </c>
      <c r="B26" s="2944" t="s">
        <v>244</v>
      </c>
      <c r="C26" s="2943">
        <v>31690</v>
      </c>
      <c r="D26" s="2943">
        <v>27650</v>
      </c>
      <c r="E26" s="2943">
        <v>28200</v>
      </c>
      <c r="F26" s="2943"/>
      <c r="G26" s="2943">
        <v>20110</v>
      </c>
      <c r="K26" s="2949" t="s">
        <v>2937</v>
      </c>
      <c r="L26" s="2943" t="s">
        <v>2938</v>
      </c>
      <c r="M26" s="2943" t="s">
        <v>287</v>
      </c>
      <c r="N26" s="2943" t="s">
        <v>294</v>
      </c>
      <c r="O26" s="2943" t="s">
        <v>2939</v>
      </c>
      <c r="P26" s="2943" t="s">
        <v>2940</v>
      </c>
      <c r="Q26" s="2952" t="s">
        <v>276</v>
      </c>
      <c r="R26" s="2943" t="s">
        <v>2941</v>
      </c>
    </row>
    <row r="27" spans="1:19" ht="14.25" customHeight="1">
      <c r="A27" s="2943" t="s">
        <v>184</v>
      </c>
      <c r="B27" s="2944" t="s">
        <v>251</v>
      </c>
      <c r="C27" s="2943">
        <v>29610</v>
      </c>
      <c r="D27" s="2943">
        <v>27770</v>
      </c>
      <c r="E27" s="2943">
        <v>28300</v>
      </c>
      <c r="F27" s="2943"/>
      <c r="G27" s="2943">
        <v>20210</v>
      </c>
      <c r="L27" s="2943" t="s">
        <v>2942</v>
      </c>
      <c r="M27" s="2943" t="s">
        <v>291</v>
      </c>
      <c r="N27" s="2943" t="s">
        <v>297</v>
      </c>
      <c r="O27" s="2943" t="s">
        <v>2943</v>
      </c>
      <c r="P27" s="2943" t="s">
        <v>2944</v>
      </c>
      <c r="Q27" s="2943" t="s">
        <v>2945</v>
      </c>
      <c r="R27" s="2943" t="s">
        <v>2946</v>
      </c>
    </row>
    <row r="28" spans="1:19" ht="14.25" customHeight="1">
      <c r="A28" s="2943" t="s">
        <v>184</v>
      </c>
      <c r="B28" s="2944" t="s">
        <v>259</v>
      </c>
      <c r="C28" s="2943"/>
      <c r="D28" s="2943">
        <v>31520</v>
      </c>
      <c r="E28" s="2943">
        <v>31410</v>
      </c>
      <c r="F28" s="2943"/>
      <c r="G28" s="2943">
        <v>22940</v>
      </c>
      <c r="L28" s="2943" t="s">
        <v>2947</v>
      </c>
      <c r="M28" s="2943" t="s">
        <v>2948</v>
      </c>
      <c r="N28" s="2943" t="s">
        <v>2949</v>
      </c>
      <c r="O28" s="2943" t="s">
        <v>2950</v>
      </c>
      <c r="P28" s="2943" t="s">
        <v>2951</v>
      </c>
      <c r="Q28" s="2943" t="s">
        <v>2952</v>
      </c>
      <c r="R28" s="2943" t="s">
        <v>2953</v>
      </c>
    </row>
    <row r="29" spans="1:19" ht="14.25" customHeight="1" thickBot="1">
      <c r="A29" s="2951" t="s">
        <v>184</v>
      </c>
      <c r="B29" s="2953" t="s">
        <v>2920</v>
      </c>
      <c r="C29" s="2954"/>
      <c r="D29" s="2954">
        <v>29460</v>
      </c>
      <c r="E29" s="2954">
        <v>28640</v>
      </c>
      <c r="F29" s="2954"/>
      <c r="G29" s="2954">
        <v>21430</v>
      </c>
      <c r="L29" s="2943" t="s">
        <v>2954</v>
      </c>
      <c r="M29" s="2943" t="s">
        <v>2955</v>
      </c>
      <c r="N29" s="2943" t="s">
        <v>2956</v>
      </c>
      <c r="O29" s="2943" t="s">
        <v>2957</v>
      </c>
      <c r="P29" s="2943" t="s">
        <v>2958</v>
      </c>
      <c r="Q29" s="2943" t="s">
        <v>2959</v>
      </c>
      <c r="R29" s="2943" t="s">
        <v>280</v>
      </c>
    </row>
    <row r="30" spans="1:19" ht="14.25" customHeight="1">
      <c r="A30" s="2948" t="s">
        <v>296</v>
      </c>
      <c r="B30" s="2939" t="s">
        <v>2853</v>
      </c>
      <c r="C30" s="2939">
        <v>26890</v>
      </c>
      <c r="D30" s="2939">
        <v>26770</v>
      </c>
      <c r="E30" s="2939">
        <v>25700</v>
      </c>
      <c r="F30" s="2939">
        <v>8180</v>
      </c>
      <c r="G30" s="2955">
        <v>18740</v>
      </c>
      <c r="L30" s="2943" t="s">
        <v>2960</v>
      </c>
      <c r="M30" s="2943" t="s">
        <v>2961</v>
      </c>
      <c r="N30" s="2943" t="s">
        <v>2962</v>
      </c>
      <c r="O30" s="2943" t="s">
        <v>2963</v>
      </c>
      <c r="P30" s="2943" t="s">
        <v>2964</v>
      </c>
      <c r="Q30" s="2943" t="s">
        <v>2965</v>
      </c>
      <c r="R30" s="2943" t="s">
        <v>2966</v>
      </c>
    </row>
    <row r="31" spans="1:19" ht="14.25" customHeight="1">
      <c r="A31" s="2943" t="s">
        <v>296</v>
      </c>
      <c r="B31" s="2944" t="s">
        <v>129</v>
      </c>
      <c r="C31" s="2943">
        <v>24550</v>
      </c>
      <c r="D31" s="2943">
        <v>23990</v>
      </c>
      <c r="E31" s="2943">
        <v>22930</v>
      </c>
      <c r="F31" s="2943">
        <v>7470</v>
      </c>
      <c r="G31" s="2956">
        <v>16790</v>
      </c>
      <c r="L31" s="2943" t="s">
        <v>2967</v>
      </c>
      <c r="M31" s="2943" t="s">
        <v>2968</v>
      </c>
      <c r="N31" s="2943" t="s">
        <v>2969</v>
      </c>
      <c r="O31" s="2943" t="s">
        <v>2970</v>
      </c>
      <c r="P31" s="2943" t="s">
        <v>2971</v>
      </c>
      <c r="Q31" s="2943" t="s">
        <v>2972</v>
      </c>
      <c r="R31" s="2943" t="s">
        <v>2973</v>
      </c>
    </row>
    <row r="32" spans="1:19" ht="14.25" customHeight="1" thickBot="1">
      <c r="A32" s="2943" t="s">
        <v>296</v>
      </c>
      <c r="B32" s="2944" t="s">
        <v>138</v>
      </c>
      <c r="C32" s="2943">
        <v>27210</v>
      </c>
      <c r="D32" s="2943">
        <v>23240</v>
      </c>
      <c r="E32" s="2943">
        <v>23260</v>
      </c>
      <c r="F32" s="2943">
        <v>7130</v>
      </c>
      <c r="G32" s="2956">
        <v>16270</v>
      </c>
      <c r="L32" s="2943" t="s">
        <v>2974</v>
      </c>
      <c r="M32" s="2943" t="s">
        <v>2975</v>
      </c>
      <c r="N32" s="2943" t="s">
        <v>300</v>
      </c>
      <c r="O32" s="2943" t="s">
        <v>2976</v>
      </c>
      <c r="P32" s="2943" t="s">
        <v>299</v>
      </c>
      <c r="Q32" s="2943" t="s">
        <v>2977</v>
      </c>
      <c r="R32" s="2950" t="s">
        <v>2978</v>
      </c>
    </row>
    <row r="33" spans="1:17" ht="14.25" customHeight="1" thickBot="1">
      <c r="A33" s="2943" t="s">
        <v>296</v>
      </c>
      <c r="B33" s="2944" t="s">
        <v>147</v>
      </c>
      <c r="C33" s="2943">
        <v>27300</v>
      </c>
      <c r="D33" s="2943">
        <v>22980</v>
      </c>
      <c r="E33" s="2943">
        <v>24260</v>
      </c>
      <c r="F33" s="2943">
        <v>5860</v>
      </c>
      <c r="G33" s="2956">
        <v>16090</v>
      </c>
      <c r="L33" s="2950" t="s">
        <v>2979</v>
      </c>
      <c r="M33" s="2943" t="s">
        <v>2980</v>
      </c>
      <c r="N33" s="2943" t="s">
        <v>301</v>
      </c>
      <c r="O33" s="2943" t="s">
        <v>2981</v>
      </c>
      <c r="P33" s="2943" t="s">
        <v>2982</v>
      </c>
      <c r="Q33" s="2943" t="s">
        <v>2983</v>
      </c>
    </row>
    <row r="34" spans="1:17" ht="14.25" customHeight="1">
      <c r="A34" s="2943" t="s">
        <v>296</v>
      </c>
      <c r="B34" s="2944" t="s">
        <v>156</v>
      </c>
      <c r="C34" s="2943">
        <v>23090</v>
      </c>
      <c r="D34" s="2943">
        <v>23390</v>
      </c>
      <c r="E34" s="2943">
        <v>23510</v>
      </c>
      <c r="F34" s="2943">
        <v>6700</v>
      </c>
      <c r="G34" s="2956">
        <v>16370</v>
      </c>
      <c r="M34" s="2943" t="s">
        <v>2984</v>
      </c>
      <c r="N34" s="2943" t="s">
        <v>302</v>
      </c>
      <c r="O34" s="2943" t="s">
        <v>2985</v>
      </c>
      <c r="P34" s="2943" t="s">
        <v>2986</v>
      </c>
      <c r="Q34" s="2943" t="s">
        <v>2987</v>
      </c>
    </row>
    <row r="35" spans="1:17" ht="14.25" customHeight="1">
      <c r="A35" s="2943" t="s">
        <v>296</v>
      </c>
      <c r="B35" s="2944" t="s">
        <v>163</v>
      </c>
      <c r="C35" s="2943">
        <v>27270</v>
      </c>
      <c r="D35" s="2943">
        <v>24270</v>
      </c>
      <c r="E35" s="2943">
        <v>24950</v>
      </c>
      <c r="F35" s="2943">
        <v>6600</v>
      </c>
      <c r="G35" s="2956">
        <v>16990</v>
      </c>
      <c r="M35" s="2943" t="s">
        <v>2988</v>
      </c>
      <c r="N35" s="2943" t="s">
        <v>2989</v>
      </c>
      <c r="O35" s="2943" t="s">
        <v>2990</v>
      </c>
      <c r="P35" s="2943" t="s">
        <v>2991</v>
      </c>
      <c r="Q35" s="2943" t="s">
        <v>2992</v>
      </c>
    </row>
    <row r="36" spans="1:17" ht="14.25" customHeight="1">
      <c r="A36" s="2943" t="s">
        <v>296</v>
      </c>
      <c r="B36" s="2944" t="s">
        <v>169</v>
      </c>
      <c r="C36" s="2943">
        <v>23490</v>
      </c>
      <c r="D36" s="2943">
        <v>23020</v>
      </c>
      <c r="E36" s="2943">
        <v>25230</v>
      </c>
      <c r="F36" s="2943">
        <v>6780</v>
      </c>
      <c r="G36" s="2956">
        <v>16120</v>
      </c>
      <c r="M36" s="2943" t="s">
        <v>2993</v>
      </c>
      <c r="N36" s="2943" t="s">
        <v>2994</v>
      </c>
      <c r="O36" s="2943" t="s">
        <v>2995</v>
      </c>
      <c r="P36" s="2943" t="s">
        <v>2996</v>
      </c>
      <c r="Q36" s="2943" t="s">
        <v>2997</v>
      </c>
    </row>
    <row r="37" spans="1:17" ht="14.25" customHeight="1">
      <c r="A37" s="2943" t="s">
        <v>296</v>
      </c>
      <c r="B37" s="2944" t="s">
        <v>176</v>
      </c>
      <c r="C37" s="2943">
        <v>24380</v>
      </c>
      <c r="D37" s="2943">
        <v>22240</v>
      </c>
      <c r="E37" s="2943">
        <v>25980</v>
      </c>
      <c r="F37" s="2943">
        <v>8160</v>
      </c>
      <c r="G37" s="2956">
        <v>15570</v>
      </c>
      <c r="M37" s="2943" t="s">
        <v>2998</v>
      </c>
      <c r="N37" s="2943" t="s">
        <v>2999</v>
      </c>
      <c r="O37" s="2943" t="s">
        <v>3000</v>
      </c>
      <c r="P37" s="2943" t="s">
        <v>3001</v>
      </c>
      <c r="Q37" s="2943" t="s">
        <v>3002</v>
      </c>
    </row>
    <row r="38" spans="1:17" ht="14.25" customHeight="1">
      <c r="A38" s="2943" t="s">
        <v>296</v>
      </c>
      <c r="B38" s="2944" t="s">
        <v>186</v>
      </c>
      <c r="C38" s="2943">
        <v>23120</v>
      </c>
      <c r="D38" s="2943">
        <v>24630</v>
      </c>
      <c r="E38" s="2943">
        <v>25030</v>
      </c>
      <c r="F38" s="2943">
        <v>7710</v>
      </c>
      <c r="G38" s="2956">
        <v>17240</v>
      </c>
      <c r="M38" s="2943" t="s">
        <v>3003</v>
      </c>
      <c r="N38" s="2943" t="s">
        <v>3004</v>
      </c>
      <c r="O38" s="2943" t="s">
        <v>3005</v>
      </c>
      <c r="P38" s="2943" t="s">
        <v>3006</v>
      </c>
      <c r="Q38" s="2943" t="s">
        <v>3007</v>
      </c>
    </row>
    <row r="39" spans="1:17" ht="14.25" customHeight="1">
      <c r="A39" s="2943" t="s">
        <v>296</v>
      </c>
      <c r="B39" s="2944" t="s">
        <v>195</v>
      </c>
      <c r="C39" s="2943">
        <v>22330</v>
      </c>
      <c r="D39" s="2943">
        <v>21140</v>
      </c>
      <c r="E39" s="2943">
        <v>23970</v>
      </c>
      <c r="F39" s="2943">
        <v>7940</v>
      </c>
      <c r="G39" s="2956">
        <v>14790</v>
      </c>
      <c r="M39" s="2943" t="s">
        <v>3008</v>
      </c>
      <c r="N39" s="2943" t="s">
        <v>3009</v>
      </c>
      <c r="O39" s="2943" t="s">
        <v>3010</v>
      </c>
      <c r="P39" s="2943" t="s">
        <v>3011</v>
      </c>
      <c r="Q39" s="2943" t="s">
        <v>3012</v>
      </c>
    </row>
    <row r="40" spans="1:17" ht="14.25" customHeight="1">
      <c r="A40" s="2943" t="s">
        <v>296</v>
      </c>
      <c r="B40" s="2944" t="s">
        <v>202</v>
      </c>
      <c r="C40" s="2943">
        <v>24740</v>
      </c>
      <c r="D40" s="2943">
        <v>24690</v>
      </c>
      <c r="E40" s="2943">
        <v>22610</v>
      </c>
      <c r="F40" s="2943"/>
      <c r="G40" s="2956">
        <v>17280</v>
      </c>
      <c r="M40" s="2943" t="s">
        <v>3013</v>
      </c>
      <c r="N40" s="2943" t="s">
        <v>3014</v>
      </c>
      <c r="O40" s="2943" t="s">
        <v>3015</v>
      </c>
      <c r="P40" s="2943" t="s">
        <v>3016</v>
      </c>
      <c r="Q40" s="2943" t="s">
        <v>3017</v>
      </c>
    </row>
    <row r="41" spans="1:17" ht="14.25" customHeight="1" thickBot="1">
      <c r="A41" s="2943" t="s">
        <v>296</v>
      </c>
      <c r="B41" s="2944" t="s">
        <v>209</v>
      </c>
      <c r="C41" s="2943">
        <v>21220</v>
      </c>
      <c r="D41" s="2943">
        <v>21120</v>
      </c>
      <c r="E41" s="2943">
        <v>22590</v>
      </c>
      <c r="F41" s="2943"/>
      <c r="G41" s="2956">
        <v>14780</v>
      </c>
      <c r="M41" s="2950" t="s">
        <v>3018</v>
      </c>
      <c r="N41" s="2943" t="s">
        <v>3019</v>
      </c>
      <c r="O41" s="2943" t="s">
        <v>3020</v>
      </c>
      <c r="P41" s="2943" t="s">
        <v>3021</v>
      </c>
      <c r="Q41" s="2943" t="s">
        <v>3022</v>
      </c>
    </row>
    <row r="42" spans="1:17" ht="14.25" customHeight="1">
      <c r="A42" s="2943" t="s">
        <v>296</v>
      </c>
      <c r="B42" s="2944" t="s">
        <v>215</v>
      </c>
      <c r="C42" s="2943">
        <v>24800</v>
      </c>
      <c r="D42" s="2943">
        <v>22280</v>
      </c>
      <c r="E42" s="2943">
        <v>24350</v>
      </c>
      <c r="F42" s="2943"/>
      <c r="G42" s="2956">
        <v>15590</v>
      </c>
      <c r="N42" s="2943" t="s">
        <v>3023</v>
      </c>
      <c r="O42" s="2943" t="s">
        <v>3024</v>
      </c>
      <c r="P42" s="2943" t="s">
        <v>3025</v>
      </c>
      <c r="Q42" s="2943" t="s">
        <v>3026</v>
      </c>
    </row>
    <row r="43" spans="1:17" ht="14.25" customHeight="1">
      <c r="A43" s="2943" t="s">
        <v>3027</v>
      </c>
      <c r="B43" s="2944" t="s">
        <v>223</v>
      </c>
      <c r="C43" s="2943">
        <v>21210</v>
      </c>
      <c r="D43" s="2943">
        <v>21160</v>
      </c>
      <c r="E43" s="2943">
        <v>22650</v>
      </c>
      <c r="F43" s="2943"/>
      <c r="G43" s="2956">
        <v>14800</v>
      </c>
      <c r="N43" s="2943" t="s">
        <v>3028</v>
      </c>
      <c r="O43" s="2943" t="s">
        <v>3029</v>
      </c>
      <c r="P43" s="2943" t="s">
        <v>3030</v>
      </c>
      <c r="Q43" s="2943" t="s">
        <v>3031</v>
      </c>
    </row>
    <row r="44" spans="1:17" ht="14.25" customHeight="1" thickBot="1">
      <c r="A44" s="2943" t="s">
        <v>296</v>
      </c>
      <c r="B44" s="2944" t="s">
        <v>231</v>
      </c>
      <c r="C44" s="2943">
        <v>22370</v>
      </c>
      <c r="D44" s="2943">
        <v>23140</v>
      </c>
      <c r="E44" s="2943">
        <v>25090</v>
      </c>
      <c r="F44" s="2943"/>
      <c r="G44" s="2956">
        <v>16190</v>
      </c>
      <c r="N44" s="2943" t="s">
        <v>3032</v>
      </c>
      <c r="O44" s="2943" t="s">
        <v>3033</v>
      </c>
      <c r="P44" s="2950" t="s">
        <v>3034</v>
      </c>
      <c r="Q44" s="2943" t="s">
        <v>3035</v>
      </c>
    </row>
    <row r="45" spans="1:17" ht="14.25" customHeight="1" thickBot="1">
      <c r="A45" s="2943" t="s">
        <v>296</v>
      </c>
      <c r="B45" s="2944" t="s">
        <v>236</v>
      </c>
      <c r="C45" s="2943">
        <v>21240</v>
      </c>
      <c r="D45" s="2943">
        <v>27050</v>
      </c>
      <c r="E45" s="2943">
        <v>28000</v>
      </c>
      <c r="F45" s="2943"/>
      <c r="G45" s="2956">
        <v>18940</v>
      </c>
      <c r="N45" s="2943" t="s">
        <v>3036</v>
      </c>
      <c r="O45" s="2950" t="s">
        <v>3037</v>
      </c>
      <c r="Q45" s="2943" t="s">
        <v>3038</v>
      </c>
    </row>
    <row r="46" spans="1:17" ht="14.25" customHeight="1">
      <c r="A46" s="2943" t="s">
        <v>296</v>
      </c>
      <c r="B46" s="2944" t="s">
        <v>245</v>
      </c>
      <c r="C46" s="2943">
        <v>23240</v>
      </c>
      <c r="D46" s="2943">
        <v>23000</v>
      </c>
      <c r="E46" s="2943">
        <v>24980</v>
      </c>
      <c r="F46" s="2943"/>
      <c r="G46" s="2956">
        <v>16100</v>
      </c>
      <c r="N46" s="2943" t="s">
        <v>3039</v>
      </c>
      <c r="Q46" s="2943" t="s">
        <v>3040</v>
      </c>
    </row>
    <row r="47" spans="1:17" ht="14.25" customHeight="1">
      <c r="A47" s="2943" t="s">
        <v>296</v>
      </c>
      <c r="B47" s="2944" t="s">
        <v>252</v>
      </c>
      <c r="C47" s="2943">
        <v>27150</v>
      </c>
      <c r="D47" s="2943">
        <v>23310</v>
      </c>
      <c r="E47" s="2943">
        <v>25150</v>
      </c>
      <c r="F47" s="2943"/>
      <c r="G47" s="2956">
        <v>16310</v>
      </c>
      <c r="N47" s="2943" t="s">
        <v>3041</v>
      </c>
      <c r="Q47" s="2943" t="s">
        <v>3042</v>
      </c>
    </row>
    <row r="48" spans="1:17" ht="14.25" customHeight="1">
      <c r="A48" s="2943" t="s">
        <v>296</v>
      </c>
      <c r="B48" s="2944" t="s">
        <v>260</v>
      </c>
      <c r="C48" s="2943">
        <v>23100</v>
      </c>
      <c r="D48" s="2943">
        <v>21110</v>
      </c>
      <c r="E48" s="2943">
        <v>23080</v>
      </c>
      <c r="F48" s="2943"/>
      <c r="G48" s="2956">
        <v>14780</v>
      </c>
      <c r="N48" s="2943" t="s">
        <v>3043</v>
      </c>
      <c r="Q48" s="2943" t="s">
        <v>3044</v>
      </c>
    </row>
    <row r="49" spans="1:17" ht="14.25" customHeight="1">
      <c r="A49" s="2943" t="s">
        <v>296</v>
      </c>
      <c r="B49" s="2944" t="s">
        <v>267</v>
      </c>
      <c r="C49" s="2943">
        <v>23400</v>
      </c>
      <c r="D49" s="2943">
        <v>22920</v>
      </c>
      <c r="E49" s="2943">
        <v>24900</v>
      </c>
      <c r="F49" s="2943"/>
      <c r="G49" s="2956">
        <v>16040</v>
      </c>
      <c r="N49" s="2943" t="s">
        <v>3045</v>
      </c>
      <c r="Q49" s="2943" t="s">
        <v>3046</v>
      </c>
    </row>
    <row r="50" spans="1:17" ht="14.25" customHeight="1">
      <c r="A50" s="2943" t="s">
        <v>296</v>
      </c>
      <c r="B50" s="2944" t="s">
        <v>2923</v>
      </c>
      <c r="C50" s="2943">
        <v>21200</v>
      </c>
      <c r="D50" s="2943">
        <v>26540</v>
      </c>
      <c r="E50" s="2943">
        <v>23200</v>
      </c>
      <c r="F50" s="2943"/>
      <c r="G50" s="2956">
        <v>18580</v>
      </c>
      <c r="N50" s="2943" t="s">
        <v>3047</v>
      </c>
      <c r="Q50" s="2944" t="s">
        <v>3048</v>
      </c>
    </row>
    <row r="51" spans="1:17" ht="14.25" customHeight="1" thickBot="1">
      <c r="A51" s="2943" t="s">
        <v>296</v>
      </c>
      <c r="B51" s="2944" t="s">
        <v>2925</v>
      </c>
      <c r="C51" s="2943">
        <v>23000</v>
      </c>
      <c r="D51" s="2943">
        <v>23460</v>
      </c>
      <c r="E51" s="2943">
        <v>25290</v>
      </c>
      <c r="F51" s="2943"/>
      <c r="G51" s="2956">
        <v>16420</v>
      </c>
      <c r="N51" s="2943" t="s">
        <v>3049</v>
      </c>
      <c r="Q51" s="2950" t="s">
        <v>3050</v>
      </c>
    </row>
    <row r="52" spans="1:17" ht="14.25" customHeight="1">
      <c r="A52" s="2943" t="s">
        <v>296</v>
      </c>
      <c r="B52" s="2944" t="s">
        <v>2929</v>
      </c>
      <c r="C52" s="2943">
        <v>26660</v>
      </c>
      <c r="D52" s="2943">
        <v>22350</v>
      </c>
      <c r="E52" s="2943">
        <v>22920</v>
      </c>
      <c r="F52" s="2943"/>
      <c r="G52" s="2956">
        <v>15640</v>
      </c>
      <c r="N52" s="2943" t="s">
        <v>3051</v>
      </c>
    </row>
    <row r="53" spans="1:17" ht="14.25" customHeight="1">
      <c r="A53" s="2943" t="s">
        <v>296</v>
      </c>
      <c r="B53" s="2944" t="s">
        <v>2934</v>
      </c>
      <c r="C53" s="2943">
        <v>23580</v>
      </c>
      <c r="D53" s="2943"/>
      <c r="E53" s="2943">
        <v>24280</v>
      </c>
      <c r="F53" s="2943"/>
      <c r="G53" s="2956"/>
      <c r="N53" s="2943" t="s">
        <v>3052</v>
      </c>
    </row>
    <row r="54" spans="1:17" ht="14.25" customHeight="1" thickBot="1">
      <c r="A54" s="2957" t="s">
        <v>296</v>
      </c>
      <c r="B54" s="2949" t="s">
        <v>2937</v>
      </c>
      <c r="C54" s="2950">
        <v>22460</v>
      </c>
      <c r="D54" s="2950"/>
      <c r="E54" s="2950"/>
      <c r="F54" s="2950"/>
      <c r="G54" s="2958"/>
      <c r="N54" s="2943" t="s">
        <v>3053</v>
      </c>
    </row>
    <row r="55" spans="1:17" ht="14.25" customHeight="1">
      <c r="A55" s="2948" t="s">
        <v>110</v>
      </c>
      <c r="B55" s="2939" t="s">
        <v>3054</v>
      </c>
      <c r="C55" s="2943">
        <v>21970</v>
      </c>
      <c r="D55" s="2943">
        <v>20370</v>
      </c>
      <c r="E55" s="2943">
        <v>20180</v>
      </c>
      <c r="F55" s="2943">
        <v>5730</v>
      </c>
      <c r="G55" s="2943">
        <v>13820</v>
      </c>
      <c r="N55" s="2943" t="s">
        <v>3055</v>
      </c>
    </row>
    <row r="56" spans="1:17" ht="14.25" customHeight="1">
      <c r="A56" s="2943" t="s">
        <v>110</v>
      </c>
      <c r="B56" s="2943" t="s">
        <v>130</v>
      </c>
      <c r="C56" s="2943">
        <v>20470</v>
      </c>
      <c r="D56" s="2943">
        <v>20700</v>
      </c>
      <c r="E56" s="2943">
        <v>20380</v>
      </c>
      <c r="F56" s="2943">
        <v>4760</v>
      </c>
      <c r="G56" s="2943">
        <v>14050</v>
      </c>
      <c r="N56" s="2943" t="s">
        <v>3056</v>
      </c>
    </row>
    <row r="57" spans="1:17" ht="14.25" customHeight="1">
      <c r="A57" s="2943" t="s">
        <v>110</v>
      </c>
      <c r="B57" s="2943" t="s">
        <v>139</v>
      </c>
      <c r="C57" s="2943">
        <v>20790</v>
      </c>
      <c r="D57" s="2943">
        <v>21370</v>
      </c>
      <c r="E57" s="2943">
        <v>20890</v>
      </c>
      <c r="F57" s="2943">
        <v>4910</v>
      </c>
      <c r="G57" s="2943">
        <v>14510</v>
      </c>
      <c r="N57" s="2943" t="s">
        <v>3057</v>
      </c>
    </row>
    <row r="58" spans="1:17" ht="14.25" customHeight="1">
      <c r="A58" s="2943" t="s">
        <v>110</v>
      </c>
      <c r="B58" s="2943" t="s">
        <v>148</v>
      </c>
      <c r="C58" s="2943">
        <v>21460</v>
      </c>
      <c r="D58" s="2943">
        <v>20920</v>
      </c>
      <c r="E58" s="2943">
        <v>23410</v>
      </c>
      <c r="F58" s="2943">
        <v>5100</v>
      </c>
      <c r="G58" s="2943">
        <v>14200</v>
      </c>
      <c r="N58" s="2943" t="s">
        <v>3058</v>
      </c>
    </row>
    <row r="59" spans="1:17" ht="14.25" customHeight="1">
      <c r="A59" s="2943" t="s">
        <v>110</v>
      </c>
      <c r="B59" s="2943" t="s">
        <v>157</v>
      </c>
      <c r="C59" s="2943">
        <v>21000</v>
      </c>
      <c r="D59" s="2943">
        <v>21550</v>
      </c>
      <c r="E59" s="2943">
        <v>21150</v>
      </c>
      <c r="F59" s="2943">
        <v>5250</v>
      </c>
      <c r="G59" s="2943">
        <v>14630</v>
      </c>
      <c r="N59" s="2943" t="s">
        <v>3059</v>
      </c>
    </row>
    <row r="60" spans="1:17" ht="14.25" customHeight="1">
      <c r="A60" s="2943" t="s">
        <v>110</v>
      </c>
      <c r="B60" s="2943" t="s">
        <v>164</v>
      </c>
      <c r="C60" s="2943">
        <v>21640</v>
      </c>
      <c r="D60" s="2943">
        <v>21260</v>
      </c>
      <c r="E60" s="2943">
        <v>24040</v>
      </c>
      <c r="F60" s="2943">
        <v>4470</v>
      </c>
      <c r="G60" s="2943">
        <v>14430</v>
      </c>
      <c r="N60" s="2943" t="s">
        <v>3060</v>
      </c>
    </row>
    <row r="61" spans="1:17" ht="14.25" customHeight="1">
      <c r="A61" s="2943" t="s">
        <v>110</v>
      </c>
      <c r="B61" s="2943" t="s">
        <v>170</v>
      </c>
      <c r="C61" s="2943">
        <v>21330</v>
      </c>
      <c r="D61" s="2943">
        <v>18640</v>
      </c>
      <c r="E61" s="2943">
        <v>21190</v>
      </c>
      <c r="F61" s="2943">
        <v>4180</v>
      </c>
      <c r="G61" s="2943">
        <v>12650</v>
      </c>
      <c r="N61" s="2943" t="s">
        <v>3061</v>
      </c>
    </row>
    <row r="62" spans="1:17" ht="14.25" customHeight="1">
      <c r="A62" s="2943" t="s">
        <v>110</v>
      </c>
      <c r="B62" s="2943" t="s">
        <v>177</v>
      </c>
      <c r="C62" s="2943">
        <v>18710</v>
      </c>
      <c r="D62" s="2943">
        <v>19400</v>
      </c>
      <c r="E62" s="2943">
        <v>23750</v>
      </c>
      <c r="F62" s="2943">
        <v>4860</v>
      </c>
      <c r="G62" s="2943">
        <v>13170</v>
      </c>
      <c r="N62" s="2943" t="s">
        <v>3062</v>
      </c>
    </row>
    <row r="63" spans="1:17" ht="14.25" customHeight="1">
      <c r="A63" s="2943" t="s">
        <v>110</v>
      </c>
      <c r="B63" s="2943" t="s">
        <v>187</v>
      </c>
      <c r="C63" s="2943">
        <v>19480</v>
      </c>
      <c r="D63" s="2943">
        <v>16830</v>
      </c>
      <c r="E63" s="2943">
        <v>21590</v>
      </c>
      <c r="F63" s="2943">
        <v>4560</v>
      </c>
      <c r="G63" s="2943">
        <v>11420</v>
      </c>
      <c r="N63" s="2943" t="s">
        <v>3063</v>
      </c>
    </row>
    <row r="64" spans="1:17" ht="14.25" customHeight="1" thickBot="1">
      <c r="A64" s="2943" t="s">
        <v>110</v>
      </c>
      <c r="B64" s="2943" t="s">
        <v>196</v>
      </c>
      <c r="C64" s="2943">
        <v>16920</v>
      </c>
      <c r="D64" s="2943">
        <v>19190</v>
      </c>
      <c r="E64" s="2943">
        <v>22200</v>
      </c>
      <c r="F64" s="2943">
        <v>4390</v>
      </c>
      <c r="G64" s="2943">
        <v>13030</v>
      </c>
      <c r="N64" s="2950" t="s">
        <v>3064</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2935</v>
      </c>
      <c r="C78" s="2943">
        <v>19820</v>
      </c>
      <c r="D78" s="2943">
        <v>19780</v>
      </c>
      <c r="E78" s="2943">
        <v>18560</v>
      </c>
      <c r="F78" s="2943"/>
      <c r="G78" s="2943">
        <v>13430</v>
      </c>
    </row>
    <row r="79" spans="1:7" s="2777" customFormat="1" ht="14.25" customHeight="1">
      <c r="A79" s="2943" t="s">
        <v>110</v>
      </c>
      <c r="B79" s="2943" t="s">
        <v>2938</v>
      </c>
      <c r="C79" s="2943">
        <v>21660</v>
      </c>
      <c r="D79" s="2943">
        <v>18000</v>
      </c>
      <c r="E79" s="2943">
        <v>22570</v>
      </c>
      <c r="F79" s="2943"/>
      <c r="G79" s="2943">
        <v>12220</v>
      </c>
    </row>
    <row r="80" spans="1:7" s="2777" customFormat="1" ht="14.25" customHeight="1">
      <c r="A80" s="2943" t="s">
        <v>110</v>
      </c>
      <c r="B80" s="2943" t="s">
        <v>2942</v>
      </c>
      <c r="C80" s="2943">
        <v>19850</v>
      </c>
      <c r="D80" s="2943"/>
      <c r="E80" s="2943">
        <v>21700</v>
      </c>
      <c r="F80" s="2943"/>
      <c r="G80" s="2943"/>
    </row>
    <row r="81" spans="1:7" s="2777" customFormat="1" ht="14.25" customHeight="1">
      <c r="A81" s="2943" t="s">
        <v>110</v>
      </c>
      <c r="B81" s="2943" t="s">
        <v>2947</v>
      </c>
      <c r="C81" s="2943">
        <v>18080</v>
      </c>
      <c r="D81" s="2943"/>
      <c r="E81" s="2943">
        <v>20900</v>
      </c>
      <c r="F81" s="2943"/>
      <c r="G81" s="2943"/>
    </row>
    <row r="82" spans="1:7" s="2777" customFormat="1" ht="14.25" customHeight="1">
      <c r="A82" s="2943" t="s">
        <v>110</v>
      </c>
      <c r="B82" s="2943" t="s">
        <v>2954</v>
      </c>
      <c r="C82" s="2943"/>
      <c r="D82" s="2943"/>
      <c r="E82" s="2943">
        <v>20840</v>
      </c>
      <c r="F82" s="2943"/>
      <c r="G82" s="2943"/>
    </row>
    <row r="83" spans="1:7" s="2777" customFormat="1" ht="14.25" customHeight="1">
      <c r="A83" s="2943" t="s">
        <v>110</v>
      </c>
      <c r="B83" s="2943" t="s">
        <v>3065</v>
      </c>
      <c r="C83" s="2943"/>
      <c r="D83" s="2943"/>
      <c r="E83" s="2943"/>
      <c r="F83" s="2943">
        <v>4770</v>
      </c>
      <c r="G83" s="2943"/>
    </row>
    <row r="84" spans="1:7" s="2777" customFormat="1" ht="14.25" customHeight="1">
      <c r="A84" s="2943" t="s">
        <v>110</v>
      </c>
      <c r="B84" s="2943" t="s">
        <v>3066</v>
      </c>
      <c r="C84" s="2943"/>
      <c r="D84" s="2943"/>
      <c r="E84" s="2943"/>
      <c r="F84" s="2943">
        <v>4600</v>
      </c>
      <c r="G84" s="2943"/>
    </row>
    <row r="85" spans="1:7" s="2777" customFormat="1" ht="14.25" customHeight="1">
      <c r="A85" s="2943" t="s">
        <v>110</v>
      </c>
      <c r="B85" s="2943" t="s">
        <v>3067</v>
      </c>
      <c r="C85" s="2943"/>
      <c r="D85" s="2943"/>
      <c r="E85" s="2943"/>
      <c r="F85" s="2943">
        <v>4680</v>
      </c>
      <c r="G85" s="2943"/>
    </row>
    <row r="86" spans="1:7" s="2777" customFormat="1" ht="14.25" customHeight="1" thickBot="1">
      <c r="A86" s="2951" t="s">
        <v>110</v>
      </c>
      <c r="B86" s="2953" t="s">
        <v>3068</v>
      </c>
      <c r="C86" s="2954">
        <v>16610</v>
      </c>
      <c r="D86" s="2954">
        <v>16540</v>
      </c>
      <c r="E86" s="2954">
        <v>18850</v>
      </c>
      <c r="F86" s="2954"/>
      <c r="G86" s="2954">
        <v>11220</v>
      </c>
    </row>
    <row r="87" spans="1:7" s="2777" customFormat="1" ht="14.25" customHeight="1">
      <c r="A87" s="2948" t="s">
        <v>303</v>
      </c>
      <c r="B87" s="2939" t="s">
        <v>3069</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2948</v>
      </c>
      <c r="C113" s="2943">
        <v>15520</v>
      </c>
      <c r="D113" s="2943">
        <v>15450</v>
      </c>
      <c r="E113" s="2943"/>
      <c r="F113" s="2943"/>
      <c r="G113" s="2956">
        <v>10210</v>
      </c>
    </row>
    <row r="114" spans="1:7" s="2777" customFormat="1" ht="14.25" customHeight="1">
      <c r="A114" s="2943" t="s">
        <v>303</v>
      </c>
      <c r="B114" s="2943" t="s">
        <v>2955</v>
      </c>
      <c r="C114" s="2943">
        <v>13110</v>
      </c>
      <c r="D114" s="2943">
        <v>13050</v>
      </c>
      <c r="E114" s="2943"/>
      <c r="F114" s="2943"/>
      <c r="G114" s="2956">
        <v>8620</v>
      </c>
    </row>
    <row r="115" spans="1:7" s="2777" customFormat="1" ht="14.25" customHeight="1">
      <c r="A115" s="2943" t="s">
        <v>303</v>
      </c>
      <c r="B115" s="2943" t="s">
        <v>2961</v>
      </c>
      <c r="C115" s="2943">
        <v>12460</v>
      </c>
      <c r="D115" s="2943">
        <v>12390</v>
      </c>
      <c r="E115" s="2943"/>
      <c r="F115" s="2943"/>
      <c r="G115" s="2956">
        <v>8190</v>
      </c>
    </row>
    <row r="116" spans="1:7" s="2777" customFormat="1" ht="14.25" customHeight="1">
      <c r="A116" s="2943" t="s">
        <v>303</v>
      </c>
      <c r="B116" s="2943" t="s">
        <v>2968</v>
      </c>
      <c r="C116" s="2943">
        <v>13580</v>
      </c>
      <c r="D116" s="2943">
        <v>13520</v>
      </c>
      <c r="E116" s="2943"/>
      <c r="F116" s="2943"/>
      <c r="G116" s="2956">
        <v>8930</v>
      </c>
    </row>
    <row r="117" spans="1:7" s="2777" customFormat="1" ht="14.25" customHeight="1">
      <c r="A117" s="2943" t="s">
        <v>303</v>
      </c>
      <c r="B117" s="2943" t="s">
        <v>2975</v>
      </c>
      <c r="C117" s="2943">
        <v>17120</v>
      </c>
      <c r="D117" s="2943">
        <v>17040</v>
      </c>
      <c r="E117" s="2943"/>
      <c r="F117" s="2943"/>
      <c r="G117" s="2956">
        <v>11260</v>
      </c>
    </row>
    <row r="118" spans="1:7" s="2777" customFormat="1" ht="14.25" customHeight="1">
      <c r="A118" s="2943" t="s">
        <v>303</v>
      </c>
      <c r="B118" s="2943" t="s">
        <v>2980</v>
      </c>
      <c r="C118" s="2943">
        <v>14860</v>
      </c>
      <c r="D118" s="2943">
        <v>14790</v>
      </c>
      <c r="E118" s="2943"/>
      <c r="F118" s="2943"/>
      <c r="G118" s="2956">
        <v>9780</v>
      </c>
    </row>
    <row r="119" spans="1:7" s="2777" customFormat="1" ht="14.25" customHeight="1">
      <c r="A119" s="2943" t="s">
        <v>303</v>
      </c>
      <c r="B119" s="2943" t="s">
        <v>2984</v>
      </c>
      <c r="C119" s="2943">
        <v>16470</v>
      </c>
      <c r="D119" s="2943">
        <v>16400</v>
      </c>
      <c r="E119" s="2943"/>
      <c r="F119" s="2943"/>
      <c r="G119" s="2956">
        <v>10840</v>
      </c>
    </row>
    <row r="120" spans="1:7" s="2777" customFormat="1" ht="14.25" customHeight="1">
      <c r="A120" s="2943" t="s">
        <v>303</v>
      </c>
      <c r="B120" s="2943" t="s">
        <v>3070</v>
      </c>
      <c r="C120" s="2943"/>
      <c r="D120" s="2943"/>
      <c r="E120" s="2943"/>
      <c r="F120" s="2943">
        <v>4160</v>
      </c>
      <c r="G120" s="2956"/>
    </row>
    <row r="121" spans="1:7" s="2777" customFormat="1" ht="14.25" customHeight="1">
      <c r="A121" s="2943" t="s">
        <v>303</v>
      </c>
      <c r="B121" s="2943" t="s">
        <v>3071</v>
      </c>
      <c r="C121" s="2943"/>
      <c r="D121" s="2943"/>
      <c r="E121" s="2943"/>
      <c r="F121" s="2943">
        <v>3880</v>
      </c>
      <c r="G121" s="2956"/>
    </row>
    <row r="122" spans="1:7" s="2777" customFormat="1" ht="14.25" customHeight="1">
      <c r="A122" s="2943" t="s">
        <v>303</v>
      </c>
      <c r="B122" s="2943" t="s">
        <v>3072</v>
      </c>
      <c r="C122" s="2943">
        <v>13750</v>
      </c>
      <c r="D122" s="2943">
        <v>13680</v>
      </c>
      <c r="E122" s="2943">
        <v>16460</v>
      </c>
      <c r="F122" s="2943">
        <v>2880</v>
      </c>
      <c r="G122" s="2956">
        <v>9040</v>
      </c>
    </row>
    <row r="123" spans="1:7" s="2777" customFormat="1" ht="14.25" customHeight="1">
      <c r="A123" s="2943" t="s">
        <v>303</v>
      </c>
      <c r="B123" s="2943" t="s">
        <v>3003</v>
      </c>
      <c r="C123" s="2943">
        <v>13590</v>
      </c>
      <c r="D123" s="2943">
        <v>13520</v>
      </c>
      <c r="E123" s="2943">
        <v>16290</v>
      </c>
      <c r="F123" s="2943">
        <v>2790</v>
      </c>
      <c r="G123" s="2956">
        <v>8930</v>
      </c>
    </row>
    <row r="124" spans="1:7" s="2777" customFormat="1" ht="14.25" customHeight="1">
      <c r="A124" s="2943" t="s">
        <v>303</v>
      </c>
      <c r="B124" s="2943" t="s">
        <v>3008</v>
      </c>
      <c r="C124" s="2943">
        <v>13400</v>
      </c>
      <c r="D124" s="2943">
        <v>13320</v>
      </c>
      <c r="E124" s="2943">
        <v>16100</v>
      </c>
      <c r="F124" s="2943">
        <v>2320</v>
      </c>
      <c r="G124" s="2956">
        <v>8800</v>
      </c>
    </row>
    <row r="125" spans="1:7" s="2777" customFormat="1" ht="14.25" customHeight="1">
      <c r="A125" s="2943" t="s">
        <v>303</v>
      </c>
      <c r="B125" s="2943" t="s">
        <v>3013</v>
      </c>
      <c r="C125" s="2943">
        <v>12860</v>
      </c>
      <c r="D125" s="2943">
        <v>12790</v>
      </c>
      <c r="E125" s="2943">
        <v>15370</v>
      </c>
      <c r="F125" s="2943">
        <v>2280</v>
      </c>
      <c r="G125" s="2956">
        <v>8450</v>
      </c>
    </row>
    <row r="126" spans="1:7" s="2777" customFormat="1" ht="14.25" customHeight="1" thickBot="1">
      <c r="A126" s="2957" t="s">
        <v>303</v>
      </c>
      <c r="B126" s="2950" t="s">
        <v>3018</v>
      </c>
      <c r="C126" s="2950">
        <v>12960</v>
      </c>
      <c r="D126" s="2950">
        <v>12890</v>
      </c>
      <c r="E126" s="2950">
        <v>15530</v>
      </c>
      <c r="F126" s="2950">
        <v>2910</v>
      </c>
      <c r="G126" s="2958">
        <v>8520</v>
      </c>
    </row>
    <row r="127" spans="1:7" s="2777" customFormat="1" ht="14.25" customHeight="1">
      <c r="A127" s="2948" t="s">
        <v>29</v>
      </c>
      <c r="B127" s="2939" t="s">
        <v>3073</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3074</v>
      </c>
      <c r="C148" s="2943">
        <v>10370</v>
      </c>
      <c r="D148" s="2943">
        <v>10310</v>
      </c>
      <c r="E148" s="2943">
        <v>12970</v>
      </c>
      <c r="F148" s="2943"/>
      <c r="G148" s="2943">
        <v>6630</v>
      </c>
    </row>
    <row r="149" spans="1:7" s="2777" customFormat="1" ht="14.25" customHeight="1">
      <c r="A149" s="2943" t="s">
        <v>29</v>
      </c>
      <c r="B149" s="2943" t="s">
        <v>3075</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2949</v>
      </c>
      <c r="C153" s="2943">
        <v>10880</v>
      </c>
      <c r="D153" s="2943">
        <v>10820</v>
      </c>
      <c r="E153" s="2943">
        <v>13660</v>
      </c>
      <c r="F153" s="2943">
        <v>2260</v>
      </c>
      <c r="G153" s="2943">
        <v>6970</v>
      </c>
    </row>
    <row r="154" spans="1:7" s="2777" customFormat="1" ht="14.25" customHeight="1">
      <c r="A154" s="2943" t="s">
        <v>29</v>
      </c>
      <c r="B154" s="2943" t="s">
        <v>3076</v>
      </c>
      <c r="C154" s="2943">
        <v>11220</v>
      </c>
      <c r="D154" s="2943">
        <v>11160</v>
      </c>
      <c r="E154" s="2943">
        <v>14130</v>
      </c>
      <c r="F154" s="2943">
        <v>2230</v>
      </c>
      <c r="G154" s="2943">
        <v>7180</v>
      </c>
    </row>
    <row r="155" spans="1:7" s="2777" customFormat="1" ht="14.25" customHeight="1">
      <c r="A155" s="2943" t="s">
        <v>29</v>
      </c>
      <c r="B155" s="2943" t="s">
        <v>2962</v>
      </c>
      <c r="C155" s="2943">
        <v>10430</v>
      </c>
      <c r="D155" s="2943">
        <v>10380</v>
      </c>
      <c r="E155" s="2943">
        <v>13140</v>
      </c>
      <c r="F155" s="2943">
        <v>2080</v>
      </c>
      <c r="G155" s="2943">
        <v>6650</v>
      </c>
    </row>
    <row r="156" spans="1:7" s="2777" customFormat="1" ht="14.25" customHeight="1">
      <c r="A156" s="2943" t="s">
        <v>29</v>
      </c>
      <c r="B156" s="2943" t="s">
        <v>3077</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3078</v>
      </c>
      <c r="C160" s="2943">
        <v>11180</v>
      </c>
      <c r="D160" s="2943">
        <v>11140</v>
      </c>
      <c r="E160" s="2943">
        <v>14050</v>
      </c>
      <c r="F160" s="2943">
        <v>2270</v>
      </c>
      <c r="G160" s="2943">
        <v>7170</v>
      </c>
    </row>
    <row r="161" spans="1:7" s="2777" customFormat="1" ht="14.25" customHeight="1">
      <c r="A161" s="2943" t="s">
        <v>29</v>
      </c>
      <c r="B161" s="2943" t="s">
        <v>2994</v>
      </c>
      <c r="C161" s="2943">
        <v>11160</v>
      </c>
      <c r="D161" s="2943">
        <v>11120</v>
      </c>
      <c r="E161" s="2943">
        <v>14020</v>
      </c>
      <c r="F161" s="2943">
        <v>2150</v>
      </c>
      <c r="G161" s="2943">
        <v>7160</v>
      </c>
    </row>
    <row r="162" spans="1:7" s="2777" customFormat="1" ht="14.25" customHeight="1">
      <c r="A162" s="2943" t="s">
        <v>29</v>
      </c>
      <c r="B162" s="2943" t="s">
        <v>2999</v>
      </c>
      <c r="C162" s="2943">
        <v>9620</v>
      </c>
      <c r="D162" s="2943">
        <v>9570</v>
      </c>
      <c r="E162" s="2943">
        <v>12320</v>
      </c>
      <c r="F162" s="2943">
        <v>2010</v>
      </c>
      <c r="G162" s="2943">
        <v>6160</v>
      </c>
    </row>
    <row r="163" spans="1:7" s="2777" customFormat="1" ht="14.25" customHeight="1">
      <c r="A163" s="2943" t="s">
        <v>29</v>
      </c>
      <c r="B163" s="2943" t="s">
        <v>3004</v>
      </c>
      <c r="C163" s="2943">
        <v>9320</v>
      </c>
      <c r="D163" s="2943">
        <v>9270</v>
      </c>
      <c r="E163" s="2943">
        <v>11790</v>
      </c>
      <c r="F163" s="2943">
        <v>1920</v>
      </c>
      <c r="G163" s="2943">
        <v>5960</v>
      </c>
    </row>
    <row r="164" spans="1:7" s="2777" customFormat="1" ht="14.25" customHeight="1">
      <c r="A164" s="2943" t="s">
        <v>29</v>
      </c>
      <c r="B164" s="2943" t="s">
        <v>3009</v>
      </c>
      <c r="C164" s="2943"/>
      <c r="D164" s="2943"/>
      <c r="E164" s="2943"/>
      <c r="F164" s="2943">
        <v>1980</v>
      </c>
      <c r="G164" s="2943"/>
    </row>
    <row r="165" spans="1:7" s="2777" customFormat="1" ht="14.25" customHeight="1">
      <c r="A165" s="2943" t="s">
        <v>29</v>
      </c>
      <c r="B165" s="2943" t="s">
        <v>3079</v>
      </c>
      <c r="C165" s="2943">
        <v>11060</v>
      </c>
      <c r="D165" s="2943">
        <v>11030</v>
      </c>
      <c r="E165" s="2943">
        <v>13850</v>
      </c>
      <c r="F165" s="2943">
        <v>2170</v>
      </c>
      <c r="G165" s="2943">
        <v>7090</v>
      </c>
    </row>
    <row r="166" spans="1:7" s="2777" customFormat="1" ht="14.25" customHeight="1">
      <c r="A166" s="2943" t="s">
        <v>29</v>
      </c>
      <c r="B166" s="2943" t="s">
        <v>3019</v>
      </c>
      <c r="C166" s="2943">
        <v>11050</v>
      </c>
      <c r="D166" s="2943">
        <v>11010</v>
      </c>
      <c r="E166" s="2943">
        <v>13920</v>
      </c>
      <c r="F166" s="2943">
        <v>2140</v>
      </c>
      <c r="G166" s="2943">
        <v>7080</v>
      </c>
    </row>
    <row r="167" spans="1:7" s="2777" customFormat="1" ht="14.25" customHeight="1">
      <c r="A167" s="2943" t="s">
        <v>29</v>
      </c>
      <c r="B167" s="2943" t="s">
        <v>3023</v>
      </c>
      <c r="C167" s="2943">
        <v>10930</v>
      </c>
      <c r="D167" s="2943">
        <v>10890</v>
      </c>
      <c r="E167" s="2943">
        <v>13790</v>
      </c>
      <c r="F167" s="2943">
        <v>2010</v>
      </c>
      <c r="G167" s="2943">
        <v>7000</v>
      </c>
    </row>
    <row r="168" spans="1:7" s="2777" customFormat="1" ht="14.25" customHeight="1">
      <c r="A168" s="2943" t="s">
        <v>29</v>
      </c>
      <c r="B168" s="2943" t="s">
        <v>3028</v>
      </c>
      <c r="C168" s="2943">
        <v>9420</v>
      </c>
      <c r="D168" s="2943">
        <v>9380</v>
      </c>
      <c r="E168" s="2943">
        <v>11970</v>
      </c>
      <c r="F168" s="2943"/>
      <c r="G168" s="2943">
        <v>6040</v>
      </c>
    </row>
    <row r="169" spans="1:7" s="2777" customFormat="1" ht="14.25" customHeight="1">
      <c r="A169" s="2943" t="s">
        <v>29</v>
      </c>
      <c r="B169" s="2943" t="s">
        <v>3080</v>
      </c>
      <c r="C169" s="2943"/>
      <c r="D169" s="2943"/>
      <c r="E169" s="2943"/>
      <c r="F169" s="2943">
        <v>2880</v>
      </c>
      <c r="G169" s="2943"/>
    </row>
    <row r="170" spans="1:7" s="2777" customFormat="1" ht="14.25" customHeight="1">
      <c r="A170" s="2943" t="s">
        <v>29</v>
      </c>
      <c r="B170" s="2943" t="s">
        <v>3036</v>
      </c>
      <c r="C170" s="2943"/>
      <c r="D170" s="2943"/>
      <c r="E170" s="2943"/>
      <c r="F170" s="2943">
        <v>2880</v>
      </c>
      <c r="G170" s="2943"/>
    </row>
    <row r="171" spans="1:7" s="2777" customFormat="1" ht="14.25" customHeight="1">
      <c r="A171" s="2943" t="s">
        <v>29</v>
      </c>
      <c r="B171" s="2943" t="s">
        <v>3039</v>
      </c>
      <c r="C171" s="2943"/>
      <c r="D171" s="2943"/>
      <c r="E171" s="2943"/>
      <c r="F171" s="2943">
        <v>2880</v>
      </c>
      <c r="G171" s="2943"/>
    </row>
    <row r="172" spans="1:7" s="2777" customFormat="1" ht="14.25" customHeight="1">
      <c r="A172" s="2943" t="s">
        <v>29</v>
      </c>
      <c r="B172" s="2943" t="s">
        <v>3041</v>
      </c>
      <c r="C172" s="2943"/>
      <c r="D172" s="2943"/>
      <c r="E172" s="2943"/>
      <c r="F172" s="2943">
        <v>2880</v>
      </c>
      <c r="G172" s="2943"/>
    </row>
    <row r="173" spans="1:7" s="2777" customFormat="1" ht="14.25" customHeight="1">
      <c r="A173" s="2943" t="s">
        <v>29</v>
      </c>
      <c r="B173" s="2943" t="s">
        <v>3043</v>
      </c>
      <c r="C173" s="2943"/>
      <c r="D173" s="2943"/>
      <c r="E173" s="2943"/>
      <c r="F173" s="2943">
        <v>2150</v>
      </c>
      <c r="G173" s="2943"/>
    </row>
    <row r="174" spans="1:7" s="2777" customFormat="1" ht="14.25" customHeight="1">
      <c r="A174" s="2943" t="s">
        <v>29</v>
      </c>
      <c r="B174" s="2943" t="s">
        <v>3045</v>
      </c>
      <c r="C174" s="2943"/>
      <c r="D174" s="2943"/>
      <c r="E174" s="2943"/>
      <c r="F174" s="2943">
        <v>2030</v>
      </c>
      <c r="G174" s="2943"/>
    </row>
    <row r="175" spans="1:7" s="2777" customFormat="1" ht="14.25" customHeight="1">
      <c r="A175" s="2943" t="s">
        <v>29</v>
      </c>
      <c r="B175" s="2943" t="s">
        <v>3047</v>
      </c>
      <c r="C175" s="2943"/>
      <c r="D175" s="2943"/>
      <c r="E175" s="2943"/>
      <c r="F175" s="2943">
        <v>2780</v>
      </c>
      <c r="G175" s="2943"/>
    </row>
    <row r="176" spans="1:7" s="2777" customFormat="1" ht="14.25" customHeight="1">
      <c r="A176" s="2943" t="s">
        <v>29</v>
      </c>
      <c r="B176" s="2943" t="s">
        <v>3049</v>
      </c>
      <c r="C176" s="2943"/>
      <c r="D176" s="2943"/>
      <c r="E176" s="2943"/>
      <c r="F176" s="2943">
        <v>2780</v>
      </c>
      <c r="G176" s="2943"/>
    </row>
    <row r="177" spans="1:7" s="2777" customFormat="1" ht="14.25" customHeight="1">
      <c r="A177" s="2943" t="s">
        <v>29</v>
      </c>
      <c r="B177" s="2943" t="s">
        <v>3081</v>
      </c>
      <c r="C177" s="2943"/>
      <c r="D177" s="2943"/>
      <c r="E177" s="2943"/>
      <c r="F177" s="2943">
        <v>2780</v>
      </c>
      <c r="G177" s="2943"/>
    </row>
    <row r="178" spans="1:7" s="2777" customFormat="1" ht="14.25" customHeight="1">
      <c r="A178" s="2943" t="s">
        <v>29</v>
      </c>
      <c r="B178" s="2943" t="s">
        <v>3082</v>
      </c>
      <c r="C178" s="2943"/>
      <c r="D178" s="2943"/>
      <c r="E178" s="2943"/>
      <c r="F178" s="2943">
        <v>2060</v>
      </c>
      <c r="G178" s="2943"/>
    </row>
    <row r="179" spans="1:7" s="2777" customFormat="1" ht="14.25" customHeight="1">
      <c r="A179" s="2943" t="s">
        <v>29</v>
      </c>
      <c r="B179" s="2943" t="s">
        <v>3083</v>
      </c>
      <c r="C179" s="2943"/>
      <c r="D179" s="2943"/>
      <c r="E179" s="2943"/>
      <c r="F179" s="2943">
        <v>2120</v>
      </c>
      <c r="G179" s="2943"/>
    </row>
    <row r="180" spans="1:7" s="2777" customFormat="1" ht="14.25" customHeight="1">
      <c r="A180" s="2943" t="s">
        <v>29</v>
      </c>
      <c r="B180" s="2943" t="s">
        <v>3055</v>
      </c>
      <c r="C180" s="2943"/>
      <c r="D180" s="2943"/>
      <c r="E180" s="2943"/>
      <c r="F180" s="2943">
        <v>2340</v>
      </c>
      <c r="G180" s="2943"/>
    </row>
    <row r="181" spans="1:7" s="2777" customFormat="1" ht="14.25" customHeight="1">
      <c r="A181" s="2943" t="s">
        <v>29</v>
      </c>
      <c r="B181" s="2943" t="s">
        <v>3056</v>
      </c>
      <c r="C181" s="2943"/>
      <c r="D181" s="2943"/>
      <c r="E181" s="2943"/>
      <c r="F181" s="2943">
        <v>2340</v>
      </c>
      <c r="G181" s="2943"/>
    </row>
    <row r="182" spans="1:7" s="2777" customFormat="1" ht="14.25" customHeight="1">
      <c r="A182" s="2943" t="s">
        <v>29</v>
      </c>
      <c r="B182" s="2943" t="s">
        <v>3057</v>
      </c>
      <c r="C182" s="2943"/>
      <c r="D182" s="2943"/>
      <c r="E182" s="2943"/>
      <c r="F182" s="2943">
        <v>2340</v>
      </c>
      <c r="G182" s="2943"/>
    </row>
    <row r="183" spans="1:7" s="2777" customFormat="1" ht="14.25" customHeight="1">
      <c r="A183" s="2943" t="s">
        <v>29</v>
      </c>
      <c r="B183" s="2943" t="s">
        <v>3058</v>
      </c>
      <c r="C183" s="2943"/>
      <c r="D183" s="2943"/>
      <c r="E183" s="2943"/>
      <c r="F183" s="2943">
        <v>2340</v>
      </c>
      <c r="G183" s="2943"/>
    </row>
    <row r="184" spans="1:7" s="2777" customFormat="1" ht="14.25" customHeight="1">
      <c r="A184" s="2943" t="s">
        <v>29</v>
      </c>
      <c r="B184" s="2943" t="s">
        <v>3059</v>
      </c>
      <c r="C184" s="2943"/>
      <c r="D184" s="2943"/>
      <c r="E184" s="2943"/>
      <c r="F184" s="2943">
        <v>2340</v>
      </c>
      <c r="G184" s="2943"/>
    </row>
    <row r="185" spans="1:7" s="2777" customFormat="1" ht="14.25" customHeight="1">
      <c r="A185" s="2943" t="s">
        <v>29</v>
      </c>
      <c r="B185" s="2943" t="s">
        <v>3060</v>
      </c>
      <c r="C185" s="2943"/>
      <c r="D185" s="2943"/>
      <c r="E185" s="2943"/>
      <c r="F185" s="2943">
        <v>2530</v>
      </c>
      <c r="G185" s="2943"/>
    </row>
    <row r="186" spans="1:7" s="2777" customFormat="1" ht="14.25" customHeight="1">
      <c r="A186" s="2943" t="s">
        <v>29</v>
      </c>
      <c r="B186" s="2943" t="s">
        <v>3061</v>
      </c>
      <c r="C186" s="2943"/>
      <c r="D186" s="2943"/>
      <c r="E186" s="2943"/>
      <c r="F186" s="2943">
        <v>2550</v>
      </c>
      <c r="G186" s="2943"/>
    </row>
    <row r="187" spans="1:7" s="2777" customFormat="1" ht="14.25" customHeight="1">
      <c r="A187" s="2943" t="s">
        <v>29</v>
      </c>
      <c r="B187" s="2943" t="s">
        <v>3062</v>
      </c>
      <c r="C187" s="2943"/>
      <c r="D187" s="2943"/>
      <c r="E187" s="2943"/>
      <c r="F187" s="2943">
        <v>2070</v>
      </c>
      <c r="G187" s="2943"/>
    </row>
    <row r="188" spans="1:7" s="2777" customFormat="1" ht="14.25" customHeight="1">
      <c r="A188" s="2943" t="s">
        <v>29</v>
      </c>
      <c r="B188" s="2943" t="s">
        <v>3063</v>
      </c>
      <c r="C188" s="2943"/>
      <c r="D188" s="2943"/>
      <c r="E188" s="2943"/>
      <c r="F188" s="2943">
        <v>2340</v>
      </c>
      <c r="G188" s="2943"/>
    </row>
    <row r="189" spans="1:7" s="2777" customFormat="1" ht="14.25" customHeight="1" thickBot="1">
      <c r="A189" s="2951" t="s">
        <v>29</v>
      </c>
      <c r="B189" s="2954" t="s">
        <v>3064</v>
      </c>
      <c r="C189" s="2954"/>
      <c r="D189" s="2954"/>
      <c r="E189" s="2954"/>
      <c r="F189" s="2954">
        <v>2050</v>
      </c>
      <c r="G189" s="2954"/>
    </row>
    <row r="190" spans="1:7" s="2777" customFormat="1" ht="14.25" customHeight="1">
      <c r="A190" s="2948" t="s">
        <v>304</v>
      </c>
      <c r="B190" s="2939" t="s">
        <v>3084</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3085</v>
      </c>
      <c r="C199" s="2943">
        <v>8690</v>
      </c>
      <c r="D199" s="2943">
        <v>8630</v>
      </c>
      <c r="E199" s="2943">
        <v>11350</v>
      </c>
      <c r="F199" s="2943">
        <v>1600</v>
      </c>
      <c r="G199" s="2956">
        <v>5450</v>
      </c>
    </row>
    <row r="200" spans="1:7" s="2777" customFormat="1" ht="14.25" customHeight="1">
      <c r="A200" s="2943" t="s">
        <v>304</v>
      </c>
      <c r="B200" s="2943" t="s">
        <v>2896</v>
      </c>
      <c r="C200" s="2943"/>
      <c r="D200" s="2943"/>
      <c r="E200" s="2943"/>
      <c r="F200" s="2943">
        <v>1510</v>
      </c>
      <c r="G200" s="2956"/>
    </row>
    <row r="201" spans="1:7" s="2777" customFormat="1" ht="14.25" customHeight="1">
      <c r="A201" s="2943" t="s">
        <v>304</v>
      </c>
      <c r="B201" s="2943" t="s">
        <v>3086</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3087</v>
      </c>
      <c r="C203" s="2943">
        <v>8130</v>
      </c>
      <c r="D203" s="2943">
        <v>8070</v>
      </c>
      <c r="E203" s="2943">
        <v>10820</v>
      </c>
      <c r="F203" s="2943">
        <v>1690</v>
      </c>
      <c r="G203" s="2956">
        <v>5100</v>
      </c>
    </row>
    <row r="204" spans="1:7" s="2777" customFormat="1" ht="14.25" customHeight="1">
      <c r="A204" s="2943" t="s">
        <v>304</v>
      </c>
      <c r="B204" s="2943" t="s">
        <v>2907</v>
      </c>
      <c r="C204" s="2943">
        <v>8350</v>
      </c>
      <c r="D204" s="2943">
        <v>8290</v>
      </c>
      <c r="E204" s="2943">
        <v>11080</v>
      </c>
      <c r="F204" s="2943">
        <v>1450</v>
      </c>
      <c r="G204" s="2956">
        <v>5240</v>
      </c>
    </row>
    <row r="205" spans="1:7" s="2777" customFormat="1" ht="14.25" customHeight="1">
      <c r="A205" s="2943" t="s">
        <v>304</v>
      </c>
      <c r="B205" s="2943" t="s">
        <v>2909</v>
      </c>
      <c r="C205" s="2943">
        <v>7190</v>
      </c>
      <c r="D205" s="2943">
        <v>7130</v>
      </c>
      <c r="E205" s="2943">
        <v>9490</v>
      </c>
      <c r="F205" s="2943">
        <v>1470</v>
      </c>
      <c r="G205" s="2956">
        <v>4510</v>
      </c>
    </row>
    <row r="206" spans="1:7" s="2777" customFormat="1" ht="14.25" customHeight="1">
      <c r="A206" s="2943" t="s">
        <v>304</v>
      </c>
      <c r="B206" s="2943" t="s">
        <v>2912</v>
      </c>
      <c r="C206" s="2943">
        <v>7000</v>
      </c>
      <c r="D206" s="2943">
        <v>6950</v>
      </c>
      <c r="E206" s="2943">
        <v>9170</v>
      </c>
      <c r="F206" s="2943">
        <v>1400</v>
      </c>
      <c r="G206" s="2956">
        <v>4380</v>
      </c>
    </row>
    <row r="207" spans="1:7" s="2777" customFormat="1" ht="14.25" customHeight="1">
      <c r="A207" s="2943" t="s">
        <v>304</v>
      </c>
      <c r="B207" s="2943" t="s">
        <v>2914</v>
      </c>
      <c r="C207" s="2943">
        <v>6950</v>
      </c>
      <c r="D207" s="2943">
        <v>6900</v>
      </c>
      <c r="E207" s="2943">
        <v>9110</v>
      </c>
      <c r="F207" s="2943">
        <v>1790</v>
      </c>
      <c r="G207" s="2956">
        <v>4360</v>
      </c>
    </row>
    <row r="208" spans="1:7" s="2777" customFormat="1" ht="14.25" customHeight="1">
      <c r="A208" s="2943" t="s">
        <v>304</v>
      </c>
      <c r="B208" s="2943" t="s">
        <v>3088</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2924</v>
      </c>
      <c r="C210" s="2943">
        <v>8710</v>
      </c>
      <c r="D210" s="2943">
        <v>8660</v>
      </c>
      <c r="E210" s="2943">
        <v>11440</v>
      </c>
      <c r="F210" s="2943">
        <v>1740</v>
      </c>
      <c r="G210" s="2956">
        <v>5470</v>
      </c>
    </row>
    <row r="211" spans="1:7" s="2777" customFormat="1" ht="14.25" customHeight="1">
      <c r="A211" s="2943" t="s">
        <v>304</v>
      </c>
      <c r="B211" s="2943" t="s">
        <v>3089</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3090</v>
      </c>
      <c r="C214" s="2943">
        <v>8090</v>
      </c>
      <c r="D214" s="2943">
        <v>8030</v>
      </c>
      <c r="E214" s="2943">
        <v>10780</v>
      </c>
      <c r="F214" s="2943">
        <v>1570</v>
      </c>
      <c r="G214" s="2956">
        <v>5070</v>
      </c>
    </row>
    <row r="215" spans="1:7" s="2777" customFormat="1" ht="14.25" customHeight="1">
      <c r="A215" s="2943" t="s">
        <v>304</v>
      </c>
      <c r="B215" s="2943" t="s">
        <v>3091</v>
      </c>
      <c r="C215" s="2943">
        <v>7950</v>
      </c>
      <c r="D215" s="2943">
        <v>7900</v>
      </c>
      <c r="E215" s="2943">
        <v>10560</v>
      </c>
      <c r="F215" s="2943">
        <v>1630</v>
      </c>
      <c r="G215" s="2956">
        <v>4990</v>
      </c>
    </row>
    <row r="216" spans="1:7" s="2777" customFormat="1" ht="14.25" customHeight="1">
      <c r="A216" s="2943" t="s">
        <v>304</v>
      </c>
      <c r="B216" s="2943" t="s">
        <v>3092</v>
      </c>
      <c r="C216" s="2943">
        <v>8490</v>
      </c>
      <c r="D216" s="2943">
        <v>8440</v>
      </c>
      <c r="E216" s="2943">
        <v>11260</v>
      </c>
      <c r="F216" s="2943">
        <v>1690</v>
      </c>
      <c r="G216" s="2956">
        <v>5330</v>
      </c>
    </row>
    <row r="217" spans="1:7" s="2777" customFormat="1" ht="14.25" customHeight="1">
      <c r="A217" s="2943" t="s">
        <v>304</v>
      </c>
      <c r="B217" s="2943" t="s">
        <v>2957</v>
      </c>
      <c r="C217" s="2943">
        <v>8200</v>
      </c>
      <c r="D217" s="2943">
        <v>8150</v>
      </c>
      <c r="E217" s="2943">
        <v>10910</v>
      </c>
      <c r="F217" s="2943">
        <v>1670</v>
      </c>
      <c r="G217" s="2956">
        <v>5150</v>
      </c>
    </row>
    <row r="218" spans="1:7" s="2777" customFormat="1" ht="14.25" customHeight="1">
      <c r="A218" s="2943" t="s">
        <v>304</v>
      </c>
      <c r="B218" s="2943" t="s">
        <v>3093</v>
      </c>
      <c r="C218" s="2943"/>
      <c r="D218" s="2943"/>
      <c r="E218" s="2943"/>
      <c r="F218" s="2943">
        <v>2040</v>
      </c>
      <c r="G218" s="2956"/>
    </row>
    <row r="219" spans="1:7" s="2777" customFormat="1" ht="14.25" customHeight="1">
      <c r="A219" s="2943" t="s">
        <v>304</v>
      </c>
      <c r="B219" s="2943" t="s">
        <v>3094</v>
      </c>
      <c r="C219" s="2943"/>
      <c r="D219" s="2943"/>
      <c r="E219" s="2943"/>
      <c r="F219" s="2943">
        <v>2040</v>
      </c>
      <c r="G219" s="2956"/>
    </row>
    <row r="220" spans="1:7" s="2777" customFormat="1" ht="14.25" customHeight="1">
      <c r="A220" s="2943" t="s">
        <v>304</v>
      </c>
      <c r="B220" s="2943" t="s">
        <v>3095</v>
      </c>
      <c r="C220" s="2943"/>
      <c r="D220" s="2943"/>
      <c r="E220" s="2943"/>
      <c r="F220" s="2943">
        <v>2040</v>
      </c>
      <c r="G220" s="2956"/>
    </row>
    <row r="221" spans="1:7" s="2777" customFormat="1" ht="14.25" customHeight="1">
      <c r="A221" s="2943" t="s">
        <v>304</v>
      </c>
      <c r="B221" s="2943" t="s">
        <v>3096</v>
      </c>
      <c r="C221" s="2943"/>
      <c r="D221" s="2943"/>
      <c r="E221" s="2943"/>
      <c r="F221" s="2943">
        <v>2040</v>
      </c>
      <c r="G221" s="2956"/>
    </row>
    <row r="222" spans="1:7" s="2777" customFormat="1" ht="14.25" customHeight="1">
      <c r="A222" s="2943" t="s">
        <v>304</v>
      </c>
      <c r="B222" s="2943" t="s">
        <v>3097</v>
      </c>
      <c r="C222" s="2943"/>
      <c r="D222" s="2943"/>
      <c r="E222" s="2943"/>
      <c r="F222" s="2943">
        <v>2040</v>
      </c>
      <c r="G222" s="2956"/>
    </row>
    <row r="223" spans="1:7" s="2777" customFormat="1" ht="14.25" customHeight="1">
      <c r="A223" s="2943" t="s">
        <v>304</v>
      </c>
      <c r="B223" s="2943" t="s">
        <v>3098</v>
      </c>
      <c r="C223" s="2943"/>
      <c r="D223" s="2943"/>
      <c r="E223" s="2943"/>
      <c r="F223" s="2943">
        <v>1930</v>
      </c>
      <c r="G223" s="2956"/>
    </row>
    <row r="224" spans="1:7" s="2777" customFormat="1" ht="14.25" customHeight="1">
      <c r="A224" s="2943" t="s">
        <v>304</v>
      </c>
      <c r="B224" s="2943" t="s">
        <v>3099</v>
      </c>
      <c r="C224" s="2943"/>
      <c r="D224" s="2943"/>
      <c r="E224" s="2943"/>
      <c r="F224" s="2943">
        <v>1930</v>
      </c>
      <c r="G224" s="2956"/>
    </row>
    <row r="225" spans="1:7" s="2777" customFormat="1" ht="14.25" customHeight="1">
      <c r="A225" s="2943" t="s">
        <v>304</v>
      </c>
      <c r="B225" s="2943" t="s">
        <v>3100</v>
      </c>
      <c r="C225" s="2943"/>
      <c r="D225" s="2943"/>
      <c r="E225" s="2943"/>
      <c r="F225" s="2943">
        <v>1930</v>
      </c>
      <c r="G225" s="2956"/>
    </row>
    <row r="226" spans="1:7" s="2777" customFormat="1" ht="14.25" customHeight="1">
      <c r="A226" s="2943" t="s">
        <v>304</v>
      </c>
      <c r="B226" s="2943" t="s">
        <v>3101</v>
      </c>
      <c r="C226" s="2943"/>
      <c r="D226" s="2943"/>
      <c r="E226" s="2943"/>
      <c r="F226" s="2943">
        <v>1700</v>
      </c>
      <c r="G226" s="2956"/>
    </row>
    <row r="227" spans="1:7" s="2777" customFormat="1" ht="14.25" customHeight="1">
      <c r="A227" s="2943" t="s">
        <v>304</v>
      </c>
      <c r="B227" s="2943" t="s">
        <v>3102</v>
      </c>
      <c r="C227" s="2943"/>
      <c r="D227" s="2943"/>
      <c r="E227" s="2943"/>
      <c r="F227" s="2943">
        <v>1520</v>
      </c>
      <c r="G227" s="2956"/>
    </row>
    <row r="228" spans="1:7" s="2777" customFormat="1" ht="14.25" customHeight="1">
      <c r="A228" s="2943" t="s">
        <v>304</v>
      </c>
      <c r="B228" s="2943" t="s">
        <v>3103</v>
      </c>
      <c r="C228" s="2943"/>
      <c r="D228" s="2943"/>
      <c r="E228" s="2943"/>
      <c r="F228" s="2943">
        <v>1520</v>
      </c>
      <c r="G228" s="2956"/>
    </row>
    <row r="229" spans="1:7" s="2777" customFormat="1" ht="14.25" customHeight="1">
      <c r="A229" s="2943" t="s">
        <v>304</v>
      </c>
      <c r="B229" s="2943" t="s">
        <v>3020</v>
      </c>
      <c r="C229" s="2943"/>
      <c r="D229" s="2943"/>
      <c r="E229" s="2943"/>
      <c r="F229" s="2943">
        <v>1520</v>
      </c>
      <c r="G229" s="2956"/>
    </row>
    <row r="230" spans="1:7" s="2777" customFormat="1" ht="14.25" customHeight="1">
      <c r="A230" s="2943" t="s">
        <v>304</v>
      </c>
      <c r="B230" s="2943" t="s">
        <v>3104</v>
      </c>
      <c r="C230" s="2943"/>
      <c r="D230" s="2943"/>
      <c r="E230" s="2943"/>
      <c r="F230" s="2943">
        <v>1820</v>
      </c>
      <c r="G230" s="2956"/>
    </row>
    <row r="231" spans="1:7" s="2777" customFormat="1" ht="14.25" customHeight="1">
      <c r="A231" s="2943" t="s">
        <v>304</v>
      </c>
      <c r="B231" s="2943" t="s">
        <v>3105</v>
      </c>
      <c r="C231" s="2943"/>
      <c r="D231" s="2943"/>
      <c r="E231" s="2943"/>
      <c r="F231" s="2943">
        <v>1760</v>
      </c>
      <c r="G231" s="2956"/>
    </row>
    <row r="232" spans="1:7" s="2777" customFormat="1" ht="14.25" customHeight="1">
      <c r="A232" s="2943" t="s">
        <v>304</v>
      </c>
      <c r="B232" s="2943" t="s">
        <v>3106</v>
      </c>
      <c r="C232" s="2943"/>
      <c r="D232" s="2943"/>
      <c r="E232" s="2943"/>
      <c r="F232" s="2943">
        <v>1840</v>
      </c>
      <c r="G232" s="2956"/>
    </row>
    <row r="233" spans="1:7" s="2777" customFormat="1" ht="14.25" customHeight="1" thickBot="1">
      <c r="A233" s="2957" t="s">
        <v>304</v>
      </c>
      <c r="B233" s="2950" t="s">
        <v>3037</v>
      </c>
      <c r="C233" s="2950"/>
      <c r="D233" s="2950"/>
      <c r="E233" s="2950"/>
      <c r="F233" s="2950">
        <v>1770</v>
      </c>
      <c r="G233" s="2958"/>
    </row>
    <row r="234" spans="1:7" s="2777" customFormat="1" ht="14.25" customHeight="1">
      <c r="A234" s="2948" t="s">
        <v>305</v>
      </c>
      <c r="B234" s="2939" t="s">
        <v>3107</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2878</v>
      </c>
      <c r="C238" s="2943">
        <v>6920</v>
      </c>
      <c r="D238" s="2943">
        <v>6890</v>
      </c>
      <c r="E238" s="2943">
        <v>8640</v>
      </c>
      <c r="F238" s="2943">
        <v>1310</v>
      </c>
      <c r="G238" s="2943">
        <v>4230</v>
      </c>
    </row>
    <row r="239" spans="1:7" s="2777" customFormat="1" ht="14.25" customHeight="1">
      <c r="A239" s="2943" t="s">
        <v>305</v>
      </c>
      <c r="B239" s="2943" t="s">
        <v>3108</v>
      </c>
      <c r="C239" s="2943">
        <v>6780</v>
      </c>
      <c r="D239" s="2943">
        <v>6750</v>
      </c>
      <c r="E239" s="2943">
        <v>8440</v>
      </c>
      <c r="F239" s="2943">
        <v>1160</v>
      </c>
      <c r="G239" s="2943">
        <v>4140</v>
      </c>
    </row>
    <row r="240" spans="1:7" s="2777" customFormat="1" ht="14.25" customHeight="1">
      <c r="A240" s="2943" t="s">
        <v>305</v>
      </c>
      <c r="B240" s="2943" t="s">
        <v>3109</v>
      </c>
      <c r="C240" s="2943">
        <v>5420</v>
      </c>
      <c r="D240" s="2943">
        <v>5380</v>
      </c>
      <c r="E240" s="2943">
        <v>6640</v>
      </c>
      <c r="F240" s="2943">
        <v>1020</v>
      </c>
      <c r="G240" s="2943">
        <v>3300</v>
      </c>
    </row>
    <row r="241" spans="1:7" s="2777" customFormat="1" ht="14.25" customHeight="1">
      <c r="A241" s="2943" t="s">
        <v>305</v>
      </c>
      <c r="B241" s="2943" t="s">
        <v>3110</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3111</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3112</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3113</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3114</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3115</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2940</v>
      </c>
      <c r="C258" s="2943">
        <v>6190</v>
      </c>
      <c r="D258" s="2943">
        <v>6160</v>
      </c>
      <c r="E258" s="2943">
        <v>7680</v>
      </c>
      <c r="F258" s="2943">
        <v>1170</v>
      </c>
      <c r="G258" s="2943">
        <v>3780</v>
      </c>
    </row>
    <row r="259" spans="1:7" s="2777" customFormat="1" ht="14.25" customHeight="1">
      <c r="A259" s="2943" t="s">
        <v>305</v>
      </c>
      <c r="B259" s="2943" t="s">
        <v>3116</v>
      </c>
      <c r="C259" s="2943">
        <v>7610</v>
      </c>
      <c r="D259" s="2943">
        <v>7570</v>
      </c>
      <c r="E259" s="2943">
        <v>9350</v>
      </c>
      <c r="F259" s="2943">
        <v>1350</v>
      </c>
      <c r="G259" s="2943">
        <v>4650</v>
      </c>
    </row>
    <row r="260" spans="1:7" s="2777" customFormat="1" ht="14.25" customHeight="1">
      <c r="A260" s="2943" t="s">
        <v>305</v>
      </c>
      <c r="B260" s="2943" t="s">
        <v>3117</v>
      </c>
      <c r="C260" s="2943">
        <v>6920</v>
      </c>
      <c r="D260" s="2943">
        <v>6880</v>
      </c>
      <c r="E260" s="2943">
        <v>8380</v>
      </c>
      <c r="F260" s="2943">
        <v>1160</v>
      </c>
      <c r="G260" s="2943">
        <v>4220</v>
      </c>
    </row>
    <row r="261" spans="1:7" s="2777" customFormat="1" ht="14.25" customHeight="1">
      <c r="A261" s="2943" t="s">
        <v>305</v>
      </c>
      <c r="B261" s="2943" t="s">
        <v>3118</v>
      </c>
      <c r="C261" s="2943">
        <v>6850</v>
      </c>
      <c r="D261" s="2943">
        <v>6810</v>
      </c>
      <c r="E261" s="2943">
        <v>8290</v>
      </c>
      <c r="F261" s="2943">
        <v>1130</v>
      </c>
      <c r="G261" s="2943">
        <v>4180</v>
      </c>
    </row>
    <row r="262" spans="1:7" s="2777" customFormat="1" ht="14.25" customHeight="1">
      <c r="A262" s="2943" t="s">
        <v>305</v>
      </c>
      <c r="B262" s="2943" t="s">
        <v>3119</v>
      </c>
      <c r="C262" s="2943">
        <v>5860</v>
      </c>
      <c r="D262" s="2943">
        <v>5820</v>
      </c>
      <c r="E262" s="2943">
        <v>7640</v>
      </c>
      <c r="F262" s="2943">
        <v>1070</v>
      </c>
      <c r="G262" s="2943">
        <v>3570</v>
      </c>
    </row>
    <row r="263" spans="1:7" s="2777" customFormat="1" ht="14.25" customHeight="1">
      <c r="A263" s="2943" t="s">
        <v>305</v>
      </c>
      <c r="B263" s="2943" t="s">
        <v>3120</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3121</v>
      </c>
      <c r="C265" s="2943"/>
      <c r="D265" s="2943"/>
      <c r="E265" s="2943"/>
      <c r="F265" s="2943">
        <v>1500</v>
      </c>
      <c r="G265" s="2943"/>
    </row>
    <row r="266" spans="1:7" s="2777" customFormat="1" ht="14.25" customHeight="1">
      <c r="A266" s="2943" t="s">
        <v>305</v>
      </c>
      <c r="B266" s="2943" t="s">
        <v>3122</v>
      </c>
      <c r="C266" s="2943"/>
      <c r="D266" s="2943"/>
      <c r="E266" s="2943"/>
      <c r="F266" s="2943">
        <v>1500</v>
      </c>
      <c r="G266" s="2943"/>
    </row>
    <row r="267" spans="1:7" s="2777" customFormat="1" ht="14.25" customHeight="1">
      <c r="A267" s="2943" t="s">
        <v>305</v>
      </c>
      <c r="B267" s="2943" t="s">
        <v>3123</v>
      </c>
      <c r="C267" s="2943"/>
      <c r="D267" s="2943"/>
      <c r="E267" s="2943"/>
      <c r="F267" s="2943">
        <v>1500</v>
      </c>
      <c r="G267" s="2943"/>
    </row>
    <row r="268" spans="1:7" s="2777" customFormat="1" ht="14.25" customHeight="1">
      <c r="A268" s="2943" t="s">
        <v>305</v>
      </c>
      <c r="B268" s="2943" t="s">
        <v>3124</v>
      </c>
      <c r="C268" s="2943"/>
      <c r="D268" s="2943"/>
      <c r="E268" s="2943"/>
      <c r="F268" s="2943">
        <v>1290</v>
      </c>
      <c r="G268" s="2943"/>
    </row>
    <row r="269" spans="1:7" s="2777" customFormat="1" ht="14.25" customHeight="1">
      <c r="A269" s="2943" t="s">
        <v>305</v>
      </c>
      <c r="B269" s="2943" t="s">
        <v>3125</v>
      </c>
      <c r="C269" s="2943"/>
      <c r="D269" s="2943"/>
      <c r="E269" s="2943"/>
      <c r="F269" s="2943">
        <v>1150</v>
      </c>
      <c r="G269" s="2943"/>
    </row>
    <row r="270" spans="1:7" s="2777" customFormat="1" ht="14.25" customHeight="1">
      <c r="A270" s="2943" t="s">
        <v>305</v>
      </c>
      <c r="B270" s="2943" t="s">
        <v>3126</v>
      </c>
      <c r="C270" s="2943"/>
      <c r="D270" s="2943"/>
      <c r="E270" s="2943"/>
      <c r="F270" s="2943">
        <v>1380</v>
      </c>
      <c r="G270" s="2943"/>
    </row>
    <row r="271" spans="1:7" s="2777" customFormat="1" ht="14.25" customHeight="1">
      <c r="A271" s="2943" t="s">
        <v>305</v>
      </c>
      <c r="B271" s="2943" t="s">
        <v>3127</v>
      </c>
      <c r="C271" s="2943"/>
      <c r="D271" s="2943"/>
      <c r="E271" s="2943"/>
      <c r="F271" s="2943">
        <v>1460</v>
      </c>
      <c r="G271" s="2943"/>
    </row>
    <row r="272" spans="1:7" s="2777" customFormat="1" ht="14.25" customHeight="1">
      <c r="A272" s="2943" t="s">
        <v>305</v>
      </c>
      <c r="B272" s="2943" t="s">
        <v>3128</v>
      </c>
      <c r="C272" s="2943"/>
      <c r="D272" s="2943"/>
      <c r="E272" s="2943"/>
      <c r="F272" s="2943">
        <v>1460</v>
      </c>
      <c r="G272" s="2943"/>
    </row>
    <row r="273" spans="1:7" s="2777" customFormat="1" ht="14.25" customHeight="1">
      <c r="A273" s="2943" t="s">
        <v>305</v>
      </c>
      <c r="B273" s="2943" t="s">
        <v>3021</v>
      </c>
      <c r="C273" s="2943"/>
      <c r="D273" s="2943"/>
      <c r="E273" s="2943"/>
      <c r="F273" s="2943">
        <v>1490</v>
      </c>
      <c r="G273" s="2943"/>
    </row>
    <row r="274" spans="1:7" s="2777" customFormat="1" ht="14.25" customHeight="1">
      <c r="A274" s="2943" t="s">
        <v>305</v>
      </c>
      <c r="B274" s="2943" t="s">
        <v>3129</v>
      </c>
      <c r="C274" s="2943"/>
      <c r="D274" s="2943"/>
      <c r="E274" s="2943"/>
      <c r="F274" s="2943">
        <v>1490</v>
      </c>
      <c r="G274" s="2943"/>
    </row>
    <row r="275" spans="1:7" s="2777" customFormat="1" ht="14.25" customHeight="1">
      <c r="A275" s="2943" t="s">
        <v>305</v>
      </c>
      <c r="B275" s="2943" t="s">
        <v>3130</v>
      </c>
      <c r="C275" s="2943"/>
      <c r="D275" s="2943"/>
      <c r="E275" s="2943"/>
      <c r="F275" s="2943">
        <v>1220</v>
      </c>
      <c r="G275" s="2943"/>
    </row>
    <row r="276" spans="1:7" s="2777" customFormat="1" ht="14.25" customHeight="1" thickBot="1">
      <c r="A276" s="2951" t="s">
        <v>305</v>
      </c>
      <c r="B276" s="2953" t="s">
        <v>3131</v>
      </c>
      <c r="C276" s="2954"/>
      <c r="D276" s="2954"/>
      <c r="E276" s="2954"/>
      <c r="F276" s="2954">
        <v>1380</v>
      </c>
      <c r="G276" s="2954"/>
    </row>
    <row r="277" spans="1:7" s="2777" customFormat="1" ht="14.25" customHeight="1">
      <c r="A277" s="2948" t="s">
        <v>306</v>
      </c>
      <c r="B277" s="2939" t="s">
        <v>3132</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3133</v>
      </c>
      <c r="C279" s="2943">
        <v>4760</v>
      </c>
      <c r="D279" s="2943">
        <v>4720</v>
      </c>
      <c r="E279" s="2943">
        <v>5540</v>
      </c>
      <c r="F279" s="2943">
        <v>810</v>
      </c>
      <c r="G279" s="2956">
        <v>2850</v>
      </c>
    </row>
    <row r="280" spans="1:7" s="2777" customFormat="1" ht="14.25" customHeight="1">
      <c r="A280" s="2943" t="s">
        <v>306</v>
      </c>
      <c r="B280" s="2943" t="s">
        <v>3134</v>
      </c>
      <c r="C280" s="2943">
        <v>4010</v>
      </c>
      <c r="D280" s="2943">
        <v>3950</v>
      </c>
      <c r="E280" s="2943">
        <v>4710</v>
      </c>
      <c r="F280" s="2943">
        <v>800</v>
      </c>
      <c r="G280" s="2956">
        <v>2390</v>
      </c>
    </row>
    <row r="281" spans="1:7" s="2777" customFormat="1" ht="14.25" customHeight="1">
      <c r="A281" s="2943" t="s">
        <v>306</v>
      </c>
      <c r="B281" s="2943" t="s">
        <v>3135</v>
      </c>
      <c r="C281" s="2943">
        <v>4480</v>
      </c>
      <c r="D281" s="2943">
        <v>4420</v>
      </c>
      <c r="E281" s="2943">
        <v>5230</v>
      </c>
      <c r="F281" s="2943">
        <v>870</v>
      </c>
      <c r="G281" s="2956">
        <v>2660</v>
      </c>
    </row>
    <row r="282" spans="1:7" s="2777" customFormat="1" ht="14.25" customHeight="1">
      <c r="A282" s="2943" t="s">
        <v>306</v>
      </c>
      <c r="B282" s="2943" t="s">
        <v>3136</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3137</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3138</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2913</v>
      </c>
      <c r="C293" s="2943">
        <v>5320</v>
      </c>
      <c r="D293" s="2943">
        <v>5270</v>
      </c>
      <c r="E293" s="2943">
        <v>6160</v>
      </c>
      <c r="F293" s="2943">
        <v>990</v>
      </c>
      <c r="G293" s="2956">
        <v>3170</v>
      </c>
    </row>
    <row r="294" spans="1:7" s="2777" customFormat="1" ht="14.25" customHeight="1">
      <c r="A294" s="2943" t="s">
        <v>306</v>
      </c>
      <c r="B294" s="2943" t="s">
        <v>3139</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2932</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3140</v>
      </c>
      <c r="C302" s="2943">
        <v>5520</v>
      </c>
      <c r="D302" s="2943">
        <v>5470</v>
      </c>
      <c r="E302" s="2943">
        <v>6410</v>
      </c>
      <c r="F302" s="2943">
        <v>950</v>
      </c>
      <c r="G302" s="2956">
        <v>3300</v>
      </c>
    </row>
    <row r="303" spans="1:7" s="2777" customFormat="1" ht="14.25" customHeight="1">
      <c r="A303" s="2943" t="s">
        <v>306</v>
      </c>
      <c r="B303" s="2943" t="s">
        <v>2952</v>
      </c>
      <c r="C303" s="2943">
        <v>5630</v>
      </c>
      <c r="D303" s="2943">
        <v>5590</v>
      </c>
      <c r="E303" s="2943">
        <v>6550</v>
      </c>
      <c r="F303" s="2943">
        <v>1010</v>
      </c>
      <c r="G303" s="2956">
        <v>3370</v>
      </c>
    </row>
    <row r="304" spans="1:7" s="2777" customFormat="1" ht="14.25" customHeight="1">
      <c r="A304" s="2943" t="s">
        <v>306</v>
      </c>
      <c r="B304" s="2943" t="s">
        <v>2959</v>
      </c>
      <c r="C304" s="2943">
        <v>5680</v>
      </c>
      <c r="D304" s="2943">
        <v>5620</v>
      </c>
      <c r="E304" s="2943">
        <v>6620</v>
      </c>
      <c r="F304" s="2943">
        <v>1050</v>
      </c>
      <c r="G304" s="2956">
        <v>3390</v>
      </c>
    </row>
    <row r="305" spans="1:7" s="2777" customFormat="1" ht="14.25" customHeight="1">
      <c r="A305" s="2943" t="s">
        <v>306</v>
      </c>
      <c r="B305" s="2943" t="s">
        <v>2965</v>
      </c>
      <c r="C305" s="2943">
        <v>5590</v>
      </c>
      <c r="D305" s="2943">
        <v>5530</v>
      </c>
      <c r="E305" s="2943">
        <v>6460</v>
      </c>
      <c r="F305" s="2943">
        <v>900</v>
      </c>
      <c r="G305" s="2956">
        <v>3340</v>
      </c>
    </row>
    <row r="306" spans="1:7" s="2777" customFormat="1" ht="14.25" customHeight="1">
      <c r="A306" s="2943" t="s">
        <v>306</v>
      </c>
      <c r="B306" s="2943" t="s">
        <v>3141</v>
      </c>
      <c r="C306" s="2943">
        <v>5560</v>
      </c>
      <c r="D306" s="2943">
        <v>5510</v>
      </c>
      <c r="E306" s="2943">
        <v>6440</v>
      </c>
      <c r="F306" s="2943">
        <v>900</v>
      </c>
      <c r="G306" s="2956">
        <v>3320</v>
      </c>
    </row>
    <row r="307" spans="1:7" s="2777" customFormat="1" ht="14.25" customHeight="1">
      <c r="A307" s="2943" t="s">
        <v>306</v>
      </c>
      <c r="B307" s="2943" t="s">
        <v>2977</v>
      </c>
      <c r="C307" s="2943">
        <v>5650</v>
      </c>
      <c r="D307" s="2943">
        <v>5600</v>
      </c>
      <c r="E307" s="2943">
        <v>6590</v>
      </c>
      <c r="F307" s="2943">
        <v>930</v>
      </c>
      <c r="G307" s="2956">
        <v>3380</v>
      </c>
    </row>
    <row r="308" spans="1:7" s="2777" customFormat="1" ht="14.25" customHeight="1">
      <c r="A308" s="2943" t="s">
        <v>306</v>
      </c>
      <c r="B308" s="2943" t="s">
        <v>3142</v>
      </c>
      <c r="C308" s="2943">
        <v>5620</v>
      </c>
      <c r="D308" s="2943">
        <v>5580</v>
      </c>
      <c r="E308" s="2943">
        <v>6540</v>
      </c>
      <c r="F308" s="2943">
        <v>910</v>
      </c>
      <c r="G308" s="2956">
        <v>3370</v>
      </c>
    </row>
    <row r="309" spans="1:7" s="2777" customFormat="1" ht="14.25" customHeight="1">
      <c r="A309" s="2943" t="s">
        <v>306</v>
      </c>
      <c r="B309" s="2943" t="s">
        <v>3143</v>
      </c>
      <c r="C309" s="2943">
        <v>5060</v>
      </c>
      <c r="D309" s="2943">
        <v>5020</v>
      </c>
      <c r="E309" s="2943">
        <v>6370</v>
      </c>
      <c r="F309" s="2943">
        <v>800</v>
      </c>
      <c r="G309" s="2956">
        <v>3020</v>
      </c>
    </row>
    <row r="310" spans="1:7" s="2777" customFormat="1" ht="14.25" customHeight="1">
      <c r="A310" s="2943" t="s">
        <v>306</v>
      </c>
      <c r="B310" s="2943" t="s">
        <v>2992</v>
      </c>
      <c r="C310" s="2943">
        <v>5150</v>
      </c>
      <c r="D310" s="2943">
        <v>5110</v>
      </c>
      <c r="E310" s="2943">
        <v>6500</v>
      </c>
      <c r="F310" s="2943">
        <v>880</v>
      </c>
      <c r="G310" s="2956">
        <v>3080</v>
      </c>
    </row>
    <row r="311" spans="1:7" s="2777" customFormat="1" ht="14.25" customHeight="1">
      <c r="A311" s="2943" t="s">
        <v>306</v>
      </c>
      <c r="B311" s="2943" t="s">
        <v>3144</v>
      </c>
      <c r="C311" s="2943">
        <v>4750</v>
      </c>
      <c r="D311" s="2943">
        <v>4710</v>
      </c>
      <c r="E311" s="2943">
        <v>5510</v>
      </c>
      <c r="F311" s="2943">
        <v>880</v>
      </c>
      <c r="G311" s="2956">
        <v>2840</v>
      </c>
    </row>
    <row r="312" spans="1:7" s="2777" customFormat="1" ht="14.25" customHeight="1">
      <c r="A312" s="2943" t="s">
        <v>306</v>
      </c>
      <c r="B312" s="2943" t="s">
        <v>3002</v>
      </c>
      <c r="C312" s="2943">
        <v>4690</v>
      </c>
      <c r="D312" s="2943">
        <v>4640</v>
      </c>
      <c r="E312" s="2943">
        <v>5420</v>
      </c>
      <c r="F312" s="2943">
        <v>800</v>
      </c>
      <c r="G312" s="2956">
        <v>2800</v>
      </c>
    </row>
    <row r="313" spans="1:7" s="2777" customFormat="1" ht="14.25" customHeight="1">
      <c r="A313" s="2943" t="s">
        <v>306</v>
      </c>
      <c r="B313" s="2943" t="s">
        <v>3007</v>
      </c>
      <c r="C313" s="2943">
        <v>4810</v>
      </c>
      <c r="D313" s="2943">
        <v>4760</v>
      </c>
      <c r="E313" s="2943">
        <v>5550</v>
      </c>
      <c r="F313" s="2943">
        <v>920</v>
      </c>
      <c r="G313" s="2956">
        <v>2870</v>
      </c>
    </row>
    <row r="314" spans="1:7" s="2777" customFormat="1" ht="14.25" customHeight="1">
      <c r="A314" s="2943" t="s">
        <v>306</v>
      </c>
      <c r="B314" s="2943" t="s">
        <v>3145</v>
      </c>
      <c r="C314" s="2943"/>
      <c r="D314" s="2943"/>
      <c r="E314" s="2943"/>
      <c r="F314" s="2943">
        <v>1020</v>
      </c>
      <c r="G314" s="2956"/>
    </row>
    <row r="315" spans="1:7" s="2777" customFormat="1" ht="14.25" customHeight="1">
      <c r="A315" s="2943" t="s">
        <v>306</v>
      </c>
      <c r="B315" s="2943" t="s">
        <v>3146</v>
      </c>
      <c r="C315" s="2943"/>
      <c r="D315" s="2943"/>
      <c r="E315" s="2943"/>
      <c r="F315" s="2943">
        <v>1050</v>
      </c>
      <c r="G315" s="2956"/>
    </row>
    <row r="316" spans="1:7" s="2777" customFormat="1" ht="14.25" customHeight="1">
      <c r="A316" s="2943" t="s">
        <v>306</v>
      </c>
      <c r="B316" s="2943" t="s">
        <v>3022</v>
      </c>
      <c r="C316" s="2943"/>
      <c r="D316" s="2943"/>
      <c r="E316" s="2943"/>
      <c r="F316" s="2943">
        <v>900</v>
      </c>
      <c r="G316" s="2956"/>
    </row>
    <row r="317" spans="1:7" s="2777" customFormat="1" ht="14.25" customHeight="1">
      <c r="A317" s="2943" t="s">
        <v>306</v>
      </c>
      <c r="B317" s="2943" t="s">
        <v>3147</v>
      </c>
      <c r="C317" s="2943"/>
      <c r="D317" s="2943"/>
      <c r="E317" s="2943"/>
      <c r="F317" s="2943">
        <v>920</v>
      </c>
      <c r="G317" s="2956"/>
    </row>
    <row r="318" spans="1:7" s="2777" customFormat="1" ht="14.25" customHeight="1">
      <c r="A318" s="2943" t="s">
        <v>306</v>
      </c>
      <c r="B318" s="2943" t="s">
        <v>3148</v>
      </c>
      <c r="C318" s="2943"/>
      <c r="D318" s="2943"/>
      <c r="E318" s="2943"/>
      <c r="F318" s="2943">
        <v>1080</v>
      </c>
      <c r="G318" s="2956"/>
    </row>
    <row r="319" spans="1:7" s="2777" customFormat="1" ht="14.25" customHeight="1">
      <c r="A319" s="2943" t="s">
        <v>306</v>
      </c>
      <c r="B319" s="2943" t="s">
        <v>3035</v>
      </c>
      <c r="C319" s="2943"/>
      <c r="D319" s="2943"/>
      <c r="E319" s="2943"/>
      <c r="F319" s="2943">
        <v>1020</v>
      </c>
      <c r="G319" s="2956"/>
    </row>
    <row r="320" spans="1:7" s="2777" customFormat="1" ht="14.25" customHeight="1">
      <c r="A320" s="2943" t="s">
        <v>306</v>
      </c>
      <c r="B320" s="2943" t="s">
        <v>3038</v>
      </c>
      <c r="C320" s="2943"/>
      <c r="D320" s="2943"/>
      <c r="E320" s="2943"/>
      <c r="F320" s="2943">
        <v>1050</v>
      </c>
      <c r="G320" s="2956"/>
    </row>
    <row r="321" spans="1:7" s="2777" customFormat="1" ht="14.25" customHeight="1">
      <c r="A321" s="2943" t="s">
        <v>306</v>
      </c>
      <c r="B321" s="2943" t="s">
        <v>3040</v>
      </c>
      <c r="C321" s="2943"/>
      <c r="D321" s="2943"/>
      <c r="E321" s="2943"/>
      <c r="F321" s="2943">
        <v>960</v>
      </c>
      <c r="G321" s="2956"/>
    </row>
    <row r="322" spans="1:7" s="2777" customFormat="1" ht="14.25" customHeight="1">
      <c r="A322" s="2943" t="s">
        <v>306</v>
      </c>
      <c r="B322" s="2943" t="s">
        <v>3042</v>
      </c>
      <c r="C322" s="2943"/>
      <c r="D322" s="2943"/>
      <c r="E322" s="2943"/>
      <c r="F322" s="2943">
        <v>960</v>
      </c>
      <c r="G322" s="2956"/>
    </row>
    <row r="323" spans="1:7" s="2777" customFormat="1" ht="14.25" customHeight="1">
      <c r="A323" s="2943" t="s">
        <v>306</v>
      </c>
      <c r="B323" s="2943" t="s">
        <v>3044</v>
      </c>
      <c r="C323" s="2943"/>
      <c r="D323" s="2943"/>
      <c r="E323" s="2943"/>
      <c r="F323" s="2943">
        <v>880</v>
      </c>
      <c r="G323" s="2956"/>
    </row>
    <row r="324" spans="1:7" s="2777" customFormat="1" ht="14.25" customHeight="1">
      <c r="A324" s="2943" t="s">
        <v>306</v>
      </c>
      <c r="B324" s="2943" t="s">
        <v>3046</v>
      </c>
      <c r="C324" s="2943"/>
      <c r="D324" s="2943"/>
      <c r="E324" s="2943"/>
      <c r="F324" s="2943">
        <v>930</v>
      </c>
      <c r="G324" s="2956"/>
    </row>
    <row r="325" spans="1:7" s="2777" customFormat="1" ht="14.25" customHeight="1">
      <c r="A325" s="2943" t="s">
        <v>306</v>
      </c>
      <c r="B325" s="2944" t="s">
        <v>3048</v>
      </c>
      <c r="C325" s="2943"/>
      <c r="D325" s="2943"/>
      <c r="E325" s="2943"/>
      <c r="F325" s="2943">
        <v>900</v>
      </c>
      <c r="G325" s="2956"/>
    </row>
    <row r="326" spans="1:7" s="2777" customFormat="1" ht="14.25" customHeight="1" thickBot="1">
      <c r="A326" s="2957" t="s">
        <v>306</v>
      </c>
      <c r="B326" s="2950" t="s">
        <v>3050</v>
      </c>
      <c r="C326" s="2950"/>
      <c r="D326" s="2950"/>
      <c r="E326" s="2950"/>
      <c r="F326" s="2950">
        <v>790</v>
      </c>
      <c r="G326" s="2958"/>
    </row>
    <row r="327" spans="1:7" s="2777" customFormat="1" ht="14.25" customHeight="1">
      <c r="A327" s="2948" t="s">
        <v>307</v>
      </c>
      <c r="B327" s="2939" t="s">
        <v>3149</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3150</v>
      </c>
      <c r="C329" s="2943">
        <v>2730</v>
      </c>
      <c r="D329" s="2943">
        <v>2690</v>
      </c>
      <c r="E329" s="2943">
        <v>3100</v>
      </c>
      <c r="F329" s="2943">
        <v>660</v>
      </c>
      <c r="G329" s="2943">
        <v>1610</v>
      </c>
    </row>
    <row r="330" spans="1:7" s="2777" customFormat="1" ht="14.25" customHeight="1">
      <c r="A330" s="2943" t="s">
        <v>307</v>
      </c>
      <c r="B330" s="2943" t="s">
        <v>3151</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2884</v>
      </c>
      <c r="C332" s="2943">
        <v>3520</v>
      </c>
      <c r="D332" s="2943">
        <v>3480</v>
      </c>
      <c r="E332" s="2943">
        <v>3830</v>
      </c>
      <c r="F332" s="2943">
        <v>720</v>
      </c>
      <c r="G332" s="2943">
        <v>2090</v>
      </c>
    </row>
    <row r="333" spans="1:7" s="2777" customFormat="1" ht="14.25" customHeight="1">
      <c r="A333" s="2943" t="s">
        <v>307</v>
      </c>
      <c r="B333" s="2943" t="s">
        <v>3152</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2894</v>
      </c>
      <c r="C336" s="2943">
        <v>3570</v>
      </c>
      <c r="D336" s="2943">
        <v>3530</v>
      </c>
      <c r="E336" s="2943">
        <v>3880</v>
      </c>
      <c r="F336" s="2943">
        <v>770</v>
      </c>
      <c r="G336" s="2943">
        <v>2110</v>
      </c>
    </row>
    <row r="337" spans="1:10" s="2777" customFormat="1" ht="14.25" customHeight="1">
      <c r="A337" s="2943" t="s">
        <v>307</v>
      </c>
      <c r="B337" s="2943" t="s">
        <v>3153</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3154</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3155</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2919</v>
      </c>
      <c r="C345" s="2943">
        <v>3190</v>
      </c>
      <c r="D345" s="2943">
        <v>3140</v>
      </c>
      <c r="E345" s="2943">
        <v>3450</v>
      </c>
      <c r="F345" s="2943">
        <v>720</v>
      </c>
      <c r="G345" s="2943">
        <v>1880</v>
      </c>
      <c r="J345" s="2777"/>
    </row>
    <row r="346" spans="1:10">
      <c r="A346" s="2943" t="s">
        <v>307</v>
      </c>
      <c r="B346" s="2943" t="s">
        <v>3156</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2928</v>
      </c>
      <c r="C348" s="2943">
        <v>4000</v>
      </c>
      <c r="D348" s="2943">
        <v>3950</v>
      </c>
      <c r="E348" s="2943">
        <v>4430</v>
      </c>
      <c r="F348" s="2943">
        <v>760</v>
      </c>
      <c r="G348" s="2943">
        <v>2360</v>
      </c>
      <c r="J348" s="2777"/>
    </row>
    <row r="349" spans="1:10">
      <c r="A349" s="2943" t="s">
        <v>307</v>
      </c>
      <c r="B349" s="2943" t="s">
        <v>2933</v>
      </c>
      <c r="C349" s="2943">
        <v>3820</v>
      </c>
      <c r="D349" s="2943">
        <v>3780</v>
      </c>
      <c r="E349" s="2943">
        <v>4170</v>
      </c>
      <c r="F349" s="2943">
        <v>710</v>
      </c>
      <c r="G349" s="2943">
        <v>2260</v>
      </c>
      <c r="J349" s="2777"/>
    </row>
    <row r="350" spans="1:10">
      <c r="A350" s="2943" t="s">
        <v>307</v>
      </c>
      <c r="B350" s="2943" t="s">
        <v>3157</v>
      </c>
      <c r="C350" s="2943">
        <v>3760</v>
      </c>
      <c r="D350" s="2943">
        <v>3730</v>
      </c>
      <c r="E350" s="2943">
        <v>4100</v>
      </c>
      <c r="F350" s="2943">
        <v>800</v>
      </c>
      <c r="G350" s="2943">
        <v>2230</v>
      </c>
      <c r="J350" s="2777"/>
    </row>
    <row r="351" spans="1:10">
      <c r="A351" s="2943" t="s">
        <v>307</v>
      </c>
      <c r="B351" s="2943" t="s">
        <v>2941</v>
      </c>
      <c r="C351" s="2943">
        <v>3610</v>
      </c>
      <c r="D351" s="2943">
        <v>3580</v>
      </c>
      <c r="E351" s="2943">
        <v>3930</v>
      </c>
      <c r="F351" s="2943">
        <v>700</v>
      </c>
      <c r="G351" s="2943">
        <v>2140</v>
      </c>
      <c r="J351" s="2777"/>
    </row>
    <row r="352" spans="1:10">
      <c r="A352" s="2943" t="s">
        <v>307</v>
      </c>
      <c r="B352" s="2943" t="s">
        <v>2946</v>
      </c>
      <c r="C352" s="2943">
        <v>3670</v>
      </c>
      <c r="D352" s="2943">
        <v>3630</v>
      </c>
      <c r="E352" s="2943">
        <v>4000</v>
      </c>
      <c r="F352" s="2943">
        <v>750</v>
      </c>
      <c r="G352" s="2943">
        <v>2180</v>
      </c>
    </row>
    <row r="353" spans="1:7" s="2778" customFormat="1">
      <c r="A353" s="2943" t="s">
        <v>307</v>
      </c>
      <c r="B353" s="2943" t="s">
        <v>3158</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2966</v>
      </c>
      <c r="C355" s="2943">
        <v>3650</v>
      </c>
      <c r="D355" s="2943">
        <v>3610</v>
      </c>
      <c r="E355" s="2943">
        <v>4200</v>
      </c>
      <c r="F355" s="2943">
        <v>640</v>
      </c>
      <c r="G355" s="2943">
        <v>2160</v>
      </c>
    </row>
    <row r="356" spans="1:7" s="2778" customFormat="1">
      <c r="A356" s="2943" t="s">
        <v>307</v>
      </c>
      <c r="B356" s="2943" t="s">
        <v>2973</v>
      </c>
      <c r="C356" s="2943">
        <v>3260</v>
      </c>
      <c r="D356" s="2943">
        <v>3230</v>
      </c>
      <c r="E356" s="2943">
        <v>3740</v>
      </c>
      <c r="F356" s="2943">
        <v>600</v>
      </c>
      <c r="G356" s="2943">
        <v>1930</v>
      </c>
    </row>
    <row r="357" spans="1:7" s="2778" customFormat="1" ht="11.4" thickBot="1">
      <c r="A357" s="2951" t="s">
        <v>307</v>
      </c>
      <c r="B357" s="2954" t="s">
        <v>3159</v>
      </c>
      <c r="C357" s="2954">
        <v>3690</v>
      </c>
      <c r="D357" s="2954">
        <v>3650</v>
      </c>
      <c r="E357" s="2954">
        <v>4020</v>
      </c>
      <c r="F357" s="2954">
        <v>700</v>
      </c>
      <c r="G357" s="2954">
        <v>2190</v>
      </c>
    </row>
    <row r="358" spans="1:7" s="2778" customFormat="1">
      <c r="A358" s="2948" t="s">
        <v>3160</v>
      </c>
      <c r="B358" s="2939" t="s">
        <v>3161</v>
      </c>
      <c r="C358" s="2939">
        <v>2080</v>
      </c>
      <c r="D358" s="2939">
        <v>2040</v>
      </c>
      <c r="E358" s="2939">
        <v>2010</v>
      </c>
      <c r="F358" s="2939">
        <v>530</v>
      </c>
      <c r="G358" s="2955">
        <v>1230</v>
      </c>
    </row>
    <row r="359" spans="1:7" s="2778" customFormat="1">
      <c r="A359" s="2943" t="s">
        <v>3160</v>
      </c>
      <c r="B359" s="2943" t="s">
        <v>3162</v>
      </c>
      <c r="C359" s="2943">
        <v>1850</v>
      </c>
      <c r="D359" s="2943">
        <v>1820</v>
      </c>
      <c r="E359" s="2943">
        <v>1780</v>
      </c>
      <c r="F359" s="2943">
        <v>520</v>
      </c>
      <c r="G359" s="2956">
        <v>1100</v>
      </c>
    </row>
    <row r="360" spans="1:7" s="2778" customFormat="1">
      <c r="A360" s="2943" t="s">
        <v>3160</v>
      </c>
      <c r="B360" s="2943" t="s">
        <v>3163</v>
      </c>
      <c r="C360" s="2943">
        <v>2020</v>
      </c>
      <c r="D360" s="2943">
        <v>1990</v>
      </c>
      <c r="E360" s="2943">
        <v>1950</v>
      </c>
      <c r="F360" s="2943">
        <v>500</v>
      </c>
      <c r="G360" s="2956">
        <v>1200</v>
      </c>
    </row>
    <row r="361" spans="1:7" s="2778" customFormat="1">
      <c r="A361" s="2943" t="s">
        <v>3160</v>
      </c>
      <c r="B361" s="2943" t="s">
        <v>153</v>
      </c>
      <c r="C361" s="2943">
        <v>2260</v>
      </c>
      <c r="D361" s="2943">
        <v>2220</v>
      </c>
      <c r="E361" s="2943">
        <v>2180</v>
      </c>
      <c r="F361" s="2943">
        <v>580</v>
      </c>
      <c r="G361" s="2956">
        <v>1340</v>
      </c>
    </row>
    <row r="362" spans="1:7" s="2778" customFormat="1">
      <c r="A362" s="2943" t="s">
        <v>3160</v>
      </c>
      <c r="B362" s="2943" t="s">
        <v>3164</v>
      </c>
      <c r="C362" s="2943">
        <v>2650</v>
      </c>
      <c r="D362" s="2943">
        <v>2610</v>
      </c>
      <c r="E362" s="2943">
        <v>2570</v>
      </c>
      <c r="F362" s="2943">
        <v>630</v>
      </c>
      <c r="G362" s="2956">
        <v>1570</v>
      </c>
    </row>
    <row r="363" spans="1:7" s="2778" customFormat="1">
      <c r="A363" s="2943" t="s">
        <v>3160</v>
      </c>
      <c r="B363" s="2943" t="s">
        <v>2885</v>
      </c>
      <c r="C363" s="2943">
        <v>2390</v>
      </c>
      <c r="D363" s="2943">
        <v>2360</v>
      </c>
      <c r="E363" s="2943">
        <v>2320</v>
      </c>
      <c r="F363" s="2943">
        <v>600</v>
      </c>
      <c r="G363" s="2956">
        <v>1420</v>
      </c>
    </row>
    <row r="364" spans="1:7" s="2778" customFormat="1">
      <c r="A364" s="2943" t="s">
        <v>3160</v>
      </c>
      <c r="B364" s="2943" t="s">
        <v>3165</v>
      </c>
      <c r="C364" s="2943">
        <v>2050</v>
      </c>
      <c r="D364" s="2943">
        <v>2030</v>
      </c>
      <c r="E364" s="2943">
        <v>1990</v>
      </c>
      <c r="F364" s="2943">
        <v>550</v>
      </c>
      <c r="G364" s="2956">
        <v>1220</v>
      </c>
    </row>
    <row r="365" spans="1:7" s="2778" customFormat="1">
      <c r="A365" s="2943" t="s">
        <v>3160</v>
      </c>
      <c r="B365" s="2943" t="s">
        <v>200</v>
      </c>
      <c r="C365" s="2943">
        <v>2140</v>
      </c>
      <c r="D365" s="2943">
        <v>2100</v>
      </c>
      <c r="E365" s="2943">
        <v>2060</v>
      </c>
      <c r="F365" s="2943">
        <v>540</v>
      </c>
      <c r="G365" s="2956">
        <v>1270</v>
      </c>
    </row>
    <row r="366" spans="1:7" s="2778" customFormat="1">
      <c r="A366" s="2943" t="s">
        <v>3160</v>
      </c>
      <c r="B366" s="2943" t="s">
        <v>2892</v>
      </c>
      <c r="C366" s="2943">
        <v>2410</v>
      </c>
      <c r="D366" s="2943">
        <v>2370</v>
      </c>
      <c r="E366" s="2943">
        <v>2330</v>
      </c>
      <c r="F366" s="2943">
        <v>570</v>
      </c>
      <c r="G366" s="2956">
        <v>1440</v>
      </c>
    </row>
    <row r="367" spans="1:7" s="2778" customFormat="1">
      <c r="A367" s="2943" t="s">
        <v>3160</v>
      </c>
      <c r="B367" s="2943" t="s">
        <v>3166</v>
      </c>
      <c r="C367" s="2943">
        <v>2300</v>
      </c>
      <c r="D367" s="2943">
        <v>2260</v>
      </c>
      <c r="E367" s="2943">
        <v>2220</v>
      </c>
      <c r="F367" s="2943">
        <v>560</v>
      </c>
      <c r="G367" s="2956">
        <v>1370</v>
      </c>
    </row>
    <row r="368" spans="1:7" s="2778" customFormat="1">
      <c r="A368" s="2943" t="s">
        <v>3160</v>
      </c>
      <c r="B368" s="2943" t="s">
        <v>3167</v>
      </c>
      <c r="C368" s="2943">
        <v>2430</v>
      </c>
      <c r="D368" s="2943">
        <v>2390</v>
      </c>
      <c r="E368" s="2943">
        <v>2350</v>
      </c>
      <c r="F368" s="2943">
        <v>570</v>
      </c>
      <c r="G368" s="2956">
        <v>1450</v>
      </c>
    </row>
    <row r="369" spans="1:7" s="2778" customFormat="1">
      <c r="A369" s="2943" t="s">
        <v>3160</v>
      </c>
      <c r="B369" s="2943" t="s">
        <v>214</v>
      </c>
      <c r="C369" s="2943">
        <v>2320</v>
      </c>
      <c r="D369" s="2943">
        <v>2290</v>
      </c>
      <c r="E369" s="2943">
        <v>2250</v>
      </c>
      <c r="F369" s="2943">
        <v>550</v>
      </c>
      <c r="G369" s="2956">
        <v>1380</v>
      </c>
    </row>
    <row r="370" spans="1:7" s="2778" customFormat="1">
      <c r="A370" s="2943" t="s">
        <v>3160</v>
      </c>
      <c r="B370" s="2943" t="s">
        <v>221</v>
      </c>
      <c r="C370" s="2943">
        <v>2190</v>
      </c>
      <c r="D370" s="2943">
        <v>2170</v>
      </c>
      <c r="E370" s="2943">
        <v>2130</v>
      </c>
      <c r="F370" s="2943">
        <v>530</v>
      </c>
      <c r="G370" s="2956">
        <v>1310</v>
      </c>
    </row>
    <row r="371" spans="1:7" s="2778" customFormat="1">
      <c r="A371" s="2943" t="s">
        <v>3160</v>
      </c>
      <c r="B371" s="2943" t="s">
        <v>229</v>
      </c>
      <c r="C371" s="2943">
        <v>2460</v>
      </c>
      <c r="D371" s="2943">
        <v>2420</v>
      </c>
      <c r="E371" s="2943">
        <v>2370</v>
      </c>
      <c r="F371" s="2943">
        <v>560</v>
      </c>
      <c r="G371" s="2956">
        <v>1470</v>
      </c>
    </row>
    <row r="372" spans="1:7" s="2778" customFormat="1">
      <c r="A372" s="2943" t="s">
        <v>3160</v>
      </c>
      <c r="B372" s="2943" t="s">
        <v>3168</v>
      </c>
      <c r="C372" s="2943">
        <v>2250</v>
      </c>
      <c r="D372" s="2943">
        <v>2210</v>
      </c>
      <c r="E372" s="2943">
        <v>2180</v>
      </c>
      <c r="F372" s="2943">
        <v>550</v>
      </c>
      <c r="G372" s="2956">
        <v>1340</v>
      </c>
    </row>
    <row r="373" spans="1:7" s="2778" customFormat="1">
      <c r="A373" s="2943" t="s">
        <v>3160</v>
      </c>
      <c r="B373" s="2943" t="s">
        <v>258</v>
      </c>
      <c r="C373" s="2943">
        <v>2210</v>
      </c>
      <c r="D373" s="2943">
        <v>2190</v>
      </c>
      <c r="E373" s="2943">
        <v>2150</v>
      </c>
      <c r="F373" s="2943">
        <v>530</v>
      </c>
      <c r="G373" s="2956">
        <v>1320</v>
      </c>
    </row>
    <row r="374" spans="1:7" s="2778" customFormat="1">
      <c r="A374" s="2943" t="s">
        <v>3160</v>
      </c>
      <c r="B374" s="2943" t="s">
        <v>266</v>
      </c>
      <c r="C374" s="2943">
        <v>2320</v>
      </c>
      <c r="D374" s="2943">
        <v>2280</v>
      </c>
      <c r="E374" s="2943">
        <v>2230</v>
      </c>
      <c r="F374" s="2943">
        <v>580</v>
      </c>
      <c r="G374" s="2956">
        <v>1380</v>
      </c>
    </row>
    <row r="375" spans="1:7" s="2778" customFormat="1">
      <c r="A375" s="2943" t="s">
        <v>3160</v>
      </c>
      <c r="B375" s="2943" t="s">
        <v>3169</v>
      </c>
      <c r="C375" s="2943">
        <v>2090</v>
      </c>
      <c r="D375" s="2943">
        <v>2050</v>
      </c>
      <c r="E375" s="2943">
        <v>2020</v>
      </c>
      <c r="F375" s="2943">
        <v>520</v>
      </c>
      <c r="G375" s="2956">
        <v>1240</v>
      </c>
    </row>
    <row r="376" spans="1:7" s="2778" customFormat="1">
      <c r="A376" s="2943" t="s">
        <v>3160</v>
      </c>
      <c r="B376" s="2943" t="s">
        <v>277</v>
      </c>
      <c r="C376" s="2943">
        <v>2010</v>
      </c>
      <c r="D376" s="2943">
        <v>1980</v>
      </c>
      <c r="E376" s="2943">
        <v>1940</v>
      </c>
      <c r="F376" s="2943">
        <v>540</v>
      </c>
      <c r="G376" s="2956">
        <v>1190</v>
      </c>
    </row>
    <row r="377" spans="1:7" s="2778" customFormat="1" ht="11.4" thickBot="1">
      <c r="A377" s="2951" t="s">
        <v>3160</v>
      </c>
      <c r="B377" s="2954" t="s">
        <v>2922</v>
      </c>
      <c r="C377" s="2954">
        <v>1930</v>
      </c>
      <c r="D377" s="2954">
        <v>1890</v>
      </c>
      <c r="E377" s="2954">
        <v>1860</v>
      </c>
      <c r="F377" s="2954">
        <v>530</v>
      </c>
      <c r="G377" s="2959">
        <v>1150</v>
      </c>
    </row>
    <row r="378" spans="1:7" s="2778" customFormat="1">
      <c r="A378" s="2960" t="s">
        <v>3170</v>
      </c>
      <c r="B378" s="2939" t="s">
        <v>3171</v>
      </c>
      <c r="C378" s="2939">
        <v>1520</v>
      </c>
      <c r="D378" s="2939">
        <v>1490</v>
      </c>
      <c r="E378" s="2939">
        <v>1460</v>
      </c>
      <c r="F378" s="2939">
        <v>460</v>
      </c>
      <c r="G378" s="2955">
        <v>940</v>
      </c>
    </row>
    <row r="379" spans="1:7" s="2778" customFormat="1">
      <c r="A379" s="2961" t="s">
        <v>3170</v>
      </c>
      <c r="B379" s="2943" t="s">
        <v>3172</v>
      </c>
      <c r="C379" s="2943">
        <v>1500</v>
      </c>
      <c r="D379" s="2943">
        <v>1470</v>
      </c>
      <c r="E379" s="2943">
        <v>1430</v>
      </c>
      <c r="F379" s="2943">
        <v>460</v>
      </c>
      <c r="G379" s="2956">
        <v>920</v>
      </c>
    </row>
    <row r="380" spans="1:7" s="2778" customFormat="1">
      <c r="A380" s="2961" t="s">
        <v>3170</v>
      </c>
      <c r="B380" s="2943" t="s">
        <v>3173</v>
      </c>
      <c r="C380" s="2943">
        <v>1620</v>
      </c>
      <c r="D380" s="2943">
        <v>1590</v>
      </c>
      <c r="E380" s="2943">
        <v>1560</v>
      </c>
      <c r="F380" s="2943">
        <v>480</v>
      </c>
      <c r="G380" s="2956">
        <v>1000</v>
      </c>
    </row>
    <row r="381" spans="1:7" s="2778" customFormat="1">
      <c r="A381" s="2961" t="s">
        <v>3170</v>
      </c>
      <c r="B381" s="2943" t="s">
        <v>3174</v>
      </c>
      <c r="C381" s="2943">
        <v>1460</v>
      </c>
      <c r="D381" s="2943">
        <v>1430</v>
      </c>
      <c r="E381" s="2943">
        <v>1390</v>
      </c>
      <c r="F381" s="2943">
        <v>450</v>
      </c>
      <c r="G381" s="2956">
        <v>900</v>
      </c>
    </row>
    <row r="382" spans="1:7" s="2778" customFormat="1">
      <c r="A382" s="2961" t="s">
        <v>3170</v>
      </c>
      <c r="B382" s="2943" t="s">
        <v>3175</v>
      </c>
      <c r="C382" s="2943">
        <v>1310</v>
      </c>
      <c r="D382" s="2943">
        <v>1280</v>
      </c>
      <c r="E382" s="2943">
        <v>1250</v>
      </c>
      <c r="F382" s="2943">
        <v>440</v>
      </c>
      <c r="G382" s="2956">
        <v>800</v>
      </c>
    </row>
    <row r="383" spans="1:7" s="2778" customFormat="1">
      <c r="A383" s="2961" t="s">
        <v>3170</v>
      </c>
      <c r="B383" s="2943" t="s">
        <v>3176</v>
      </c>
      <c r="C383" s="2943">
        <v>1260</v>
      </c>
      <c r="D383" s="2943">
        <v>1230</v>
      </c>
      <c r="E383" s="2943">
        <v>1200</v>
      </c>
      <c r="F383" s="2943">
        <v>420</v>
      </c>
      <c r="G383" s="2956">
        <v>770</v>
      </c>
    </row>
    <row r="384" spans="1:7" s="2778" customFormat="1" ht="11.4" thickBot="1">
      <c r="A384" s="2962" t="s">
        <v>3170</v>
      </c>
      <c r="B384" s="2950" t="s">
        <v>3177</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9"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78"/>
  <sheetViews>
    <sheetView workbookViewId="0">
      <selection activeCell="G20" sqref="G20"/>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45826</v>
      </c>
      <c r="D1" s="1216" t="s">
        <v>603</v>
      </c>
      <c r="E1" s="1211">
        <f>'数据-取费表'!B22</f>
        <v>2</v>
      </c>
      <c r="F1" s="1216" t="s">
        <v>604</v>
      </c>
      <c r="G1" s="1212">
        <f ca="1">INDIRECT("d"&amp;$K$1)/100</f>
        <v>0.03</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1">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2"/>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2306</v>
      </c>
      <c r="C27" s="1206">
        <v>43697</v>
      </c>
      <c r="D27" s="2570">
        <v>4.25</v>
      </c>
      <c r="E27" s="2570">
        <v>4.25</v>
      </c>
      <c r="F27" s="2570">
        <v>4.25</v>
      </c>
      <c r="G27" s="2570">
        <v>4.25</v>
      </c>
      <c r="H27" s="2570">
        <v>4.8499999999999996</v>
      </c>
      <c r="I27" s="2570"/>
      <c r="J27" s="2570"/>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3"/>
      <c r="C28" s="2574">
        <v>42301</v>
      </c>
      <c r="D28" s="2575">
        <v>4.3499999999999996</v>
      </c>
      <c r="E28" s="2575">
        <v>4.3499999999999996</v>
      </c>
      <c r="F28" s="2575">
        <v>4.75</v>
      </c>
      <c r="G28" s="2575">
        <v>4.75</v>
      </c>
      <c r="H28" s="2575">
        <v>4.9000000000000004</v>
      </c>
      <c r="I28" s="2575"/>
      <c r="J28" s="2575"/>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7"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79" t="s">
        <v>956</v>
      </c>
      <c r="B15" s="3274" t="s">
        <v>109</v>
      </c>
      <c r="C15" s="3275"/>
    </row>
    <row r="16" spans="1:7" ht="14.4">
      <c r="A16" s="3280"/>
      <c r="B16" s="3274" t="s">
        <v>42</v>
      </c>
      <c r="C16" s="3275"/>
    </row>
    <row r="17" spans="1:3" ht="14.4">
      <c r="A17" s="3280"/>
      <c r="B17" s="3277" t="s">
        <v>957</v>
      </c>
      <c r="C17" s="1428" t="s">
        <v>956</v>
      </c>
    </row>
    <row r="18" spans="1:3" ht="14.4">
      <c r="A18" s="3280"/>
      <c r="B18" s="3277"/>
      <c r="C18" s="1428" t="s">
        <v>958</v>
      </c>
    </row>
    <row r="19" spans="1:3" ht="14.4">
      <c r="A19" s="3280"/>
      <c r="B19" s="3277"/>
      <c r="C19" s="1428" t="s">
        <v>959</v>
      </c>
    </row>
    <row r="20" spans="1:3" ht="14.4">
      <c r="A20" s="3281"/>
      <c r="B20" s="3276" t="s">
        <v>960</v>
      </c>
      <c r="C20" s="3275"/>
    </row>
    <row r="21" spans="1:3" ht="14.4">
      <c r="A21" s="1429" t="s">
        <v>961</v>
      </c>
      <c r="B21" s="1430"/>
      <c r="C21" s="1431"/>
    </row>
    <row r="22" spans="1:3" ht="14.4">
      <c r="A22" s="3278" t="s">
        <v>962</v>
      </c>
      <c r="B22" s="3276" t="s">
        <v>963</v>
      </c>
      <c r="C22" s="3275"/>
    </row>
    <row r="23" spans="1:3" ht="14.4">
      <c r="A23" s="3278"/>
      <c r="B23" s="3276" t="s">
        <v>964</v>
      </c>
      <c r="C23" s="3275"/>
    </row>
    <row r="24" spans="1:3" ht="14.4">
      <c r="A24" s="3278"/>
      <c r="B24" s="3276" t="s">
        <v>965</v>
      </c>
      <c r="C24" s="3275"/>
    </row>
    <row r="25" spans="1:3" ht="14.4">
      <c r="A25" s="3278"/>
      <c r="B25" s="3277" t="s">
        <v>966</v>
      </c>
      <c r="C25" s="1428" t="s">
        <v>967</v>
      </c>
    </row>
    <row r="26" spans="1:3" ht="14.4">
      <c r="A26" s="3278"/>
      <c r="B26" s="3277"/>
      <c r="C26" s="1428" t="s">
        <v>968</v>
      </c>
    </row>
    <row r="27" spans="1:3" ht="14.4">
      <c r="A27" s="3278"/>
      <c r="B27" s="3277"/>
      <c r="C27" s="1428" t="s">
        <v>969</v>
      </c>
    </row>
    <row r="28" spans="1:3" ht="14.4">
      <c r="A28" s="3278"/>
      <c r="B28" s="3277"/>
      <c r="C28" s="1428" t="s">
        <v>970</v>
      </c>
    </row>
    <row r="29" spans="1:3" ht="14.4">
      <c r="A29" s="3278"/>
      <c r="B29" s="3277"/>
      <c r="C29" s="1428" t="s">
        <v>971</v>
      </c>
    </row>
    <row r="30" spans="1:3" ht="14.4">
      <c r="A30" s="3278"/>
      <c r="B30" s="3277"/>
      <c r="C30" s="1428" t="s">
        <v>972</v>
      </c>
    </row>
    <row r="31" spans="1:3" ht="14.4">
      <c r="A31" s="3278"/>
      <c r="B31" s="3277"/>
      <c r="C31" s="1428" t="s">
        <v>973</v>
      </c>
    </row>
    <row r="32" spans="1:3" ht="14.4">
      <c r="A32" s="3278"/>
      <c r="B32" s="3277"/>
      <c r="C32" s="1428" t="s">
        <v>974</v>
      </c>
    </row>
    <row r="33" spans="1:3" ht="14.4">
      <c r="A33" s="3278"/>
      <c r="B33" s="3277"/>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1" customWidth="1"/>
    <col min="2" max="2" width="38.6640625" style="2151" customWidth="1"/>
    <col min="3" max="3" width="26" style="2151" customWidth="1"/>
    <col min="4" max="4" width="35" style="2151" hidden="1" customWidth="1"/>
    <col min="5" max="5" width="30.109375" style="2151" customWidth="1"/>
    <col min="6" max="6" width="35.44140625" style="2151" customWidth="1"/>
    <col min="7" max="7" width="31" style="2151" customWidth="1"/>
    <col min="8" max="8" width="37.44140625" style="2151" hidden="1" customWidth="1"/>
    <col min="9" max="16384" width="22.6640625" style="2151"/>
  </cols>
  <sheetData>
    <row r="1" spans="1:8" ht="24" customHeight="1">
      <c r="A1" s="2150"/>
      <c r="B1" s="2150"/>
      <c r="C1" s="2150"/>
      <c r="D1" s="2150"/>
      <c r="E1" s="2150"/>
      <c r="F1" s="2150"/>
      <c r="G1" s="2150"/>
      <c r="H1" s="2150"/>
    </row>
    <row r="2" spans="1:8" ht="24" customHeight="1">
      <c r="A2" s="2152" t="s">
        <v>2136</v>
      </c>
      <c r="B2" s="2153">
        <f ca="1">TODAY()</f>
        <v>45827</v>
      </c>
      <c r="C2" s="2154" t="s">
        <v>2137</v>
      </c>
      <c r="D2" s="2154"/>
      <c r="E2" s="2154"/>
      <c r="F2" s="2150"/>
      <c r="G2" s="2150"/>
      <c r="H2" s="2150"/>
    </row>
    <row r="3" spans="1:8" ht="24" customHeight="1">
      <c r="A3" s="2155" t="s">
        <v>2138</v>
      </c>
      <c r="B3" s="1218" t="s">
        <v>2139</v>
      </c>
      <c r="C3" s="1218" t="s">
        <v>2140</v>
      </c>
      <c r="D3" s="2156" t="s">
        <v>2141</v>
      </c>
      <c r="E3" s="2157" t="s">
        <v>2142</v>
      </c>
      <c r="F3" s="1218" t="s">
        <v>2143</v>
      </c>
      <c r="G3" s="1218" t="s">
        <v>2140</v>
      </c>
      <c r="H3" s="2156" t="s">
        <v>2144</v>
      </c>
    </row>
    <row r="4" spans="1:8" ht="24" customHeight="1">
      <c r="A4" s="1218" t="s">
        <v>2145</v>
      </c>
      <c r="B4" s="1218">
        <f ca="1">IF(C4&lt;B2,"已过期",1119970066)</f>
        <v>1119970066</v>
      </c>
      <c r="C4" s="2158">
        <v>45937</v>
      </c>
      <c r="D4" s="2159" t="str">
        <f ca="1">A4&amp;"（注册号："&amp;B4&amp;"）"</f>
        <v>梁津（注册号：1119970066）</v>
      </c>
      <c r="E4" s="2160" t="s">
        <v>2145</v>
      </c>
      <c r="F4" s="1218">
        <f ca="1">IF(G4&lt;B2,"已过期",96010014)</f>
        <v>96010014</v>
      </c>
      <c r="G4" s="2161">
        <v>47118</v>
      </c>
      <c r="H4" s="2162" t="str">
        <f ca="1">E4&amp;"（注册号："&amp;F4&amp;"）"</f>
        <v>梁津（注册号：96010014）</v>
      </c>
    </row>
    <row r="5" spans="1:8" ht="24" customHeight="1">
      <c r="A5" s="1218" t="s">
        <v>2146</v>
      </c>
      <c r="B5" s="1218">
        <f ca="1">IF(C5&lt;B2,"已过期",1119970111)</f>
        <v>1119970111</v>
      </c>
      <c r="C5" s="2158">
        <v>45937</v>
      </c>
      <c r="D5" s="2159" t="str">
        <f t="shared" ref="D5:D15" ca="1" si="0">A5&amp;"（注册号："&amp;B5&amp;"）"</f>
        <v>叶凌（注册号：1119970111）</v>
      </c>
      <c r="E5" s="2160" t="s">
        <v>2146</v>
      </c>
      <c r="F5" s="1218">
        <f ca="1">IF(G5&lt;B2,"已过期",94010078)</f>
        <v>94010078</v>
      </c>
      <c r="G5" s="2161">
        <v>46387</v>
      </c>
      <c r="H5" s="2162" t="str">
        <f t="shared" ref="H5:H16" ca="1" si="1">E5&amp;"（注册号："&amp;F5&amp;"）"</f>
        <v>叶凌（注册号：94010078）</v>
      </c>
    </row>
    <row r="6" spans="1:8" ht="24" customHeight="1">
      <c r="A6" s="1218" t="s">
        <v>2147</v>
      </c>
      <c r="B6" s="1218" t="str">
        <f ca="1">IF(C6&lt;B2,"已过期",1120050019)</f>
        <v>已过期</v>
      </c>
      <c r="C6" s="2158">
        <v>45410</v>
      </c>
      <c r="D6" s="2159" t="str">
        <f t="shared" ca="1" si="0"/>
        <v>王鹏（注册号：已过期）</v>
      </c>
      <c r="E6" s="2160" t="s">
        <v>2147</v>
      </c>
      <c r="F6" s="1218">
        <f ca="1">IF(G6&lt;B2,"已过期",2002110030)</f>
        <v>2002110030</v>
      </c>
      <c r="G6" s="2161">
        <v>46387</v>
      </c>
      <c r="H6" s="2162" t="str">
        <f t="shared" ca="1" si="1"/>
        <v>王鹏（注册号：2002110030）</v>
      </c>
    </row>
    <row r="7" spans="1:8" ht="24" customHeight="1">
      <c r="A7" s="1218" t="s">
        <v>2148</v>
      </c>
      <c r="B7" s="1218">
        <f ca="1">IF(C7&lt;B2,"已过期",1120000080)</f>
        <v>1120000080</v>
      </c>
      <c r="C7" s="2158">
        <v>45937</v>
      </c>
      <c r="D7" s="2159" t="str">
        <f t="shared" ca="1" si="0"/>
        <v>欧红伟（注册号：1120000080）</v>
      </c>
      <c r="E7" s="2160" t="s">
        <v>2148</v>
      </c>
      <c r="F7" s="1218">
        <f ca="1">IF(G7&lt;B2,"已过期",2000110082)</f>
        <v>2000110082</v>
      </c>
      <c r="G7" s="2161">
        <v>46387</v>
      </c>
      <c r="H7" s="2162" t="str">
        <f t="shared" ca="1" si="1"/>
        <v>欧红伟（注册号：2000110082）</v>
      </c>
    </row>
    <row r="8" spans="1:8" ht="24" customHeight="1">
      <c r="A8" s="1218" t="s">
        <v>2149</v>
      </c>
      <c r="B8" s="1218">
        <f ca="1">IF(C8&lt;B2,"已过期",1419970001)</f>
        <v>1419970001</v>
      </c>
      <c r="C8" s="2158">
        <v>45937</v>
      </c>
      <c r="D8" s="2159" t="str">
        <f t="shared" ca="1" si="0"/>
        <v>吴薇（注册号：1419970001）</v>
      </c>
      <c r="E8" s="2160" t="s">
        <v>2149</v>
      </c>
      <c r="F8" s="1218">
        <f ca="1">IF(G8&lt;B2,"已过期",2002110125)</f>
        <v>2002110125</v>
      </c>
      <c r="G8" s="2161">
        <v>47118</v>
      </c>
      <c r="H8" s="2162" t="str">
        <f t="shared" ca="1" si="1"/>
        <v>吴薇（注册号：2002110125）</v>
      </c>
    </row>
    <row r="9" spans="1:8" ht="24" customHeight="1">
      <c r="A9" s="1218" t="s">
        <v>2150</v>
      </c>
      <c r="B9" s="1218" t="str">
        <f ca="1">IF(C9&lt;B2,"已过期",1120060040)</f>
        <v>已过期</v>
      </c>
      <c r="C9" s="2163">
        <v>45592</v>
      </c>
      <c r="D9" s="2159" t="str">
        <f t="shared" ca="1" si="0"/>
        <v>陈颖（注册号：已过期）</v>
      </c>
      <c r="E9" s="2160" t="s">
        <v>2150</v>
      </c>
      <c r="F9" s="1218">
        <f ca="1">IF(G9&lt;B2,"已过期",2004110096)</f>
        <v>2004110096</v>
      </c>
      <c r="G9" s="2161">
        <v>47118</v>
      </c>
      <c r="H9" s="2162" t="str">
        <f t="shared" ca="1" si="1"/>
        <v>陈颖（注册号：2004110096）</v>
      </c>
    </row>
    <row r="10" spans="1:8" ht="24" customHeight="1">
      <c r="A10" s="1218" t="s">
        <v>2151</v>
      </c>
      <c r="B10" s="1218" t="str">
        <f ca="1">IF(C10&lt;B2,"已过期",1120100036)</f>
        <v>已过期</v>
      </c>
      <c r="C10" s="2163">
        <v>45752</v>
      </c>
      <c r="D10" s="2159" t="str">
        <f t="shared" ca="1" si="0"/>
        <v>崔锴（注册号：已过期）</v>
      </c>
      <c r="E10" s="2160" t="s">
        <v>2151</v>
      </c>
      <c r="F10" s="1218">
        <f ca="1">IF(G10&lt;B2,"已过期",2010110070)</f>
        <v>2010110070</v>
      </c>
      <c r="G10" s="2161">
        <v>47907</v>
      </c>
      <c r="H10" s="2162" t="str">
        <f t="shared" ca="1" si="1"/>
        <v>崔锴（注册号：2010110070）</v>
      </c>
    </row>
    <row r="11" spans="1:8" ht="24" customHeight="1">
      <c r="A11" s="1218" t="s">
        <v>2152</v>
      </c>
      <c r="B11" s="1218">
        <f ca="1">IF(C11&lt;B2,"已过期",1120070131)</f>
        <v>1120070131</v>
      </c>
      <c r="C11" s="2158">
        <v>45937</v>
      </c>
      <c r="D11" s="2159" t="str">
        <f t="shared" ca="1" si="0"/>
        <v>郑燚（注册号：1120070131）</v>
      </c>
      <c r="E11" s="2160" t="s">
        <v>2152</v>
      </c>
      <c r="F11" s="1218">
        <f ca="1">IF(G11&lt;B2,"已过期",2014110011)</f>
        <v>2014110011</v>
      </c>
      <c r="G11" s="2161">
        <v>49302</v>
      </c>
      <c r="H11" s="2162" t="str">
        <f t="shared" ca="1" si="1"/>
        <v>郑燚（注册号：2014110011）</v>
      </c>
    </row>
    <row r="12" spans="1:8" ht="24" customHeight="1">
      <c r="A12" s="1218" t="s">
        <v>2153</v>
      </c>
      <c r="B12" s="1218">
        <f ca="1">IF(C12&lt;B2,"已过期",1120040230)</f>
        <v>1120040230</v>
      </c>
      <c r="C12" s="2163">
        <v>45937</v>
      </c>
      <c r="D12" s="2159" t="str">
        <f t="shared" ca="1" si="0"/>
        <v>苏海（注册号：1120040230）</v>
      </c>
      <c r="E12" s="2160" t="s">
        <v>2153</v>
      </c>
      <c r="F12" s="1218">
        <f ca="1">IF(G12&lt;B2,"已过期",98030020)</f>
        <v>98030020</v>
      </c>
      <c r="G12" s="2161">
        <v>47118</v>
      </c>
      <c r="H12" s="2162" t="str">
        <f t="shared" ca="1" si="1"/>
        <v>苏海（注册号：98030020）</v>
      </c>
    </row>
    <row r="13" spans="1:8" ht="24" customHeight="1">
      <c r="A13" s="1218" t="s">
        <v>2154</v>
      </c>
      <c r="B13" s="1218" t="str">
        <f ca="1">IF(C13&lt;B2,"已过期",1120020033)</f>
        <v>已过期</v>
      </c>
      <c r="C13" s="2158">
        <v>45375</v>
      </c>
      <c r="D13" s="2159" t="str">
        <f t="shared" ca="1" si="0"/>
        <v>刘敬东（注册号：已过期）</v>
      </c>
      <c r="E13" s="2160" t="s">
        <v>2154</v>
      </c>
      <c r="F13" s="1218">
        <f ca="1">IF(G13&lt;B2,"已过期",2000110137)</f>
        <v>2000110137</v>
      </c>
      <c r="G13" s="2161">
        <v>46387</v>
      </c>
      <c r="H13" s="2162" t="str">
        <f t="shared" ca="1" si="1"/>
        <v>刘敬东（注册号：2000110137）</v>
      </c>
    </row>
    <row r="14" spans="1:8" ht="24" customHeight="1">
      <c r="A14" s="1218" t="s">
        <v>2155</v>
      </c>
      <c r="B14" s="1218" t="str">
        <f ca="1">IF(C14&lt;B2,"已过期",1119980106)</f>
        <v>已过期</v>
      </c>
      <c r="C14" s="2163">
        <v>44969</v>
      </c>
      <c r="D14" s="2159" t="str">
        <f t="shared" ca="1" si="0"/>
        <v>刘俊财（注册号：已过期）</v>
      </c>
      <c r="E14" s="2160" t="s">
        <v>2155</v>
      </c>
      <c r="F14" s="1218">
        <f ca="1">IF(G14&lt;B2,"已过期",96010063)</f>
        <v>96010063</v>
      </c>
      <c r="G14" s="2161">
        <v>47483</v>
      </c>
      <c r="H14" s="2162" t="str">
        <f t="shared" ca="1" si="1"/>
        <v>刘俊财（注册号：96010063）</v>
      </c>
    </row>
    <row r="15" spans="1:8" ht="24" customHeight="1">
      <c r="A15" s="1218" t="s">
        <v>2434</v>
      </c>
      <c r="B15" s="1218">
        <v>1120210056</v>
      </c>
      <c r="C15" s="2163">
        <v>45410</v>
      </c>
      <c r="D15" s="2159" t="str">
        <f t="shared" si="0"/>
        <v>宁小鳗（注册号：1120210056）</v>
      </c>
      <c r="E15" s="2160" t="s">
        <v>2156</v>
      </c>
      <c r="F15" s="1218">
        <f ca="1">IF(G15&lt;B2,"已过期",2011110090)</f>
        <v>2011110090</v>
      </c>
      <c r="G15" s="2161">
        <v>48302</v>
      </c>
      <c r="H15" s="2162" t="str">
        <f t="shared" ca="1" si="1"/>
        <v>赵雯（注册号：2011110090）</v>
      </c>
    </row>
    <row r="16" spans="1:8" ht="24" customHeight="1">
      <c r="A16" s="1218"/>
      <c r="B16" s="1218"/>
      <c r="C16" s="1218"/>
      <c r="D16" s="2159" t="str">
        <f>A16&amp;"（注册号："&amp;B16&amp;"）"</f>
        <v>（注册号：）</v>
      </c>
      <c r="E16" s="2160"/>
      <c r="F16" s="1218"/>
      <c r="G16" s="1218"/>
      <c r="H16" s="2164" t="str">
        <f t="shared" si="1"/>
        <v>（注册号：）</v>
      </c>
    </row>
    <row r="17" spans="1:8" ht="24" customHeight="1">
      <c r="A17" s="3282" t="s">
        <v>2157</v>
      </c>
      <c r="B17" s="3282"/>
      <c r="C17" s="3282"/>
      <c r="D17" s="3282"/>
      <c r="E17" s="3282"/>
      <c r="F17" s="3282"/>
      <c r="G17" s="3282"/>
      <c r="H17" s="3282"/>
    </row>
    <row r="18" spans="1:8" ht="24" customHeight="1">
      <c r="A18" s="3283" t="s">
        <v>2158</v>
      </c>
      <c r="B18" s="3283"/>
      <c r="C18" s="3283"/>
      <c r="D18" s="2156"/>
      <c r="E18" s="3284" t="s">
        <v>2159</v>
      </c>
      <c r="F18" s="3283"/>
      <c r="G18" s="3283"/>
    </row>
    <row r="19" spans="1:8" s="2166" customFormat="1" ht="24" customHeight="1">
      <c r="A19" s="2165" t="s">
        <v>2160</v>
      </c>
      <c r="B19" s="1218" t="s">
        <v>2161</v>
      </c>
      <c r="C19" s="1218" t="s">
        <v>2140</v>
      </c>
      <c r="D19" s="2156"/>
      <c r="E19" s="2160" t="s">
        <v>2160</v>
      </c>
      <c r="F19" s="1218" t="s">
        <v>2161</v>
      </c>
      <c r="G19" s="1218" t="s">
        <v>2140</v>
      </c>
    </row>
    <row r="20" spans="1:8" s="2166" customFormat="1" ht="24" customHeight="1">
      <c r="A20" s="2167" t="s">
        <v>2162</v>
      </c>
      <c r="B20" s="2167" t="s">
        <v>2163</v>
      </c>
      <c r="C20" s="2161">
        <v>45898</v>
      </c>
      <c r="D20" s="2168"/>
      <c r="E20" s="2169" t="s">
        <v>2164</v>
      </c>
      <c r="F20" s="2172" t="s">
        <v>2435</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5" type="noConversion"/>
  <conditionalFormatting sqref="A16:C16">
    <cfRule type="cellIs" dxfId="182" priority="32" stopIfTrue="1" operator="equal">
      <formula>"已过期"</formula>
    </cfRule>
  </conditionalFormatting>
  <conditionalFormatting sqref="B4:B15">
    <cfRule type="cellIs" dxfId="181" priority="4" stopIfTrue="1" operator="equal">
      <formula>"已过期"</formula>
    </cfRule>
  </conditionalFormatting>
  <conditionalFormatting sqref="C7:C12">
    <cfRule type="expression" dxfId="180" priority="22">
      <formula>AND($C7-TODAY()&lt;30,TODAY()&lt;$C7)</formula>
    </cfRule>
    <cfRule type="cellIs" dxfId="179" priority="23" stopIfTrue="1" operator="lessThan">
      <formula>$B$2</formula>
    </cfRule>
  </conditionalFormatting>
  <conditionalFormatting sqref="C14:C15">
    <cfRule type="expression" dxfId="178" priority="7">
      <formula>AND($C14-TODAY()&lt;30,TODAY()&lt;$C14)</formula>
    </cfRule>
    <cfRule type="cellIs" dxfId="177" priority="8" stopIfTrue="1" operator="lessThan">
      <formula>$B$2</formula>
    </cfRule>
  </conditionalFormatting>
  <conditionalFormatting sqref="C4:D6 D14">
    <cfRule type="cellIs" dxfId="176" priority="50" stopIfTrue="1" operator="lessThan">
      <formula>$B$2</formula>
    </cfRule>
  </conditionalFormatting>
  <conditionalFormatting sqref="C12:D13">
    <cfRule type="expression" dxfId="175" priority="47">
      <formula>AND($C12-TODAY()&lt;30,TODAY()&lt;$C12)</formula>
    </cfRule>
  </conditionalFormatting>
  <conditionalFormatting sqref="C13:D14">
    <cfRule type="expression" dxfId="174" priority="18">
      <formula>AND($C13-TODAY()&lt;30,TODAY()&lt;$C13)</formula>
    </cfRule>
    <cfRule type="cellIs" dxfId="173" priority="19" stopIfTrue="1" operator="lessThan">
      <formula>$B$2</formula>
    </cfRule>
  </conditionalFormatting>
  <conditionalFormatting sqref="C15:D15">
    <cfRule type="expression" dxfId="172" priority="5">
      <formula>AND($C15-TODAY()&lt;30,TODAY()&lt;$C15)</formula>
    </cfRule>
    <cfRule type="cellIs" dxfId="171" priority="6" stopIfTrue="1" operator="lessThan">
      <formula>$B$2</formula>
    </cfRule>
  </conditionalFormatting>
  <conditionalFormatting sqref="C20:D20 C13:D13">
    <cfRule type="cellIs" dxfId="170" priority="54" stopIfTrue="1" operator="lessThan">
      <formula>$B$2</formula>
    </cfRule>
  </conditionalFormatting>
  <conditionalFormatting sqref="C20:D20">
    <cfRule type="expression" dxfId="169" priority="52">
      <formula>AND($C20-TODAY()&lt;30,TODAY()&lt;$C20)</formula>
    </cfRule>
  </conditionalFormatting>
  <conditionalFormatting sqref="D7:D12 D16">
    <cfRule type="expression" dxfId="168" priority="53">
      <formula>AND($C7-TODAY()&lt;30,TODAY()&lt;$C7)</formula>
    </cfRule>
  </conditionalFormatting>
  <conditionalFormatting sqref="D7:D12">
    <cfRule type="cellIs" dxfId="167" priority="48" stopIfTrue="1" operator="lessThan">
      <formula>$B$2</formula>
    </cfRule>
  </conditionalFormatting>
  <conditionalFormatting sqref="D14 C4:D6">
    <cfRule type="expression" dxfId="166" priority="49">
      <formula>AND($C4-TODAY()&lt;30,TODAY()&lt;$C4)</formula>
    </cfRule>
  </conditionalFormatting>
  <conditionalFormatting sqref="D15:D16">
    <cfRule type="expression" dxfId="165" priority="12">
      <formula>AND($C15-TODAY()&lt;30,TODAY()&lt;$C15)</formula>
    </cfRule>
    <cfRule type="cellIs" dxfId="164" priority="13" stopIfTrue="1" operator="lessThan">
      <formula>$B$2</formula>
    </cfRule>
  </conditionalFormatting>
  <conditionalFormatting sqref="E16:G16">
    <cfRule type="cellIs" dxfId="163" priority="31" stopIfTrue="1" operator="equal">
      <formula>"已过期"</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164</vt:i4>
      </vt:variant>
    </vt:vector>
  </HeadingPairs>
  <TitlesOfParts>
    <vt:vector size="22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结果表-住宅</vt:lpstr>
      <vt:lpstr>成本法 (元)</vt:lpstr>
      <vt:lpstr>假设开发法</vt:lpstr>
      <vt:lpstr>比较法-住宅</vt:lpstr>
      <vt:lpstr>成本法-住宅</vt:lpstr>
      <vt:lpstr>土地比较法-住宅、综合</vt:lpstr>
      <vt:lpstr>典型户型修正</vt:lpstr>
      <vt:lpstr>土地比较法案例-中指</vt:lpstr>
      <vt:lpstr>土地案例1</vt:lpstr>
      <vt:lpstr>土地案例2</vt:lpstr>
      <vt:lpstr>土地案例3</vt:lpstr>
      <vt:lpstr>收益法-酒店模型</vt:lpstr>
      <vt:lpstr>收益法（汇总）</vt:lpstr>
      <vt:lpstr>比较法-商业</vt:lpstr>
      <vt:lpstr>比较法-办公</vt:lpstr>
      <vt:lpstr>比较法-工业</vt:lpstr>
      <vt:lpstr>结果表 -车位</vt:lpstr>
      <vt:lpstr>比较法-车位</vt:lpstr>
      <vt:lpstr>收益法 (元)</vt:lpstr>
      <vt:lpstr>典型户型修正-车位</vt:lpstr>
      <vt:lpstr>产权证信息</vt:lpstr>
      <vt:lpstr>住宅面积信息</vt:lpstr>
      <vt:lpstr>车位面积信息</vt:lpstr>
      <vt:lpstr>中指成交案例</vt:lpstr>
      <vt:lpstr>售价案例</vt:lpstr>
      <vt:lpstr>住宅租金案例</vt:lpstr>
      <vt:lpstr>Sheet7</vt:lpstr>
      <vt:lpstr>基准地价修正-住宅</vt:lpstr>
      <vt:lpstr>成本法-车位</vt:lpstr>
      <vt:lpstr>基准地价修正-车位</vt:lpstr>
      <vt:lpstr>比较法-仓储</vt:lpstr>
      <vt:lpstr>土地比较法-工业</vt:lpstr>
      <vt:lpstr>收益法-住宅</vt:lpstr>
      <vt:lpstr>收益法 （车位）</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'成本法-车位'!Print_Area</vt:lpstr>
      <vt:lpstr>'成本法-住宅'!Print_Area</vt:lpstr>
      <vt:lpstr>估价对象房地状况!Print_Area</vt:lpstr>
      <vt:lpstr>估价师及机构信息!Print_Area</vt:lpstr>
      <vt:lpstr>'基准地价（汇总）'!Print_Area</vt:lpstr>
      <vt:lpstr>'基准地价修正-车位'!Print_Area</vt:lpstr>
      <vt:lpstr>'基准地价修正-住宅'!Print_Area</vt:lpstr>
      <vt:lpstr>假设开发法!Print_Area</vt:lpstr>
      <vt:lpstr>'结果表 -车位'!Print_Area</vt:lpstr>
      <vt:lpstr>'结果表-住宅'!Print_Area</vt:lpstr>
      <vt:lpstr>'收益法 （车位）'!Print_Area</vt:lpstr>
      <vt:lpstr>'收益法 (元)'!Print_Area</vt:lpstr>
      <vt:lpstr>'收益法（汇总）'!Print_Area</vt:lpstr>
      <vt:lpstr>'收益法-住宅'!Print_Area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'基准地价修正-车位'!季度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'典型户型修正-车位'!一修多修正项2</vt:lpstr>
      <vt:lpstr>一修多修正项2</vt:lpstr>
      <vt:lpstr>'典型户型修正-车位'!一修多修正项3</vt:lpstr>
      <vt:lpstr>一修多修正项3</vt:lpstr>
      <vt:lpstr>'典型户型修正-车位'!一修多修正项4</vt:lpstr>
      <vt:lpstr>一修多修正项4</vt:lpstr>
      <vt:lpstr>'典型户型修正-车位'!一修多修正项5</vt:lpstr>
      <vt:lpstr>一修多修正项5</vt:lpstr>
      <vt:lpstr>'典型户型修正-车位'!一修多修正项6</vt:lpstr>
      <vt:lpstr>一修多修正项6</vt:lpstr>
      <vt:lpstr>'典型户型修正-车位'!一修多修正项7</vt:lpstr>
      <vt:lpstr>一修多修正项7</vt:lpstr>
      <vt:lpstr>'典型户型修正-车位'!一修多修正项8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2025-06-19T07:36:42Z</dcterms:modified>
</cp:coreProperties>
</file>