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1-0780复估单\P11复估-1098-1100号\"/>
    </mc:Choice>
  </mc:AlternateContent>
  <xr:revisionPtr revIDLastSave="0" documentId="13_ncr:1_{267DE1C9-019D-446D-A68D-7DD78458225C}"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面积" sheetId="81" r:id="rId8"/>
    <sheet name="使用说明" sheetId="41" r:id="rId9"/>
    <sheet name="估价师及机构信息" sheetId="49" r:id="rId10"/>
    <sheet name="定义" sheetId="1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Sheet1" sheetId="80" r:id="rId20"/>
    <sheet name="成本法" sheetId="68" state="hidden" r:id="rId21"/>
    <sheet name="成本法 (元)" sheetId="69" state="hidden" r:id="rId22"/>
    <sheet name="假设开发法" sheetId="12" state="hidden" r:id="rId23"/>
    <sheet name="收益法" sheetId="15" state="hidden"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9">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'[1]比较法-办公'!$B$119:$M$119</definedName>
    <definedName name="办公层高">'比较法-办公'!$B$119:$M$119</definedName>
    <definedName name="办公朝向" localSheetId="7">'[1]比较法-办公'!$B$91:$M$91</definedName>
    <definedName name="办公朝向">'比较法-办公'!$B$91:$M$91</definedName>
    <definedName name="办公道路级别" localSheetId="7">'[1]比较法-办公'!$B$87:$M$87</definedName>
    <definedName name="办公道路级别">'比较法-办公'!$B$87:$M$87</definedName>
    <definedName name="办公公共部分装修" localSheetId="7">'[1]比较法-办公'!$B$108:$M$108</definedName>
    <definedName name="办公公共部分装修">'比较法-办公'!$B$108:$M$108</definedName>
    <definedName name="办公基础设施水平" localSheetId="7">'[1]比较法-办公'!$B$117:$M$117</definedName>
    <definedName name="办公基础设施水平">'比较法-办公'!$B$117:$M$117</definedName>
    <definedName name="办公集聚程度" localSheetId="7">[1]定义!$M$1:$M$6</definedName>
    <definedName name="办公集聚程度">定义!$M$1:$M$6</definedName>
    <definedName name="办公建筑结构" localSheetId="7">'[1]比较法-办公'!$B$106:$M$106</definedName>
    <definedName name="办公建筑结构">'比较法-办公'!$B$106:$M$106</definedName>
    <definedName name="办公建筑类型" localSheetId="7">'[1]比较法-办公'!$B$101:$M$101</definedName>
    <definedName name="办公建筑类型">'比较法-办公'!$B$101:$M$101</definedName>
    <definedName name="办公交易情况" localSheetId="7">'[1]比较法-办公'!$A$62:$M$62</definedName>
    <definedName name="办公交易情况">'比较法-办公'!$A$62:$M$62</definedName>
    <definedName name="办公楼层" localSheetId="7">'[1]比较法-办公'!$B$89:$M$89</definedName>
    <definedName name="办公楼层">'比较法-办公'!$B$89:$M$89</definedName>
    <definedName name="办公内部装修" localSheetId="7">'[1]比较法-办公'!$B$123:$M$123</definedName>
    <definedName name="办公内部装修">'比较法-办公'!$B$123:$M$123</definedName>
    <definedName name="办公物业管理" localSheetId="7">'[1]比较法-办公'!$B$115:$M$115</definedName>
    <definedName name="办公物业管理">'比较法-办公'!$B$115:$M$115</definedName>
    <definedName name="办公用途" localSheetId="7">'[1]比较法-办公'!$B$64:$M$64</definedName>
    <definedName name="办公用途">'比较法-办公'!$B$64:$M$64</definedName>
    <definedName name="仓储公共部分装修" localSheetId="7">'[1]比较法-仓储'!$B$77:$M$77</definedName>
    <definedName name="仓储公共部分装修">'比较法-仓储'!$B$77:$M$77</definedName>
    <definedName name="仓储交易情况" localSheetId="7">'[1]比较法-仓储'!$A$49:$M$49</definedName>
    <definedName name="仓储交易情况">'比较法-仓储'!$A$49:$M$49</definedName>
    <definedName name="仓储楼层" localSheetId="7">'[1]比较法-仓储'!$B$69:$M$69</definedName>
    <definedName name="仓储楼层">'比较法-仓储'!$B$69:$M$69</definedName>
    <definedName name="仓储物业等级" localSheetId="7">'[1]比较法-仓储'!$B$82:$M$82</definedName>
    <definedName name="仓储物业等级">'比较法-仓储'!$B$82:$M$82</definedName>
    <definedName name="仓储用途" localSheetId="7">'[1]比较法-仓储'!$B$51:$M$51</definedName>
    <definedName name="仓储用途">'比较法-仓储'!$B$51:$M$51</definedName>
    <definedName name="产业集聚程度" localSheetId="7">[1]定义!$N$1:$N$6</definedName>
    <definedName name="产业集聚程度">定义!$N$1:$N$6</definedName>
    <definedName name="车位公共部分装修" localSheetId="7">'[1]比较法-车位'!$B$83:$M$83</definedName>
    <definedName name="车位公共部分装修">'比较法-车位'!$B$83:$M$83</definedName>
    <definedName name="车位交易情况" localSheetId="7">'[1]比较法-车位'!$A$51:$M$51</definedName>
    <definedName name="车位交易情况">'比较法-车位'!$A$51:$M$51</definedName>
    <definedName name="车位类型" localSheetId="7">'[1]比较法-车位'!$B$93:$M$93</definedName>
    <definedName name="车位类型">'比较法-车位'!$B$93:$M$93</definedName>
    <definedName name="车位楼层" localSheetId="7">'[1]比较法-车位'!$B$71:$M$71</definedName>
    <definedName name="车位楼层">'比较法-车位'!$B$71:$M$71</definedName>
    <definedName name="车位配套类型" localSheetId="7">'[1]比较法-车位'!$B$79:$M$79</definedName>
    <definedName name="车位配套类型">'比较法-车位'!$B$79:$M$79</definedName>
    <definedName name="车位物业等级" localSheetId="7">'[1]比较法-车位'!$B$88:$M$88</definedName>
    <definedName name="车位物业等级">'比较法-车位'!$B$88:$M$88</definedName>
    <definedName name="车位用途" localSheetId="7">'[1]比较法-车位'!$B$53:$M$53</definedName>
    <definedName name="车位用途">'比较法-车位'!$B$53:$M$53</definedName>
    <definedName name="城镇土地纳税等级分级范围" localSheetId="7">'[1]数据-取费表'!$A$53:$A$63</definedName>
    <definedName name="城镇土地纳税等级分级范围">'数据-取费表'!$A$53:$A$63</definedName>
    <definedName name="单价内涵" localSheetId="7">[1]定义!$V$1:$V$3</definedName>
    <definedName name="单价内涵">定义!$V$1:$V$3</definedName>
    <definedName name="地类判定" localSheetId="7">[1]定义!$H$1:$H$9</definedName>
    <definedName name="地类判定">定义!$H$1:$H$9</definedName>
    <definedName name="二级">区片价!$J$1:$J$21</definedName>
    <definedName name="二级分类" localSheetId="7">[1]修正!$C$19:$C$51</definedName>
    <definedName name="二级分类">修正!$C$19:$C$53</definedName>
    <definedName name="法定最高年限" localSheetId="7">[1]定义!$G$1:$G$6</definedName>
    <definedName name="法定最高年限">定义!$G$1:$G$6</definedName>
    <definedName name="工业">定义!$AB$2:$AB$12</definedName>
    <definedName name="工业公共部分装修" localSheetId="7">'[1]比较法-工业'!$B$95:$M$95</definedName>
    <definedName name="工业公共部分装修">'比较法-工业'!$B$95:$M$95</definedName>
    <definedName name="工业基础设施水平" localSheetId="7">'[1]比较法-工业'!$B$102:$M$102</definedName>
    <definedName name="工业基础设施水平">'比较法-工业'!$B$102:$M$102</definedName>
    <definedName name="工业建筑结构" localSheetId="7">'[1]比较法-工业'!$B$93:$M$93</definedName>
    <definedName name="工业建筑结构">'比较法-工业'!$B$93:$M$93</definedName>
    <definedName name="工业建筑类型" localSheetId="7">'[1]比较法-工业'!$B$88:$M$88</definedName>
    <definedName name="工业建筑类型">'比较法-工业'!$B$88:$M$88</definedName>
    <definedName name="工业交易情况" localSheetId="7">'[1]比较法-工业'!$A$55:$M$55</definedName>
    <definedName name="工业交易情况">'比较法-工业'!$A$55:$M$55</definedName>
    <definedName name="工业内部装修" localSheetId="7">'[1]比较法-工业'!$B$104:$M$104</definedName>
    <definedName name="工业内部装修">'比较法-工业'!$B$104:$M$104</definedName>
    <definedName name="工业物业管理" localSheetId="7">'[1]比较法-工业'!$B$100:$M$100</definedName>
    <definedName name="工业物业管理">'比较法-工业'!$B$100:$M$100</definedName>
    <definedName name="工业用途" localSheetId="7">'[1]比较法-工业'!$B$57:$M$57</definedName>
    <definedName name="工业用途">'比较法-工业'!$B$57:$M$57</definedName>
    <definedName name="公共服务">定义!$Z$2:$Z$14</definedName>
    <definedName name="公共配套设施" localSheetId="7">[1]定义!$Q$1:$Q$6</definedName>
    <definedName name="公共配套设施">定义!$Q$1:$Q$6</definedName>
    <definedName name="估价范围判定" localSheetId="7">[1]定义!$D$1:$D$4</definedName>
    <definedName name="估价范围判定">定义!$D$1:$D$4</definedName>
    <definedName name="估价方法" localSheetId="7">[1]定义!$B$1:$B$50</definedName>
    <definedName name="估价方法">定义!$B$1:$B$50</definedName>
    <definedName name="环境" localSheetId="7">[1]定义!$S$1:$S$6</definedName>
    <definedName name="环境">定义!$S$1:$S$6</definedName>
    <definedName name="基础设施水平" localSheetId="7">[1]定义!$R$1:$R$6</definedName>
    <definedName name="基础设施水平">定义!$R$1:$R$6</definedName>
    <definedName name="季度">基准地价修正!$Q$19:$AD$19</definedName>
    <definedName name="价值类型2" localSheetId="7">[1]定义!$B$54:$B$56</definedName>
    <definedName name="价值类型2">定义!$B$54:$B$56</definedName>
    <definedName name="交通便捷度" localSheetId="7">[1]定义!$O$1:$O$6</definedName>
    <definedName name="交通便捷度">定义!$O$1:$O$6</definedName>
    <definedName name="九级">区片价!$Q$1:$Q$51</definedName>
    <definedName name="居住社区成熟度" localSheetId="7">[1]定义!$K$1:$K$6</definedName>
    <definedName name="居住社区成熟度">定义!$K$1:$K$6</definedName>
    <definedName name="类别" localSheetId="7">[1]定义!$J$1:$J$3</definedName>
    <definedName name="类别">定义!$J$1:$J$3</definedName>
    <definedName name="临街状况" localSheetId="7">[1]定义!$T$1:$T$5</definedName>
    <definedName name="临街状况">定义!$T$1:$T$5</definedName>
    <definedName name="六级">区片价!$N$1:$N$64</definedName>
    <definedName name="内部装修维护情况" localSheetId="7">[1]定义!$U$1:$U$6</definedName>
    <definedName name="内部装修维护情况">定义!$U$1:$U$6</definedName>
    <definedName name="七级">区片价!$O$1:$O$45</definedName>
    <definedName name="七通一平" localSheetId="7">[1]修正!$A$8:$A$16</definedName>
    <definedName name="七通一平">修正!$A$8:$A$16</definedName>
    <definedName name="区域土地利用方向" localSheetId="7">[1]定义!$P$1:$P$6</definedName>
    <definedName name="区域土地利用方向">定义!$P$1:$P$6</definedName>
    <definedName name="三级">区片价!$K$1:$K$26</definedName>
    <definedName name="商业">定义!$X$2:$X$9</definedName>
    <definedName name="商业层高" localSheetId="7">'[1]比较法-商业'!$B$116:$M$116</definedName>
    <definedName name="商业层高">'比较法-商业'!$B$116:$M$116</definedName>
    <definedName name="商业成新度">'比较法-商业'!$B$109:$M$109</definedName>
    <definedName name="商业繁华度" localSheetId="7">[1]定义!$L$1:$L$6</definedName>
    <definedName name="商业繁华度">定义!$L$1:$L$6</definedName>
    <definedName name="商业公共部分装修" localSheetId="7">'[1]比较法-商业'!$B$107:$M$107</definedName>
    <definedName name="商业公共部分装修">'比较法-商业'!$B$107:$M$107</definedName>
    <definedName name="商业基础设施水平" localSheetId="7">'[1]比较法-商业'!$B$112:$M$112</definedName>
    <definedName name="商业基础设施水平">'比较法-商业'!$B$112:$M$112</definedName>
    <definedName name="商业建筑结构" localSheetId="7">'[1]比较法-商业'!$B$105:$M$105</definedName>
    <definedName name="商业建筑结构">'比较法-商业'!$B$105:$M$105</definedName>
    <definedName name="商业交易情况" localSheetId="7">'[1]比较法-商业'!$A$61:$M$61</definedName>
    <definedName name="商业交易情况">'比较法-商业'!$A$61:$M$61</definedName>
    <definedName name="商业街名称" localSheetId="7">[1]修正!$C$71:$C$138</definedName>
    <definedName name="商业街名称">修正!$C$73:$C$140</definedName>
    <definedName name="商业进深比" localSheetId="7">'[1]比较法-商业'!$B$120:$M$120</definedName>
    <definedName name="商业进深比">'比较法-商业'!$B$120:$M$120</definedName>
    <definedName name="商业类型" localSheetId="7">'[1]比较法-商业'!$B$100:$M$100</definedName>
    <definedName name="商业类型">'比较法-商业'!$B$100:$M$100</definedName>
    <definedName name="商业临街状况" localSheetId="7">'[1]比较法-商业'!$B$86:$M$86</definedName>
    <definedName name="商业临街状况">'比较法-商业'!$B$86:$M$86</definedName>
    <definedName name="商业楼层" localSheetId="7">'[1]比较法-商业'!$B$92:$M$92</definedName>
    <definedName name="商业楼层">'比较法-商业'!$B$92:$M$92</definedName>
    <definedName name="商业内部装修" localSheetId="7">'[1]比较法-商业'!$B$122:$M$122</definedName>
    <definedName name="商业内部装修">'比较法-商业'!$B$122:$M$122</definedName>
    <definedName name="商业人流量" localSheetId="7">'[1]比较法-商业'!$B$90:$M$90</definedName>
    <definedName name="商业人流量">'比较法-商业'!$B$90:$M$90</definedName>
    <definedName name="商业业态" localSheetId="7">'[1]比较法-商业'!$B$114:$M$114</definedName>
    <definedName name="商业业态">'比较法-商业'!$B$114:$M$114</definedName>
    <definedName name="商业用途" localSheetId="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7">'[1]比较法-仓储'!$B$89:$M$89</definedName>
    <definedName name="是否封闭">'比较法-仓储'!$B$89:$M$89</definedName>
    <definedName name="是否直接入户" localSheetId="7">'[1]比较法-车位'!$B$95:$M$95</definedName>
    <definedName name="是否直接入户">'比较法-车位'!$B$95:$M$95</definedName>
    <definedName name="四级">区片价!$L$1:$L$33</definedName>
    <definedName name="套工道路等级" localSheetId="7">'[1]土地比较法-工业'!$B$97:$M$97</definedName>
    <definedName name="套工道路等级">'土地比较法-工业'!$B$97:$M$97</definedName>
    <definedName name="套工地质条件" localSheetId="7">'[1]土地比较法-工业'!$B$114:$M$114</definedName>
    <definedName name="套工地质条件">'土地比较法-工业'!$B$114:$M$114</definedName>
    <definedName name="套工交易情况" localSheetId="7">'[1]土地比较法-住宅、综合'!$A$72:$M$72</definedName>
    <definedName name="套工交易情况">'土地比较法-住宅、综合'!$A$72:$M$72</definedName>
    <definedName name="套工土地级别" localSheetId="7">'[1]土地比较法-工业'!$B$99:$M$99</definedName>
    <definedName name="套工土地级别">'土地比较法-工业'!$B$99:$M$99</definedName>
    <definedName name="套工用途" localSheetId="7">'[1]土地比较法-工业'!$B$70:$M$70</definedName>
    <definedName name="套工用途">'土地比较法-工业'!$B$70:$M$70</definedName>
    <definedName name="套工宗地开发程度" localSheetId="7">'[1]土地比较法-工业'!$B$112:$M$112</definedName>
    <definedName name="套工宗地开发程度">'土地比较法-工业'!$B$112:$M$112</definedName>
    <definedName name="套工宗地形状" localSheetId="7">'[1]土地比较法-工业'!$B$110:$M$110</definedName>
    <definedName name="套工宗地形状">'土地比较法-工业'!$B$110:$M$110</definedName>
    <definedName name="套综道路等级" localSheetId="7">'[1]土地比较法-住宅、综合'!$B$105:$M$105</definedName>
    <definedName name="套综道路等级">'土地比较法-住宅、综合'!$B$105:$M$105</definedName>
    <definedName name="套综工程地质条件" localSheetId="7">'[1]土地比较法-住宅、综合'!$B$124:$M$124</definedName>
    <definedName name="套综工程地质条件">'土地比较法-住宅、综合'!$B$124:$M$124</definedName>
    <definedName name="套综交易情况" localSheetId="7">'[1]土地比较法-住宅、综合'!$A$72:$M$72</definedName>
    <definedName name="套综交易情况">'土地比较法-住宅、综合'!$A$72:$M$72</definedName>
    <definedName name="套综临街宽度及深度" localSheetId="7">'[1]土地比较法-住宅、综合'!$B$120:$M$120</definedName>
    <definedName name="套综临街宽度及深度">'土地比较法-住宅、综合'!$B$120:$M$120</definedName>
    <definedName name="套综土地级别" localSheetId="7">'[1]土地比较法-住宅、综合'!$B$107:$M$107</definedName>
    <definedName name="套综土地级别">'土地比较法-住宅、综合'!$B$107:$M$107</definedName>
    <definedName name="套综用途" localSheetId="7">'[1]土地比较法-住宅、综合'!$B$74:$M$74</definedName>
    <definedName name="套综用途">'土地比较法-住宅、综合'!$B$74:$M$74</definedName>
    <definedName name="套综宗地内开发程度" localSheetId="7">'[1]土地比较法-住宅、综合'!$B$122:$M$122</definedName>
    <definedName name="套综宗地内开发程度">'土地比较法-住宅、综合'!$B$122:$M$122</definedName>
    <definedName name="套综宗地形状" localSheetId="7">'[1]土地比较法-住宅、综合'!$B$118:$M$118</definedName>
    <definedName name="套综宗地形状">'土地比较法-住宅、综合'!$B$118:$M$118</definedName>
    <definedName name="土地估价师">估价师及机构信息!$D$3:$D$24</definedName>
    <definedName name="土地级别" localSheetId="7">[1]定义!$C$1:$C$14</definedName>
    <definedName name="土地级别">定义!$C$1:$C$14</definedName>
    <definedName name="土地利用方向">定义!$P$1:$P$6</definedName>
    <definedName name="土地年限区间">定义!$I$1:$I$16</definedName>
    <definedName name="位置" localSheetId="7">[1]定义!$E$2:$E$4</definedName>
    <definedName name="位置">定义!$E$2:$E$4</definedName>
    <definedName name="五等判定" localSheetId="7">[1]定义!$W$1:$W$6</definedName>
    <definedName name="五等判定">定义!$W$1:$W$6</definedName>
    <definedName name="五级">区片价!$M$1:$M$41</definedName>
    <definedName name="项目类型" localSheetId="7">'[1]数据-汇总表'!$C$17:$C$26</definedName>
    <definedName name="项目类型" localSheetId="26">'[2]数据-汇总表'!$C$17:$C$26</definedName>
    <definedName name="项目类型">'数据-汇总表'!$C$17:$C$26</definedName>
    <definedName name="写字楼等级" localSheetId="7">'[1]比较法-办公'!$B$113:$M$113</definedName>
    <definedName name="写字楼等级">'比较法-办公'!$B$113:$M$113</definedName>
    <definedName name="一级">区片价!$I$1:$I$6</definedName>
    <definedName name="一修多修正项2" localSheetId="7">[1]典型户型修正!$5:$5</definedName>
    <definedName name="一修多修正项2">典型户型修正!$5:$5</definedName>
    <definedName name="一修多修正项3" localSheetId="7">[1]典型户型修正!$7:$7</definedName>
    <definedName name="一修多修正项3">典型户型修正!$7:$7</definedName>
    <definedName name="一修多修正项4" localSheetId="7">[1]典型户型修正!$9:$9</definedName>
    <definedName name="一修多修正项4">典型户型修正!$9:$9</definedName>
    <definedName name="一修多修正项5" localSheetId="7">[1]典型户型修正!$11:$11</definedName>
    <definedName name="一修多修正项5">典型户型修正!$11:$11</definedName>
    <definedName name="一修多修正项6" localSheetId="7">[1]典型户型修正!$13:$13</definedName>
    <definedName name="一修多修正项6">典型户型修正!$13:$13</definedName>
    <definedName name="一修多修正项7" localSheetId="7">[1]典型户型修正!$15:$15</definedName>
    <definedName name="一修多修正项7">典型户型修正!$15:$15</definedName>
    <definedName name="一修多修正项8" localSheetId="7">[1]典型户型修正!$17:$17</definedName>
    <definedName name="一修多修正项8">典型户型修正!$17:$17</definedName>
    <definedName name="用途明细" localSheetId="7">[1]定义!$A$1:$A$50</definedName>
    <definedName name="用途明细">定义!$A$1:$A$50</definedName>
    <definedName name="有无电梯" localSheetId="7">'[1]比较法-仓储'!$B$84:$M$84</definedName>
    <definedName name="有无电梯">'比较法-仓储'!$B$84:$M$84</definedName>
    <definedName name="主用途" localSheetId="7">[1]定义!$F$1:$F$12</definedName>
    <definedName name="主用途">定义!$F$1:$F$12</definedName>
    <definedName name="住宅">定义!$AA$2</definedName>
    <definedName name="住宅朝向" localSheetId="7">'[1]比较法-住宅'!$B$88:$M$88</definedName>
    <definedName name="住宅朝向">'比较法-住宅'!$B$88:$M$88</definedName>
    <definedName name="住宅房型" localSheetId="7">'[1]比较法-住宅'!$B$118:$M$118</definedName>
    <definedName name="住宅房型">'比较法-住宅'!$B$118:$M$118</definedName>
    <definedName name="住宅公共部分装修" localSheetId="7">'[1]比较法-住宅'!$B$109:$M$109</definedName>
    <definedName name="住宅公共部分装修">'比较法-住宅'!$B$109:$M$109</definedName>
    <definedName name="住宅基础设施水平" localSheetId="7">'[1]比较法-住宅'!$B$116:$M$116</definedName>
    <definedName name="住宅基础设施水平">'比较法-住宅'!$B$116:$M$116</definedName>
    <definedName name="住宅建筑结构" localSheetId="7">'[1]比较法-住宅'!$B$105:$M$105</definedName>
    <definedName name="住宅建筑结构">'比较法-住宅'!$B$105:$M$105</definedName>
    <definedName name="住宅建筑类型" localSheetId="7">'[1]比较法-住宅'!$B$100:$M$100</definedName>
    <definedName name="住宅建筑类型">'比较法-住宅'!$B$100:$M$100</definedName>
    <definedName name="住宅建筑品质" localSheetId="7">'[1]比较法-住宅'!$B$107:$M$107</definedName>
    <definedName name="住宅建筑品质">'比较法-住宅'!$B$107:$M$107</definedName>
    <definedName name="住宅交易情况" localSheetId="7">'[1]比较法-住宅'!$A$61:$M$61</definedName>
    <definedName name="住宅交易情况">'比较法-住宅'!$A$61:$M$61</definedName>
    <definedName name="住宅楼层" localSheetId="7">'[1]比较法-住宅'!$B$86:$M$86</definedName>
    <definedName name="住宅楼层">'比较法-住宅'!$B$86:$M$86</definedName>
    <definedName name="住宅内部装修" localSheetId="7">'[1]比较法-住宅'!$B$122:$M$122</definedName>
    <definedName name="住宅内部装修">'比较法-住宅'!$B$122:$M$122</definedName>
    <definedName name="住宅物业管理" localSheetId="7">'[1]比较法-住宅'!$B$114:$M$114</definedName>
    <definedName name="住宅物业管理">'比较法-住宅'!$B$114:$M$114</definedName>
    <definedName name="住宅用途" localSheetId="7">'[1]比较法-住宅'!$B$63:$M$63</definedName>
    <definedName name="住宅用途">'比较法-住宅'!$B$63:$M$63</definedName>
    <definedName name="住宅主力户型面积">'比较法-住宅'!$B$120:$M$120</definedName>
    <definedName name="注册房地产估价师" localSheetId="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F19" i="6"/>
  <c r="I13" i="3"/>
  <c r="J49" i="67"/>
  <c r="C33" i="33" l="1"/>
  <c r="I7" i="33"/>
  <c r="G7" i="33"/>
  <c r="E7" i="33"/>
  <c r="D104" i="33"/>
  <c r="E104" i="33" s="1"/>
  <c r="F104" i="33" s="1"/>
  <c r="G104" i="33" s="1"/>
  <c r="H104" i="33" s="1"/>
  <c r="I104" i="33" s="1"/>
  <c r="J104" i="33" s="1"/>
  <c r="Y6" i="1"/>
  <c r="N18" i="1"/>
  <c r="N20" i="1" s="1"/>
  <c r="N6" i="1" s="1"/>
  <c r="O19" i="1"/>
  <c r="E18" i="81"/>
  <c r="E11" i="81"/>
  <c r="G22" i="81" s="1"/>
  <c r="N10" i="81"/>
  <c r="N9" i="81"/>
  <c r="N8" i="81"/>
  <c r="N7" i="8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6" i="79"/>
  <c r="AD35" i="79"/>
  <c r="AD38" i="79"/>
  <c r="AD34"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T34" i="79"/>
  <c r="T33"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P38" i="7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C75" i="71"/>
  <c r="D76" i="71"/>
  <c r="E79" i="71"/>
  <c r="E78" i="71" s="1"/>
  <c r="D80" i="71"/>
  <c r="C87" i="71"/>
  <c r="C86" i="71" s="1"/>
  <c r="D86" i="71" s="1"/>
  <c r="F28" i="71"/>
  <c r="F27" i="71" s="1"/>
  <c r="F26" i="71" s="1"/>
  <c r="AA3" i="71"/>
  <c r="O67" i="71"/>
  <c r="D63" i="71"/>
  <c r="D75" i="71"/>
  <c r="C74" i="71"/>
  <c r="D74" i="71" s="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S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J25" i="35" s="1"/>
  <c r="B75" i="35"/>
  <c r="J24" i="35" s="1"/>
  <c r="AC24" i="35" s="1"/>
  <c r="B73" i="35"/>
  <c r="J23" i="35" s="1"/>
  <c r="AC23" i="35" s="1"/>
  <c r="B57" i="35"/>
  <c r="F11" i="35" s="1"/>
  <c r="S11" i="35" s="1"/>
  <c r="B61" i="35"/>
  <c r="B59" i="35"/>
  <c r="H12" i="35" s="1"/>
  <c r="U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AA26" i="33" s="1"/>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W45" i="21" s="1"/>
  <c r="B126" i="21"/>
  <c r="B98" i="21"/>
  <c r="H31" i="21"/>
  <c r="B96" i="21"/>
  <c r="B94" i="21"/>
  <c r="J29" i="21" s="1"/>
  <c r="AC29" i="21" s="1"/>
  <c r="B92" i="21"/>
  <c r="J28" i="21" s="1"/>
  <c r="W28" i="21" s="1"/>
  <c r="B90" i="21"/>
  <c r="J27" i="21" s="1"/>
  <c r="W27" i="2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S36" i="39" s="1"/>
  <c r="H36" i="39"/>
  <c r="AB36" i="39" s="1"/>
  <c r="U9" i="39"/>
  <c r="W40" i="39"/>
  <c r="W25" i="37"/>
  <c r="W31" i="37"/>
  <c r="E103" i="37"/>
  <c r="F103" i="37"/>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s="1"/>
  <c r="U35" i="33"/>
  <c r="W33" i="33"/>
  <c r="H39" i="37"/>
  <c r="AB39" i="37" s="1"/>
  <c r="S27" i="35"/>
  <c r="F11" i="40"/>
  <c r="AA11" i="40"/>
  <c r="H11" i="40"/>
  <c r="AB11" i="40"/>
  <c r="W8" i="40"/>
  <c r="AB3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AB12" i="36"/>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S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H45" i="33"/>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U46" i="33"/>
  <c r="J36" i="37"/>
  <c r="AC36" i="37" s="1"/>
  <c r="J10" i="36"/>
  <c r="AC10" i="36" s="1"/>
  <c r="AB30" i="21"/>
  <c r="AA14" i="37"/>
  <c r="S11" i="36"/>
  <c r="AB46" i="34"/>
  <c r="AA14" i="34"/>
  <c r="S45" i="33"/>
  <c r="AB45" i="33"/>
  <c r="AC28" i="21"/>
  <c r="S44" i="34"/>
  <c r="BA586" i="3"/>
  <c r="BA585"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AZ15" i="3" s="1"/>
  <c r="BR5" i="3"/>
  <c r="AZ380" i="3"/>
  <c r="AZ392"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133" i="3"/>
  <c r="AZ69" i="3"/>
  <c r="AZ74"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W12" i="33"/>
  <c r="AC12" i="33"/>
  <c r="AA32" i="36"/>
  <c r="S32" i="36"/>
  <c r="AZ437" i="3"/>
  <c r="BL14" i="3"/>
  <c r="U30" i="33"/>
  <c r="AC13" i="34"/>
  <c r="AA47" i="34"/>
  <c r="W28" i="37"/>
  <c r="S19" i="39"/>
  <c r="F12" i="33"/>
  <c r="H12" i="39"/>
  <c r="AB12" i="39" s="1"/>
  <c r="F39" i="40"/>
  <c r="BA14" i="3"/>
  <c r="AZ14" i="3" s="1"/>
  <c r="AZ286" i="3"/>
  <c r="AZ15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AA29" i="33"/>
  <c r="AB29"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W19" i="33"/>
  <c r="S15" i="33"/>
  <c r="W15" i="33"/>
  <c r="J10" i="33"/>
  <c r="W10" i="33" s="1"/>
  <c r="H10" i="33"/>
  <c r="U10" i="33" s="1"/>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69"/>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S33" i="33"/>
  <c r="AB34" i="33"/>
  <c r="U44" i="33"/>
  <c r="AB44" i="33"/>
  <c r="S30" i="33"/>
  <c r="AA30" i="33"/>
  <c r="AC14" i="33"/>
  <c r="W14" i="33"/>
  <c r="AC30" i="33"/>
  <c r="W30" i="33"/>
  <c r="S31" i="33"/>
  <c r="AA31" i="33"/>
  <c r="W13" i="33"/>
  <c r="AC13" i="33"/>
  <c r="U15" i="33"/>
  <c r="S11" i="33"/>
  <c r="U37"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0" i="69"/>
  <c r="F48" i="69" s="1"/>
  <c r="AA39" i="40"/>
  <c r="S39" i="40"/>
  <c r="S12" i="33"/>
  <c r="AA12" i="33"/>
  <c r="J32" i="39"/>
  <c r="H32" i="39"/>
  <c r="AB32" i="39" s="1"/>
  <c r="AA32" i="39"/>
  <c r="S32" i="39"/>
  <c r="AB21" i="39"/>
  <c r="U21" i="39"/>
  <c r="AA21" i="39"/>
  <c r="AC17" i="37"/>
  <c r="S17" i="37"/>
  <c r="J19" i="37"/>
  <c r="W19" i="37" s="1"/>
  <c r="AA23" i="37"/>
  <c r="J23" i="37"/>
  <c r="AC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G91" i="33"/>
  <c r="H91" i="33" s="1"/>
  <c r="I91" i="33" s="1"/>
  <c r="J91" i="33" s="1"/>
  <c r="K91" i="33" s="1"/>
  <c r="L91" i="33" s="1"/>
  <c r="M91" i="33" s="1"/>
  <c r="J27" i="33"/>
  <c r="AC27" i="33" s="1"/>
  <c r="S25" i="33"/>
  <c r="J25" i="33"/>
  <c r="AC25" i="33" s="1"/>
  <c r="F23" i="33"/>
  <c r="G85" i="33"/>
  <c r="AA19" i="33"/>
  <c r="H19" i="33"/>
  <c r="G81" i="33"/>
  <c r="S37" i="21"/>
  <c r="AA23" i="21"/>
  <c r="AB15" i="21"/>
  <c r="J23" i="21"/>
  <c r="AC23" i="21" s="1"/>
  <c r="F85" i="21"/>
  <c r="G85" i="21" s="1"/>
  <c r="H23" i="21"/>
  <c r="S13" i="21"/>
  <c r="D6" i="52"/>
  <c r="AP7" i="1"/>
  <c r="AA32" i="21"/>
  <c r="W9" i="21"/>
  <c r="AC9" i="21"/>
  <c r="AB32" i="21"/>
  <c r="A18" i="62"/>
  <c r="B64" i="72" s="1"/>
  <c r="U32" i="39"/>
  <c r="AC32" i="39"/>
  <c r="W32" i="39"/>
  <c r="J63" i="37"/>
  <c r="K63" i="37" s="1"/>
  <c r="L63" i="37" s="1"/>
  <c r="M63" i="37" s="1"/>
  <c r="J11" i="37"/>
  <c r="AC11" i="37" s="1"/>
  <c r="J11" i="34"/>
  <c r="W11" i="34" s="1"/>
  <c r="AB19" i="33"/>
  <c r="U19" i="33"/>
  <c r="U23" i="21"/>
  <c r="AB23" i="21"/>
  <c r="W23" i="21"/>
  <c r="H109" i="9"/>
  <c r="M49" i="9" s="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0" i="31"/>
  <c r="F6" i="67"/>
  <c r="B10" i="76"/>
  <c r="F13" i="67"/>
  <c r="L48" i="15"/>
  <c r="F9" i="67"/>
  <c r="D34" i="9"/>
  <c r="E7" i="76"/>
  <c r="F5" i="73"/>
  <c r="E8" i="76"/>
  <c r="F40" i="67"/>
  <c r="D35" i="9"/>
  <c r="AO13" i="1"/>
  <c r="M6" i="67"/>
  <c r="F37" i="67"/>
  <c r="L47" i="67"/>
  <c r="F43" i="67"/>
  <c r="E10" i="76"/>
  <c r="B12" i="76"/>
  <c r="F3" i="73"/>
  <c r="M29" i="67"/>
  <c r="F13" i="15"/>
  <c r="F38" i="67"/>
  <c r="M28" i="67"/>
  <c r="F6" i="73"/>
  <c r="E13" i="76"/>
  <c r="B7" i="76"/>
  <c r="M6" i="15"/>
  <c r="D6" i="73"/>
  <c r="E2" i="69"/>
  <c r="F4" i="73"/>
  <c r="F38" i="15"/>
  <c r="F42" i="67"/>
  <c r="F26" i="67"/>
  <c r="F7" i="67"/>
  <c r="B9" i="76"/>
  <c r="B13" i="76"/>
  <c r="B8" i="76"/>
  <c r="M24" i="67"/>
  <c r="F7" i="15"/>
  <c r="M8" i="67"/>
  <c r="E9" i="76"/>
  <c r="E11" i="76"/>
  <c r="J15" i="15"/>
  <c r="M22" i="67"/>
  <c r="F7" i="73"/>
  <c r="F16" i="67"/>
  <c r="M26" i="67"/>
  <c r="F8" i="67"/>
  <c r="E12" i="76"/>
  <c r="M23" i="67"/>
  <c r="B11" i="76"/>
  <c r="E2" i="68"/>
  <c r="J15" i="67"/>
  <c r="C76" i="67"/>
  <c r="F36" i="15"/>
  <c r="L48" i="67"/>
  <c r="F36" i="67"/>
  <c r="M26" i="15"/>
  <c r="M9" i="67"/>
  <c r="S26" i="33" l="1"/>
  <c r="AC26" i="33"/>
  <c r="E19" i="11"/>
  <c r="F17" i="33"/>
  <c r="S17" i="33" s="1"/>
  <c r="H17" i="33"/>
  <c r="U17" i="33" s="1"/>
  <c r="J17" i="33"/>
  <c r="W17" i="33" s="1"/>
  <c r="AA17" i="33"/>
  <c r="AC11" i="33"/>
  <c r="U11" i="33"/>
  <c r="AB36" i="33"/>
  <c r="S36" i="33"/>
  <c r="U33" i="33"/>
  <c r="W9" i="33"/>
  <c r="H9" i="33"/>
  <c r="AB41" i="33"/>
  <c r="S41" i="33"/>
  <c r="S39" i="33"/>
  <c r="U39" i="33"/>
  <c r="W39" i="33"/>
  <c r="U38" i="33"/>
  <c r="W38" i="33"/>
  <c r="W32" i="33"/>
  <c r="U32" i="33"/>
  <c r="AA32" i="33"/>
  <c r="S28" i="33"/>
  <c r="AB27" i="33"/>
  <c r="S27" i="33"/>
  <c r="AB26" i="33"/>
  <c r="D68" i="9"/>
  <c r="F32" i="67"/>
  <c r="F60" i="67" s="1"/>
  <c r="F30" i="11"/>
  <c r="C48" i="11" s="1"/>
  <c r="F28" i="15"/>
  <c r="C28" i="15" s="1"/>
  <c r="M18" i="67"/>
  <c r="M18" i="15"/>
  <c r="F31" i="12"/>
  <c r="C40" i="69"/>
  <c r="G22" i="68"/>
  <c r="G22" i="69"/>
  <c r="G22" i="11"/>
  <c r="E1" i="73"/>
  <c r="BA13" i="3"/>
  <c r="A24" i="51"/>
  <c r="B18" i="72" s="1"/>
  <c r="B68" i="43"/>
  <c r="B57" i="43"/>
  <c r="C29" i="39"/>
  <c r="G29" i="6"/>
  <c r="AZ314" i="3"/>
  <c r="W25" i="33"/>
  <c r="AZ571" i="3"/>
  <c r="AZ579" i="3"/>
  <c r="W27" i="33"/>
  <c r="W23" i="37"/>
  <c r="AB9" i="21"/>
  <c r="U23" i="33"/>
  <c r="AB25" i="33"/>
  <c r="AA19" i="37"/>
  <c r="W17" i="21"/>
  <c r="AC39" i="34"/>
  <c r="S32" i="37"/>
  <c r="U12" i="39"/>
  <c r="AA27" i="40"/>
  <c r="AB27" i="40"/>
  <c r="AA34" i="33"/>
  <c r="AZ387" i="3"/>
  <c r="AZ362" i="3"/>
  <c r="AZ338" i="3"/>
  <c r="AZ390" i="3"/>
  <c r="AZ371" i="3"/>
  <c r="AZ351" i="3"/>
  <c r="AZ336" i="3"/>
  <c r="AZ305" i="3"/>
  <c r="AZ187" i="3"/>
  <c r="AZ360" i="3"/>
  <c r="AZ539" i="3"/>
  <c r="AZ529" i="3"/>
  <c r="AZ537" i="3"/>
  <c r="AZ518" i="3"/>
  <c r="AZ526" i="3"/>
  <c r="AZ546" i="3"/>
  <c r="AZ564" i="3"/>
  <c r="AZ580" i="3"/>
  <c r="AA14" i="33"/>
  <c r="AC9" i="34"/>
  <c r="W9" i="34"/>
  <c r="J12" i="34"/>
  <c r="H12" i="34"/>
  <c r="F12" i="34"/>
  <c r="S12" i="34" s="1"/>
  <c r="AA44" i="39"/>
  <c r="S44" i="39"/>
  <c r="S40" i="33"/>
  <c r="AA40" i="33"/>
  <c r="AA31" i="35"/>
  <c r="S31" i="35"/>
  <c r="H35" i="39"/>
  <c r="J35" i="39"/>
  <c r="AC35" i="39" s="1"/>
  <c r="F35" i="39"/>
  <c r="AB45" i="21"/>
  <c r="F54" i="9"/>
  <c r="F32" i="15"/>
  <c r="F60" i="15" s="1"/>
  <c r="F52" i="9"/>
  <c r="F30" i="68"/>
  <c r="F48" i="68" s="1"/>
  <c r="S20" i="36"/>
  <c r="AC34" i="33"/>
  <c r="F29" i="6"/>
  <c r="AZ318" i="3"/>
  <c r="AZ304" i="3"/>
  <c r="AZ306" i="3"/>
  <c r="AZ535" i="3"/>
  <c r="AZ577" i="3"/>
  <c r="AZ557" i="3"/>
  <c r="AZ513" i="3"/>
  <c r="AZ575" i="3"/>
  <c r="AZ548" i="3"/>
  <c r="AZ566" i="3"/>
  <c r="AZ582" i="3"/>
  <c r="AZ540" i="3"/>
  <c r="AZ502" i="3"/>
  <c r="W31" i="34"/>
  <c r="AC11" i="35"/>
  <c r="AA35" i="34"/>
  <c r="S35" i="34"/>
  <c r="S9" i="40"/>
  <c r="AA9" i="40"/>
  <c r="AZ357" i="3"/>
  <c r="AZ568" i="3"/>
  <c r="G585" i="3"/>
  <c r="BL587" i="3"/>
  <c r="AZ587" i="3" s="1"/>
  <c r="BL586" i="3"/>
  <c r="AZ586" i="3" s="1"/>
  <c r="B72" i="43"/>
  <c r="C15" i="39"/>
  <c r="B75" i="43"/>
  <c r="H23" i="35"/>
  <c r="J9" i="36"/>
  <c r="H24" i="36"/>
  <c r="J24" i="36"/>
  <c r="J39" i="37"/>
  <c r="F39" i="37"/>
  <c r="S39" i="37" s="1"/>
  <c r="F12" i="35"/>
  <c r="J12" i="35"/>
  <c r="AB30" i="37"/>
  <c r="U30" i="37"/>
  <c r="H44" i="39"/>
  <c r="J44" i="39"/>
  <c r="BL550" i="3"/>
  <c r="BL585" i="3"/>
  <c r="AZ585" i="3" s="1"/>
  <c r="AB31" i="36"/>
  <c r="U31" i="36"/>
  <c r="H25" i="37"/>
  <c r="F25" i="37"/>
  <c r="U8" i="39"/>
  <c r="AB8" i="39"/>
  <c r="AC31" i="40"/>
  <c r="W31" i="40"/>
  <c r="G570" i="3"/>
  <c r="AZ443" i="3"/>
  <c r="G574" i="3"/>
  <c r="BL16" i="3"/>
  <c r="AZ16" i="3" s="1"/>
  <c r="BA401" i="3"/>
  <c r="BA403" i="3"/>
  <c r="AZ403" i="3" s="1"/>
  <c r="BA404" i="3"/>
  <c r="BA405" i="3"/>
  <c r="BL410" i="3"/>
  <c r="G412" i="3"/>
  <c r="G430" i="3"/>
  <c r="BL431" i="3"/>
  <c r="BL434" i="3"/>
  <c r="AZ434" i="3" s="1"/>
  <c r="G437" i="3"/>
  <c r="BL438" i="3"/>
  <c r="BL439" i="3"/>
  <c r="BA441" i="3"/>
  <c r="AZ441" i="3" s="1"/>
  <c r="BL445" i="3"/>
  <c r="BL446" i="3"/>
  <c r="BL449" i="3"/>
  <c r="BL450" i="3"/>
  <c r="BL452" i="3"/>
  <c r="G455" i="3"/>
  <c r="BA458" i="3"/>
  <c r="AZ458" i="3" s="1"/>
  <c r="BA459" i="3"/>
  <c r="AZ459" i="3" s="1"/>
  <c r="BL463" i="3"/>
  <c r="BA471" i="3"/>
  <c r="BA480" i="3"/>
  <c r="AZ480" i="3" s="1"/>
  <c r="G587" i="3"/>
  <c r="BA551" i="3"/>
  <c r="AZ551" i="3" s="1"/>
  <c r="BA550" i="3"/>
  <c r="AZ550" i="3" s="1"/>
  <c r="BL548" i="3"/>
  <c r="G398" i="3"/>
  <c r="BL400" i="3"/>
  <c r="BL408" i="3"/>
  <c r="AZ408" i="3" s="1"/>
  <c r="G416" i="3"/>
  <c r="BL417" i="3"/>
  <c r="BL418" i="3"/>
  <c r="BL420" i="3"/>
  <c r="G423" i="3"/>
  <c r="BL424" i="3"/>
  <c r="AZ424" i="3" s="1"/>
  <c r="G426" i="3"/>
  <c r="G427" i="3"/>
  <c r="BL428" i="3"/>
  <c r="BL429" i="3"/>
  <c r="BL432" i="3"/>
  <c r="BL435" i="3"/>
  <c r="BL436" i="3"/>
  <c r="BA439" i="3"/>
  <c r="BA440" i="3"/>
  <c r="AZ440" i="3" s="1"/>
  <c r="BA442" i="3"/>
  <c r="BA445" i="3"/>
  <c r="BA447" i="3"/>
  <c r="AZ447" i="3" s="1"/>
  <c r="BA449" i="3"/>
  <c r="BL453" i="3"/>
  <c r="BL454" i="3"/>
  <c r="BA456" i="3"/>
  <c r="AZ456" i="3" s="1"/>
  <c r="BL457" i="3"/>
  <c r="BA462" i="3"/>
  <c r="AZ462" i="3" s="1"/>
  <c r="BL464" i="3"/>
  <c r="BA470" i="3"/>
  <c r="BA476" i="3"/>
  <c r="AZ476" i="3" s="1"/>
  <c r="BA483" i="3"/>
  <c r="BL483" i="3"/>
  <c r="AZ483" i="3" s="1"/>
  <c r="BL487" i="3"/>
  <c r="AZ487" i="3" s="1"/>
  <c r="G488" i="3"/>
  <c r="BL308" i="3"/>
  <c r="AZ308" i="3" s="1"/>
  <c r="AZ400" i="3"/>
  <c r="AZ402" i="3"/>
  <c r="AZ406" i="3"/>
  <c r="AZ409" i="3"/>
  <c r="BA411" i="3"/>
  <c r="AZ411" i="3" s="1"/>
  <c r="BL414" i="3"/>
  <c r="BL415" i="3"/>
  <c r="BA417" i="3"/>
  <c r="BL421" i="3"/>
  <c r="BL422" i="3"/>
  <c r="AZ422" i="3" s="1"/>
  <c r="BL425" i="3"/>
  <c r="BL426" i="3"/>
  <c r="BA428" i="3"/>
  <c r="AZ428" i="3" s="1"/>
  <c r="BA429" i="3"/>
  <c r="AZ429" i="3" s="1"/>
  <c r="BA430" i="3"/>
  <c r="AZ430" i="3" s="1"/>
  <c r="BA432" i="3"/>
  <c r="AZ432" i="3" s="1"/>
  <c r="BA434" i="3"/>
  <c r="BA436" i="3"/>
  <c r="AZ436" i="3" s="1"/>
  <c r="BA438" i="3"/>
  <c r="G442" i="3"/>
  <c r="BA446" i="3"/>
  <c r="BA450" i="3"/>
  <c r="AZ450" i="3" s="1"/>
  <c r="BA453" i="3"/>
  <c r="AZ453" i="3" s="1"/>
  <c r="BA455" i="3"/>
  <c r="AZ455" i="3" s="1"/>
  <c r="BA457" i="3"/>
  <c r="AZ457" i="3" s="1"/>
  <c r="AZ466" i="3"/>
  <c r="G485" i="3"/>
  <c r="G486" i="3"/>
  <c r="BA489" i="3"/>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AZ435" i="3"/>
  <c r="AZ451" i="3"/>
  <c r="AZ454" i="3"/>
  <c r="BA460" i="3"/>
  <c r="AZ460" i="3" s="1"/>
  <c r="BA461" i="3"/>
  <c r="AZ461" i="3" s="1"/>
  <c r="BL466" i="3"/>
  <c r="G469" i="3"/>
  <c r="BA384" i="3"/>
  <c r="AZ384" i="3" s="1"/>
  <c r="BA395" i="3"/>
  <c r="AZ395" i="3" s="1"/>
  <c r="BA208" i="3"/>
  <c r="AZ208" i="3" s="1"/>
  <c r="BA211" i="3"/>
  <c r="AZ211" i="3" s="1"/>
  <c r="BL213" i="3"/>
  <c r="BL215" i="3"/>
  <c r="BA222" i="3"/>
  <c r="AZ222" i="3" s="1"/>
  <c r="BA224" i="3"/>
  <c r="AZ224" i="3" s="1"/>
  <c r="AZ125" i="3"/>
  <c r="BA464" i="3"/>
  <c r="AZ464" i="3" s="1"/>
  <c r="BL467" i="3"/>
  <c r="BL468" i="3"/>
  <c r="BL470" i="3"/>
  <c r="BL473" i="3"/>
  <c r="AZ473" i="3" s="1"/>
  <c r="BL474" i="3"/>
  <c r="BA482" i="3"/>
  <c r="BA484" i="3"/>
  <c r="AZ484" i="3" s="1"/>
  <c r="BA303" i="3"/>
  <c r="AZ303" i="3" s="1"/>
  <c r="BA307" i="3"/>
  <c r="AZ307" i="3" s="1"/>
  <c r="BL314" i="3"/>
  <c r="BA332" i="3"/>
  <c r="AZ332" i="3" s="1"/>
  <c r="BL332" i="3"/>
  <c r="G339" i="3"/>
  <c r="G364" i="3"/>
  <c r="BA367" i="3"/>
  <c r="AZ367" i="3" s="1"/>
  <c r="BA370" i="3"/>
  <c r="AZ370" i="3" s="1"/>
  <c r="BA386" i="3"/>
  <c r="AZ386" i="3" s="1"/>
  <c r="BA216" i="3"/>
  <c r="AZ216" i="3" s="1"/>
  <c r="BA218" i="3"/>
  <c r="AZ218" i="3" s="1"/>
  <c r="BL218" i="3"/>
  <c r="BL220" i="3"/>
  <c r="BL221" i="3"/>
  <c r="BL223" i="3"/>
  <c r="AZ223" i="3" s="1"/>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56" i="3"/>
  <c r="AZ256" i="3" s="1"/>
  <c r="BL256" i="3"/>
  <c r="BA259" i="3"/>
  <c r="AZ259"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G260" i="3"/>
  <c r="BL260" i="3"/>
  <c r="BA267" i="3"/>
  <c r="AZ267" i="3" s="1"/>
  <c r="BL298" i="3"/>
  <c r="BL317" i="3"/>
  <c r="G318" i="3"/>
  <c r="BA349" i="3"/>
  <c r="AZ349" i="3" s="1"/>
  <c r="BA353" i="3"/>
  <c r="AZ353" i="3" s="1"/>
  <c r="BL353" i="3"/>
  <c r="BL228" i="3"/>
  <c r="AZ228" i="3" s="1"/>
  <c r="BA230" i="3"/>
  <c r="AZ230" i="3" s="1"/>
  <c r="BL232" i="3"/>
  <c r="BL234" i="3"/>
  <c r="BA236" i="3"/>
  <c r="BA238" i="3"/>
  <c r="AZ238" i="3" s="1"/>
  <c r="BA243" i="3"/>
  <c r="AZ243" i="3" s="1"/>
  <c r="BL248" i="3"/>
  <c r="AZ248" i="3" s="1"/>
  <c r="G250" i="3"/>
  <c r="BL250" i="3"/>
  <c r="AZ250" i="3" s="1"/>
  <c r="G252" i="3"/>
  <c r="G254" i="3"/>
  <c r="G258" i="3"/>
  <c r="BA263" i="3"/>
  <c r="AZ263" i="3" s="1"/>
  <c r="BA270" i="3"/>
  <c r="AZ270" i="3" s="1"/>
  <c r="BA271" i="3"/>
  <c r="AZ271" i="3" s="1"/>
  <c r="BL271" i="3"/>
  <c r="BL278" i="3"/>
  <c r="BA37" i="3"/>
  <c r="BL39" i="3"/>
  <c r="BA45" i="3"/>
  <c r="AZ45" i="3" s="1"/>
  <c r="BA46" i="3"/>
  <c r="G51" i="3"/>
  <c r="BA52" i="3"/>
  <c r="AZ52" i="3" s="1"/>
  <c r="BA53" i="3"/>
  <c r="AZ53" i="3" s="1"/>
  <c r="BA54" i="3"/>
  <c r="BL57" i="3"/>
  <c r="G62" i="3"/>
  <c r="BL62" i="3"/>
  <c r="C55" i="71"/>
  <c r="D54" i="71"/>
  <c r="BL255" i="3"/>
  <c r="G257" i="3"/>
  <c r="BL257" i="3"/>
  <c r="AZ257" i="3" s="1"/>
  <c r="BL258" i="3"/>
  <c r="G259" i="3"/>
  <c r="BA262" i="3"/>
  <c r="AZ262" i="3" s="1"/>
  <c r="G265" i="3"/>
  <c r="BL265" i="3"/>
  <c r="AZ265" i="3" s="1"/>
  <c r="G267" i="3"/>
  <c r="G269" i="3"/>
  <c r="BA273" i="3"/>
  <c r="BA278" i="3"/>
  <c r="BA280" i="3"/>
  <c r="AZ280" i="3" s="1"/>
  <c r="G283" i="3"/>
  <c r="BL283" i="3"/>
  <c r="AZ283" i="3" s="1"/>
  <c r="BL284" i="3"/>
  <c r="G285" i="3"/>
  <c r="G288" i="3"/>
  <c r="BL292" i="3"/>
  <c r="BA294" i="3"/>
  <c r="BL295" i="3"/>
  <c r="BA298" i="3"/>
  <c r="BL301" i="3"/>
  <c r="AZ301" i="3" s="1"/>
  <c r="BL302" i="3"/>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AZ62" i="3"/>
  <c r="AZ64" i="3"/>
  <c r="C44" i="71"/>
  <c r="D43" i="71"/>
  <c r="BL275" i="3"/>
  <c r="AZ275" i="3" s="1"/>
  <c r="BL285" i="3"/>
  <c r="BL287" i="3"/>
  <c r="BA290" i="3"/>
  <c r="BL299" i="3"/>
  <c r="BL113" i="3"/>
  <c r="BL115" i="3"/>
  <c r="AZ115" i="3" s="1"/>
  <c r="BA118" i="3"/>
  <c r="BL118" i="3"/>
  <c r="BA122" i="3"/>
  <c r="AZ122" i="3" s="1"/>
  <c r="BL125" i="3"/>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BA32" i="3"/>
  <c r="BA38" i="3"/>
  <c r="BA51" i="3"/>
  <c r="AZ51" i="3" s="1"/>
  <c r="G55" i="3"/>
  <c r="D31" i="71"/>
  <c r="C32" i="71"/>
  <c r="D50" i="71"/>
  <c r="C51" i="71"/>
  <c r="BL264" i="3"/>
  <c r="BL266" i="3"/>
  <c r="BA268" i="3"/>
  <c r="BL273" i="3"/>
  <c r="G274" i="3"/>
  <c r="BA277" i="3"/>
  <c r="BL277" i="3"/>
  <c r="BA282" i="3"/>
  <c r="AZ282" i="3" s="1"/>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AZ41" i="3" s="1"/>
  <c r="G45" i="3"/>
  <c r="BL45" i="3"/>
  <c r="BA48" i="3"/>
  <c r="BA49" i="3"/>
  <c r="D34" i="71"/>
  <c r="C35" i="71"/>
  <c r="F66" i="71"/>
  <c r="Q67" i="71"/>
  <c r="V24" i="71"/>
  <c r="E23" i="71"/>
  <c r="E22" i="71" s="1"/>
  <c r="E21" i="71" s="1"/>
  <c r="E20" i="71" s="1"/>
  <c r="BL73" i="3"/>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28" i="71"/>
  <c r="AB27" i="71"/>
  <c r="E75" i="71"/>
  <c r="E74" i="71" s="1"/>
  <c r="AB25" i="71"/>
  <c r="X26" i="71"/>
  <c r="Y25" i="71"/>
  <c r="Z25" i="71" s="1"/>
  <c r="Y29" i="71"/>
  <c r="Z29" i="71" s="1"/>
  <c r="AB32" i="71"/>
  <c r="X33" i="71"/>
  <c r="BL56" i="3"/>
  <c r="BA58" i="3"/>
  <c r="BL59" i="3"/>
  <c r="AZ59" i="3" s="1"/>
  <c r="BL60" i="3"/>
  <c r="BA61" i="3"/>
  <c r="AZ61" i="3" s="1"/>
  <c r="BA68" i="3"/>
  <c r="BA73" i="3"/>
  <c r="AZ103" i="3"/>
  <c r="P66" i="71"/>
  <c r="C66" i="71"/>
  <c r="AA27" i="71"/>
  <c r="AB26" i="71"/>
  <c r="S28" i="71"/>
  <c r="C83" i="71"/>
  <c r="C79" i="71"/>
  <c r="C71" i="71"/>
  <c r="C39" i="71"/>
  <c r="Y28" i="71"/>
  <c r="Z28" i="71" s="1"/>
  <c r="C28" i="71"/>
  <c r="X35" i="71"/>
  <c r="Y30" i="71"/>
  <c r="Z30" i="71" s="1"/>
  <c r="X28" i="71"/>
  <c r="X32" i="71"/>
  <c r="F38" i="71"/>
  <c r="F39" i="71" s="1"/>
  <c r="F40" i="71" s="1"/>
  <c r="V40" i="71" s="1"/>
  <c r="AB38" i="71"/>
  <c r="AA39" i="71"/>
  <c r="F75" i="71"/>
  <c r="F74" i="71" s="1"/>
  <c r="B79" i="71"/>
  <c r="B78" i="71" s="1"/>
  <c r="BL49" i="3"/>
  <c r="BL50" i="3"/>
  <c r="AZ50" i="3" s="1"/>
  <c r="BL51" i="3"/>
  <c r="G53" i="3"/>
  <c r="BL53" i="3"/>
  <c r="BA56" i="3"/>
  <c r="BA57" i="3"/>
  <c r="AZ57" i="3" s="1"/>
  <c r="BL58" i="3"/>
  <c r="G60" i="3"/>
  <c r="BA60" i="3"/>
  <c r="BA63" i="3"/>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63" i="3"/>
  <c r="G65" i="3"/>
  <c r="BL65" i="3"/>
  <c r="AZ65" i="3" s="1"/>
  <c r="BL66" i="3"/>
  <c r="BL67" i="3"/>
  <c r="AZ67" i="3" s="1"/>
  <c r="G69" i="3"/>
  <c r="G70" i="3"/>
  <c r="BL70" i="3"/>
  <c r="AZ70" i="3" s="1"/>
  <c r="BL71" i="3"/>
  <c r="BL72" i="3"/>
  <c r="AZ72" i="3" s="1"/>
  <c r="BL81" i="3"/>
  <c r="BA82" i="3"/>
  <c r="AZ82" i="3" s="1"/>
  <c r="BL83" i="3"/>
  <c r="BA90" i="3"/>
  <c r="BL94" i="3"/>
  <c r="AZ94" i="3" s="1"/>
  <c r="BA100" i="3"/>
  <c r="AZ100" i="3" s="1"/>
  <c r="BA102" i="3"/>
  <c r="AZ102" i="3" s="1"/>
  <c r="BL105" i="3"/>
  <c r="AZ105" i="3" s="1"/>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67" i="3"/>
  <c r="AZ468" i="3"/>
  <c r="AZ470" i="3"/>
  <c r="F27" i="34"/>
  <c r="C21" i="39"/>
  <c r="U9" i="36"/>
  <c r="U14" i="37"/>
  <c r="H12" i="21"/>
  <c r="G526" i="3"/>
  <c r="AZ420" i="3"/>
  <c r="AZ438" i="3"/>
  <c r="AZ446" i="3"/>
  <c r="G28" i="6"/>
  <c r="G30" i="6" s="1"/>
  <c r="G31" i="6" s="1"/>
  <c r="U26" i="21"/>
  <c r="W36" i="39"/>
  <c r="U23" i="40"/>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E29" i="6"/>
  <c r="K15" i="1" s="1"/>
  <c r="F30" i="6"/>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C36" i="68"/>
  <c r="D9" i="69"/>
  <c r="C36" i="69"/>
  <c r="D9" i="68"/>
  <c r="F40" i="15"/>
  <c r="F42" i="15"/>
  <c r="M23" i="15"/>
  <c r="D7" i="73"/>
  <c r="L47" i="15"/>
  <c r="F8" i="15"/>
  <c r="M8" i="15"/>
  <c r="D3" i="73"/>
  <c r="D5" i="73"/>
  <c r="F26" i="15"/>
  <c r="D4" i="73"/>
  <c r="M22" i="15"/>
  <c r="M28" i="15"/>
  <c r="F43" i="15"/>
  <c r="F9" i="15"/>
  <c r="M24" i="15"/>
  <c r="F6" i="15"/>
  <c r="M29" i="15"/>
  <c r="F37" i="15"/>
  <c r="C76" i="15"/>
  <c r="C16" i="67"/>
  <c r="M9" i="15"/>
  <c r="F16" i="15"/>
  <c r="AC17" i="33" l="1"/>
  <c r="AB9" i="33"/>
  <c r="U9" i="33"/>
  <c r="E59" i="40"/>
  <c r="J26" i="43"/>
  <c r="N94" i="46"/>
  <c r="F26" i="43"/>
  <c r="E26" i="43"/>
  <c r="N370" i="46"/>
  <c r="H26" i="43"/>
  <c r="J7" i="36"/>
  <c r="F68" i="15"/>
  <c r="F65" i="15"/>
  <c r="N59" i="15"/>
  <c r="L58" i="15"/>
  <c r="Q73" i="15" s="1"/>
  <c r="M59" i="15"/>
  <c r="L59" i="15"/>
  <c r="Q61" i="15" s="1"/>
  <c r="F31" i="15"/>
  <c r="C6" i="15"/>
  <c r="C32" i="15" s="1"/>
  <c r="C27" i="15"/>
  <c r="Q71" i="15"/>
  <c r="F71" i="15"/>
  <c r="F51" i="15"/>
  <c r="C49" i="15" s="1"/>
  <c r="AA25" i="37"/>
  <c r="S25" i="37"/>
  <c r="AC9" i="36"/>
  <c r="W9" i="36"/>
  <c r="P6" i="1"/>
  <c r="C13" i="12" s="1"/>
  <c r="Q16" i="1"/>
  <c r="F27" i="69" s="1"/>
  <c r="F45" i="69" s="1"/>
  <c r="AZ26" i="3"/>
  <c r="AZ165" i="3"/>
  <c r="AZ268" i="3"/>
  <c r="AA39" i="37"/>
  <c r="AZ63" i="3"/>
  <c r="T28" i="71"/>
  <c r="D28" i="71"/>
  <c r="U28" i="71" s="1"/>
  <c r="C27" i="71"/>
  <c r="D79" i="71"/>
  <c r="C78" i="71"/>
  <c r="D78" i="71" s="1"/>
  <c r="AZ49" i="3"/>
  <c r="AZ277" i="3"/>
  <c r="T32" i="71"/>
  <c r="D32" i="71"/>
  <c r="AZ27" i="3"/>
  <c r="AZ118" i="3"/>
  <c r="AZ25" i="3"/>
  <c r="AZ5" i="3" s="1"/>
  <c r="AZ294" i="3"/>
  <c r="AZ278" i="3"/>
  <c r="AZ210" i="3"/>
  <c r="AZ414" i="3"/>
  <c r="AZ401" i="3"/>
  <c r="U25" i="37"/>
  <c r="AB25" i="37"/>
  <c r="AC39" i="37"/>
  <c r="W39" i="37"/>
  <c r="U23" i="35"/>
  <c r="AB23" i="35"/>
  <c r="AB35" i="39"/>
  <c r="U35" i="39"/>
  <c r="U12" i="34"/>
  <c r="AB12" i="34"/>
  <c r="J6" i="15"/>
  <c r="J18" i="15" s="1"/>
  <c r="B20" i="31"/>
  <c r="B21" i="31" s="1"/>
  <c r="K16" i="1"/>
  <c r="H16" i="1"/>
  <c r="AZ83" i="3"/>
  <c r="AZ299" i="3"/>
  <c r="AZ475" i="3"/>
  <c r="AZ354" i="3"/>
  <c r="AA12" i="34"/>
  <c r="D83" i="71"/>
  <c r="C82" i="71"/>
  <c r="D82" i="71" s="1"/>
  <c r="O65" i="71"/>
  <c r="D66" i="71"/>
  <c r="O66" i="71"/>
  <c r="AZ58" i="3"/>
  <c r="AZ130" i="3"/>
  <c r="D44" i="71"/>
  <c r="T44" i="71"/>
  <c r="AZ150" i="3"/>
  <c r="AZ273" i="3"/>
  <c r="C56" i="71"/>
  <c r="D55" i="71"/>
  <c r="AZ241" i="3"/>
  <c r="AZ417" i="3"/>
  <c r="AZ471" i="3"/>
  <c r="AZ405" i="3"/>
  <c r="AC44" i="39"/>
  <c r="W44" i="39"/>
  <c r="W12" i="35"/>
  <c r="AC12" i="35"/>
  <c r="AC24" i="36"/>
  <c r="W24" i="36"/>
  <c r="W12" i="34"/>
  <c r="AC12" i="34"/>
  <c r="C70" i="71"/>
  <c r="D70" i="71" s="1"/>
  <c r="D71" i="71"/>
  <c r="D17" i="53"/>
  <c r="B36" i="72" s="1"/>
  <c r="AZ206" i="3"/>
  <c r="AZ114" i="3"/>
  <c r="W35" i="39"/>
  <c r="AZ71" i="3"/>
  <c r="C40" i="71"/>
  <c r="D39" i="71"/>
  <c r="C36" i="71"/>
  <c r="D35" i="71"/>
  <c r="AZ19" i="3"/>
  <c r="C52" i="71"/>
  <c r="D51" i="71"/>
  <c r="AZ31" i="3"/>
  <c r="AZ298" i="3"/>
  <c r="AZ404" i="3"/>
  <c r="AB44" i="39"/>
  <c r="U44" i="39"/>
  <c r="AB24" i="36"/>
  <c r="U24" i="36"/>
  <c r="S35" i="39"/>
  <c r="AA35" i="39"/>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F7" i="33"/>
  <c r="E58" i="21"/>
  <c r="AC7" i="36"/>
  <c r="W7" i="36"/>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G1" i="73"/>
  <c r="AE6" i="1"/>
  <c r="C16" i="15"/>
  <c r="AC6" i="3" l="1"/>
  <c r="D26" i="43"/>
  <c r="C25" i="43" s="1"/>
  <c r="Q74" i="15"/>
  <c r="J10" i="40"/>
  <c r="AC10" i="40" s="1"/>
  <c r="H10" i="39"/>
  <c r="U10" i="39" s="1"/>
  <c r="S10" i="39"/>
  <c r="J10" i="39"/>
  <c r="W10" i="39" s="1"/>
  <c r="Q60" i="15"/>
  <c r="C29" i="69"/>
  <c r="D27" i="69" s="1"/>
  <c r="C47" i="69"/>
  <c r="D45" i="69" s="1"/>
  <c r="H6" i="3"/>
  <c r="E6" i="3" s="1"/>
  <c r="H10" i="40"/>
  <c r="AB10" i="40" s="1"/>
  <c r="F59" i="15"/>
  <c r="F10" i="40"/>
  <c r="S10" i="40" s="1"/>
  <c r="F28" i="12"/>
  <c r="C29" i="12" s="1"/>
  <c r="D28" i="12" s="1"/>
  <c r="J5" i="15"/>
  <c r="J24" i="15" s="1"/>
  <c r="S7" i="36"/>
  <c r="AY6" i="3"/>
  <c r="AY87" i="3" s="1"/>
  <c r="E3" i="6"/>
  <c r="D14" i="12" s="1"/>
  <c r="D56" i="71"/>
  <c r="T56" i="71"/>
  <c r="V36" i="36"/>
  <c r="I36" i="36" s="1"/>
  <c r="I40" i="36" s="1"/>
  <c r="J40" i="36" s="1"/>
  <c r="T36" i="71"/>
  <c r="D36" i="71"/>
  <c r="C26" i="71"/>
  <c r="D26" i="71" s="1"/>
  <c r="D27" i="71"/>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3" i="34"/>
  <c r="D19" i="11"/>
  <c r="C19" i="11"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W10" i="40" l="1"/>
  <c r="C17" i="4"/>
  <c r="B4" i="52" s="1"/>
  <c r="B43" i="72" s="1"/>
  <c r="U10" i="40"/>
  <c r="M18" i="9"/>
  <c r="B118" i="9" s="1"/>
  <c r="B1" i="74" s="1"/>
  <c r="D3" i="21"/>
  <c r="L18" i="9"/>
  <c r="F69" i="67"/>
  <c r="AC10" i="39"/>
  <c r="AY513" i="3"/>
  <c r="AY452" i="3"/>
  <c r="AY342" i="3"/>
  <c r="AY395" i="3"/>
  <c r="AY245" i="3"/>
  <c r="AY106" i="3"/>
  <c r="AY428" i="3"/>
  <c r="AY318" i="3"/>
  <c r="AY252" i="3"/>
  <c r="AY123" i="3"/>
  <c r="AY139" i="3"/>
  <c r="AY67" i="3"/>
  <c r="AY366" i="3"/>
  <c r="AY236" i="3"/>
  <c r="AY168" i="3"/>
  <c r="AY281" i="3"/>
  <c r="AY42" i="3"/>
  <c r="AY124" i="3"/>
  <c r="AY207" i="3"/>
  <c r="AY51" i="3"/>
  <c r="BK6" i="3"/>
  <c r="AY433" i="3"/>
  <c r="AY465" i="3"/>
  <c r="AY358" i="3"/>
  <c r="AY228" i="3"/>
  <c r="AY180" i="3"/>
  <c r="AY409" i="3"/>
  <c r="AY470" i="3"/>
  <c r="AY363" i="3"/>
  <c r="AY204" i="3"/>
  <c r="AY74" i="3"/>
  <c r="AY196" i="3"/>
  <c r="AY303" i="3"/>
  <c r="AY382" i="3"/>
  <c r="AY253" i="3"/>
  <c r="AY111" i="3"/>
  <c r="AY152" i="3"/>
  <c r="AY95" i="3"/>
  <c r="AY144" i="3"/>
  <c r="AY34" i="3"/>
  <c r="D116" i="43"/>
  <c r="F25" i="12"/>
  <c r="C26" i="12" s="1"/>
  <c r="D25" i="12" s="1"/>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H22" i="6" l="1"/>
  <c r="C44" i="68"/>
  <c r="D41" i="68" s="1"/>
  <c r="H21" i="6"/>
  <c r="R21" i="6" s="1"/>
  <c r="R8" i="1" s="1"/>
  <c r="H25" i="6"/>
  <c r="R25" i="6" s="1"/>
  <c r="R12" i="1" s="1"/>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E2" i="70"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C19" i="9"/>
  <c r="D2" i="36"/>
  <c r="L51" i="15"/>
  <c r="D2" i="37"/>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1" i="1"/>
  <c r="C20" i="9"/>
  <c r="AO9" i="1"/>
  <c r="AO7" i="1"/>
  <c r="AO10" i="1"/>
  <c r="AO12" i="1"/>
  <c r="C103" i="9" l="1"/>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2" i="9" l="1"/>
  <c r="G19" i="9"/>
  <c r="G21" i="9" s="1"/>
  <c r="D102" i="9"/>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I20" i="9" s="1"/>
  <c r="D14" i="74" s="1"/>
  <c r="G14" i="74" s="1"/>
  <c r="D103" i="9"/>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9" i="1" l="1"/>
  <c r="C18" i="12" l="1"/>
  <c r="C21" i="12" s="1"/>
  <c r="C8" i="68"/>
  <c r="C5" i="68" s="1"/>
  <c r="C23" i="68" l="1"/>
  <c r="C20" i="68"/>
  <c r="C25" i="68" s="1"/>
  <c r="C22" i="12"/>
  <c r="C30" i="12" s="1"/>
  <c r="C28" i="12" s="1"/>
  <c r="C22" i="68" l="1"/>
  <c r="C27" i="12"/>
  <c r="C25" i="12" s="1"/>
  <c r="C32" i="12" s="1"/>
  <c r="B2" i="12" s="1"/>
  <c r="B3" i="12" s="1"/>
  <c r="C28" i="68"/>
  <c r="C27" i="68" s="1"/>
  <c r="C31" i="68" l="1"/>
  <c r="C52" i="68" s="1"/>
  <c r="B2" i="68" s="1"/>
  <c r="B3" i="68" s="1"/>
  <c r="C57" i="68" l="1"/>
  <c r="C56" i="68" s="1"/>
  <c r="H5" i="52"/>
  <c r="H119" i="9"/>
  <c r="B47" i="72"/>
  <c r="D4" i="52"/>
  <c r="B22" i="72"/>
  <c r="D6" i="53"/>
  <c r="C73" i="9"/>
  <c r="C78" i="9"/>
  <c r="C86" i="9"/>
  <c r="C93" i="9"/>
  <c r="C6" i="74"/>
  <c r="E97" i="9"/>
  <c r="E96" i="9"/>
  <c r="C96" i="9"/>
  <c r="F4" i="52"/>
  <c r="B51" i="72"/>
  <c r="M55" i="9"/>
  <c r="D59" i="9"/>
  <c r="C5" i="74"/>
  <c r="B53" i="72"/>
  <c r="F119" i="9"/>
  <c r="F5" i="52"/>
  <c r="H108" i="9"/>
  <c r="D15" i="53"/>
  <c r="B31" i="72"/>
  <c r="N58" i="9"/>
  <c r="P57" i="9"/>
  <c r="D5" i="53"/>
  <c r="B20" i="72"/>
  <c r="M54" i="9"/>
  <c r="D56" i="9"/>
  <c r="C85" i="9"/>
  <c r="C95" i="9"/>
  <c r="C97" i="9"/>
  <c r="D58" i="9"/>
  <c r="B49" i="72"/>
  <c r="D5" i="52"/>
  <c r="D118" i="9"/>
  <c r="D119" i="9"/>
  <c r="B32" i="72"/>
  <c r="D14" i="53"/>
  <c r="M48" i="9"/>
  <c r="D8" i="52"/>
  <c r="D13" i="53"/>
  <c r="B30" i="72"/>
  <c r="D52" i="9"/>
  <c r="D53" i="9"/>
  <c r="C81" i="9"/>
  <c r="C64" i="9"/>
  <c r="C63" i="9"/>
  <c r="C67" i="9"/>
  <c r="C68" i="9"/>
  <c r="D54" i="9"/>
  <c r="C105" i="9"/>
  <c r="I4" i="52"/>
  <c r="H107" i="9"/>
  <c r="D122" i="9"/>
  <c r="D123" i="9"/>
  <c r="D9" i="52"/>
  <c r="F118" i="9"/>
  <c r="G118" i="9"/>
  <c r="G4" i="52"/>
  <c r="B52" i="72"/>
  <c r="C72" i="9"/>
  <c r="C79" i="9"/>
  <c r="C80" i="9"/>
  <c r="E80" i="9"/>
  <c r="E81" i="9"/>
  <c r="E118" i="9"/>
  <c r="E4" i="52"/>
  <c r="B48" i="72"/>
  <c r="H4" i="52"/>
  <c r="C104" i="9"/>
  <c r="N60" i="9"/>
  <c r="H101" i="9"/>
  <c r="D45" i="9"/>
  <c r="D55" i="9"/>
  <c r="M53" i="9"/>
  <c r="N57" i="9"/>
  <c r="N59" i="9"/>
  <c r="N61"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<sst xmlns="http://schemas.openxmlformats.org/spreadsheetml/2006/main" count="7933" uniqueCount="3480">
  <si>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</si>
  <si>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</si>
  <si>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</si>
  <si>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</si>
  <si>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</si>
  <si>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</si>
  <si>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</si>
  <si>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</si>
  <si>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</si>
  <si>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</si>
  <si>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</si>
  <si>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</si>
  <si>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</si>
  <si>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</si>
  <si>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</si>
  <si>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</si>
  <si>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</si>
  <si>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</si>
  <si>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</si>
  <si>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</si>
  <si>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</si>
  <si>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</si>
  <si>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</si>
  <si>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</si>
  <si>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</si>
  <si>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</si>
  <si>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</si>
  <si>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</si>
  <si>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</si>
  <si>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</si>
  <si>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</si>
  <si>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</si>
  <si>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</si>
  <si>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</si>
  <si>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</si>
  <si>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</si>
  <si>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</si>
  <si>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</si>
  <si>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</si>
  <si>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</si>
  <si>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</si>
  <si>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</si>
  <si>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</si>
  <si>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</si>
  <si>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</si>
  <si>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</si>
  <si>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</si>
  <si>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</si>
  <si>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</si>
  <si>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</si>
  <si>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</si>
  <si>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</si>
  <si>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</si>
  <si>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</si>
  <si>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</si>
  <si>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</si>
  <si>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</si>
  <si>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</si>
  <si>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</si>
  <si>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</si>
  <si>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</si>
  <si>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</si>
  <si>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</si>
  <si>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</si>
  <si>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</si>
  <si>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</si>
  <si>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</si>
  <si>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</si>
  <si>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</si>
  <si>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</si>
  <si>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</si>
  <si>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</si>
  <si>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</si>
  <si>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</si>
  <si>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</si>
  <si>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</si>
  <si>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</si>
  <si>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</si>
  <si>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</si>
  <si>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</si>
  <si>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</si>
  <si>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</si>
  <si>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</si>
  <si>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</si>
  <si>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</si>
  <si>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</si>
  <si>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</si>
  <si>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</si>
  <si>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</si>
  <si>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</si>
  <si>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</si>
  <si>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</si>
  <si>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</si>
  <si>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</si>
  <si>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</si>
  <si>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</si>
  <si>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</si>
  <si>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</si>
  <si>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</si>
  <si>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</si>
  <si>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</si>
  <si>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</si>
  <si>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</si>
  <si>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</si>
  <si>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</si>
  <si>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</si>
  <si>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</si>
  <si>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</si>
  <si>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</si>
  <si>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</si>
  <si>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</si>
  <si>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</si>
  <si>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</si>
  <si>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</si>
  <si>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</si>
  <si>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</si>
  <si>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</si>
  <si>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</si>
  <si>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</si>
  <si>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</si>
  <si>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</si>
  <si>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</si>
  <si>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</si>
  <si>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</si>
  <si>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</si>
  <si>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</si>
  <si>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</si>
  <si>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</si>
  <si>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</si>
  <si>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</si>
  <si>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</si>
  <si>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</si>
  <si>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</si>
  <si>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</si>
  <si>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</si>
  <si>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</si>
  <si>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</si>
  <si>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</si>
  <si>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</si>
  <si>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</si>
  <si>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</si>
  <si>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</si>
  <si>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</si>
  <si>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</si>
  <si>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</si>
  <si>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</si>
  <si>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</si>
  <si>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</si>
  <si>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</si>
  <si>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</si>
  <si>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</si>
  <si>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</si>
  <si>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</si>
  <si>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</si>
  <si>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</si>
  <si>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</si>
  <si>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</si>
  <si>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</si>
  <si>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</si>
  <si>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</si>
  <si>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</si>
  <si>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</si>
  <si>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</si>
  <si>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</si>
  <si>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</si>
  <si>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</si>
  <si>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</si>
  <si>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</si>
  <si>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</si>
  <si>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</si>
  <si>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</si>
  <si>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</si>
  <si>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</si>
  <si>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</si>
  <si>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</si>
  <si>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</si>
  <si>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</si>
  <si>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</si>
  <si>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</si>
  <si>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</si>
  <si>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</si>
  <si>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</si>
  <si>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</si>
  <si>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</si>
  <si>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</si>
  <si>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</si>
  <si>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</si>
  <si>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</si>
  <si>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</si>
  <si>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</si>
  <si>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</si>
  <si>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</si>
  <si>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</si>
  <si>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</si>
  <si>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</si>
  <si>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</si>
  <si>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</si>
  <si>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</si>
  <si>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</si>
  <si>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</si>
  <si>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</si>
  <si>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</si>
  <si>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</si>
  <si>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</si>
  <si>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</si>
  <si>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</si>
  <si>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</si>
  <si>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</si>
  <si>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</si>
  <si>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</si>
  <si>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</si>
  <si>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</si>
  <si>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</si>
  <si>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</si>
  <si>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</si>
  <si>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</si>
  <si>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</si>
  <si>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</si>
  <si>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</si>
  <si>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</si>
  <si>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</si>
  <si>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</si>
  <si>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</si>
  <si>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</si>
  <si>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</si>
  <si>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</si>
  <si>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</si>
  <si>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</si>
  <si>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</si>
  <si>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</si>
  <si>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</si>
  <si>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</si>
  <si>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</si>
  <si>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</si>
  <si>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</si>
  <si>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</si>
  <si>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</si>
  <si>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</si>
  <si>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</si>
  <si>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</si>
  <si>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</si>
  <si>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</si>
  <si>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</si>
  <si>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</si>
  <si>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</si>
  <si>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</si>
  <si>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</si>
  <si>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</si>
  <si>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</si>
  <si>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</si>
  <si>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</si>
  <si>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</si>
  <si>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</si>
  <si>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</si>
  <si>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</si>
  <si>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</si>
  <si>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</si>
  <si>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</si>
  <si>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</si>
  <si>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</si>
  <si>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</si>
  <si>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</si>
  <si>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</si>
  <si>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</si>
  <si>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</si>
  <si>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</si>
  <si>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</si>
  <si>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</si>
  <si>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</si>
  <si>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</si>
  <si>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</si>
  <si>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</si>
  <si>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</si>
  <si>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</si>
  <si>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</si>
  <si>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</si>
  <si>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</si>
  <si>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</si>
  <si>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</si>
  <si>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</si>
  <si>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</si>
  <si>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</si>
  <si>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</si>
  <si>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</si>
  <si>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</si>
  <si>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</si>
  <si>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</si>
  <si>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</si>
  <si>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</si>
  <si>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</si>
  <si>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</si>
  <si>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</si>
  <si>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</si>
  <si>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</si>
  <si>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</si>
  <si>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</si>
  <si>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</si>
  <si>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</si>
  <si>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</si>
  <si>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</si>
  <si>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</si>
  <si>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</si>
  <si>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</si>
  <si>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</si>
  <si>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</si>
  <si>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</si>
  <si>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</si>
  <si>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</si>
  <si>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</si>
  <si>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</si>
  <si>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</si>
  <si>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</si>
  <si>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</si>
  <si>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</si>
  <si>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</si>
  <si>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</si>
  <si>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</si>
  <si>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</si>
  <si>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</si>
  <si>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</si>
  <si>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</si>
  <si>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</si>
  <si>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</si>
  <si>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</si>
  <si>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</si>
  <si>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</si>
  <si>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</si>
  <si>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</si>
  <si>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</si>
  <si>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</si>
  <si>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</si>
  <si>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</si>
  <si>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</si>
  <si>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</si>
  <si>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</si>
  <si>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</si>
  <si>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</si>
  <si>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</si>
  <si>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</si>
  <si>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</si>
  <si>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</si>
  <si>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</si>
  <si>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</si>
  <si>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</si>
  <si>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</si>
  <si>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</si>
  <si>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</si>
  <si>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</si>
  <si>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</si>
  <si>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</si>
  <si>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</si>
  <si>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</si>
  <si>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</si>
  <si>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</si>
  <si>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</si>
  <si>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</si>
  <si>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</si>
  <si>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</si>
  <si>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</si>
  <si>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</si>
  <si>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</si>
  <si>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</si>
  <si>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</si>
  <si>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</si>
  <si>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</si>
  <si>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</si>
  <si>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</si>
  <si>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</si>
  <si>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</si>
  <si>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</si>
  <si>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</si>
  <si>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</si>
  <si>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</si>
  <si>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</si>
  <si>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</si>
  <si>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</si>
  <si>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</si>
  <si>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</si>
  <si>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</si>
  <si>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</si>
  <si>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</si>
  <si>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</si>
  <si>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</si>
  <si>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</si>
  <si>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</si>
  <si>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</si>
  <si>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</si>
  <si>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</si>
  <si>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</si>
  <si>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</si>
  <si>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</si>
  <si>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</si>
  <si>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</si>
  <si>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</si>
  <si>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</si>
  <si>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</si>
  <si>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</si>
  <si>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</si>
  <si>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</si>
  <si>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</si>
  <si>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</si>
  <si>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</si>
  <si>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</si>
  <si>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</si>
  <si>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</si>
  <si>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</si>
  <si>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</si>
  <si>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</si>
  <si>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</si>
  <si>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</si>
  <si>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</si>
  <si>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</si>
  <si>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</si>
  <si>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</si>
  <si>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</si>
  <si>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</si>
  <si>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</si>
  <si>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</si>
  <si>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</si>
  <si>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</si>
  <si>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</si>
  <si>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</si>
  <si>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</si>
  <si>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</si>
  <si>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</si>
  <si>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</si>
  <si>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</si>
  <si>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</si>
  <si>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</si>
  <si>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</si>
  <si>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</si>
  <si>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</si>
  <si>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</si>
  <si>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</si>
  <si>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</si>
  <si>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</si>
  <si>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</si>
  <si>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</si>
  <si>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</si>
  <si>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</si>
  <si>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</si>
  <si>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</si>
  <si>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</si>
  <si>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</si>
  <si>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</si>
  <si>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</si>
  <si>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</si>
  <si>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</si>
  <si>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</si>
  <si>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</si>
  <si>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</si>
  <si>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</si>
  <si>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</si>
  <si>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</si>
  <si>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</si>
  <si>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</si>
  <si>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</si>
  <si>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</si>
  <si>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</si>
  <si>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</si>
  <si>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</si>
  <si>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</si>
  <si>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</si>
  <si>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</si>
  <si>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</si>
  <si>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</si>
  <si>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</si>
  <si>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</si>
  <si>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</si>
  <si>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</si>
  <si>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</si>
  <si>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</si>
  <si>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</si>
  <si>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</si>
  <si>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</si>
  <si>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</si>
  <si>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</si>
  <si>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</si>
  <si>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</si>
  <si>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</si>
  <si>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</si>
  <si>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</si>
  <si>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</si>
  <si>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</si>
  <si>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</si>
  <si>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</si>
  <si>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</si>
  <si>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</si>
  <si>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</si>
  <si>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</si>
  <si>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</si>
  <si>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</si>
  <si>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</si>
  <si>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</si>
  <si>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</si>
  <si>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</si>
  <si>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</si>
  <si>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</si>
  <si>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</si>
  <si>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</si>
  <si>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</si>
  <si>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</si>
  <si>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</si>
  <si>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</si>
  <si>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</si>
  <si>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</si>
  <si>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</si>
  <si>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</si>
  <si>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</si>
  <si>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</si>
  <si>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</si>
  <si>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</si>
  <si>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</si>
  <si>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</si>
  <si>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</si>
  <si>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</si>
  <si>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</si>
  <si>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</si>
  <si>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</si>
  <si>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</si>
  <si>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</si>
  <si>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</si>
  <si>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</si>
  <si>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</si>
  <si>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</si>
  <si>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</si>
  <si>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</si>
  <si>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</si>
  <si>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</si>
  <si>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</si>
  <si>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</si>
  <si>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</si>
  <si>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</si>
  <si>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</si>
  <si>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</si>
  <si>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</si>
  <si>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</si>
  <si>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</si>
  <si>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</si>
  <si>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</si>
  <si>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</si>
  <si>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</si>
  <si>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</si>
  <si>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</si>
  <si>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</si>
  <si>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</si>
  <si>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</si>
  <si>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</si>
  <si>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</si>
  <si>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</si>
  <si>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</si>
  <si>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</si>
  <si>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</si>
  <si>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</si>
  <si>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</si>
  <si>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</si>
  <si>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</si>
  <si>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</si>
  <si>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</si>
  <si>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</si>
  <si>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</si>
  <si>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</si>
  <si>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</si>
  <si>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</si>
  <si>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</si>
  <si>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</si>
  <si>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</si>
  <si>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</si>
  <si>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</si>
  <si>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</si>
  <si>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</si>
  <si>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</si>
  <si>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</si>
  <si>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</si>
  <si>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</si>
  <si>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</si>
  <si>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</si>
  <si>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</si>
  <si>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</si>
  <si>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</si>
  <si>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</si>
  <si>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</si>
  <si>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</si>
  <si>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</si>
  <si>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</si>
  <si>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</si>
  <si>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</si>
  <si>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</si>
  <si>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</si>
  <si>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</si>
  <si>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</si>
  <si>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</si>
  <si>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</si>
  <si>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</si>
  <si>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</si>
  <si>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</si>
  <si>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</si>
  <si>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</si>
  <si>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</si>
  <si>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</si>
  <si>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</si>
  <si>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</si>
  <si>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</si>
  <si>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</si>
  <si>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</si>
  <si>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</si>
  <si>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</si>
  <si>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</si>
  <si>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</si>
  <si>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</si>
  <si>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</si>
  <si>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</si>
  <si>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</si>
  <si>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</si>
  <si>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</si>
  <si>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</si>
  <si>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</si>
  <si>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</si>
  <si>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</si>
  <si>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</si>
  <si>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</si>
  <si>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</si>
  <si>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</si>
  <si>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</si>
  <si>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</si>
  <si>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</si>
  <si>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</si>
  <si>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</si>
  <si>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</si>
  <si>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</si>
  <si>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</si>
  <si>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</si>
  <si>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</si>
  <si>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</si>
  <si>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</si>
  <si>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</si>
  <si>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</si>
  <si>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</si>
  <si>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</si>
  <si>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</si>
  <si>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</si>
  <si>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</si>
  <si>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</si>
  <si>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</si>
  <si>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</si>
  <si>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</si>
  <si>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</si>
  <si>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</si>
  <si>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</si>
  <si>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</si>
  <si>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</si>
  <si>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</si>
  <si>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</si>
  <si>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</si>
  <si>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</si>
  <si>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</si>
  <si>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</si>
  <si>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</si>
  <si>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</si>
  <si>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</si>
  <si>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</si>
  <si>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</si>
  <si>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</si>
  <si>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</si>
  <si>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</si>
  <si>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</si>
  <si>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</si>
  <si>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</si>
  <si>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</si>
  <si>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</si>
  <si>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</si>
  <si>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</si>
  <si>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</si>
  <si>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</si>
  <si>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</si>
  <si>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</si>
  <si>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</si>
  <si>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</si>
  <si>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</si>
  <si>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</si>
  <si>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</si>
  <si>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</si>
  <si>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</si>
  <si>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</si>
  <si>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</si>
  <si>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</si>
  <si>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</si>
  <si>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</si>
  <si>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</si>
  <si>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</si>
  <si>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</si>
  <si>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</si>
  <si>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</si>
  <si>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</si>
  <si>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</si>
  <si>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</si>
  <si>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</si>
  <si>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</si>
  <si>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</si>
  <si>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</si>
  <si>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</si>
  <si>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</si>
  <si>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</si>
  <si>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</si>
  <si>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</si>
  <si>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</si>
  <si>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</si>
  <si>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</si>
  <si>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</si>
  <si>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</si>
  <si>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</si>
  <si>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</si>
  <si>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</si>
  <si>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</si>
  <si>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</si>
  <si>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</si>
  <si>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</si>
  <si>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</si>
  <si>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</si>
  <si>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</si>
  <si>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</si>
  <si>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</si>
  <si>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</si>
  <si>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</si>
  <si>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</si>
  <si>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</si>
  <si>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</si>
  <si>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</si>
  <si>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</si>
  <si>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</si>
  <si>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</si>
  <si>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</si>
  <si>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</si>
  <si>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</si>
  <si>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</si>
  <si>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</si>
  <si>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</si>
  <si>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</si>
  <si>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</si>
  <si>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</si>
  <si>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</si>
  <si>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</si>
  <si>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</si>
  <si>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</si>
  <si>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</si>
  <si>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</si>
  <si>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</si>
  <si>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</si>
  <si>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</si>
  <si>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</si>
  <si>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</si>
  <si>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</si>
  <si>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</si>
  <si>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</si>
  <si>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</si>
  <si>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</si>
  <si>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</si>
  <si>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</si>
  <si>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</si>
  <si>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</si>
  <si>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</si>
  <si>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</si>
  <si>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</si>
  <si>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</si>
  <si>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</si>
  <si>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</si>
  <si>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</si>
  <si>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</si>
  <si>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</si>
  <si>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</si>
  <si>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</si>
  <si>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</si>
  <si>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</si>
  <si>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</si>
  <si>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</si>
  <si>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</si>
  <si>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</si>
  <si>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</si>
  <si>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</si>
  <si>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</si>
  <si>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</si>
  <si>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</si>
  <si>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</si>
  <si>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</si>
  <si>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</si>
  <si>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</si>
  <si>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</si>
  <si>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</si>
  <si>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</si>
  <si>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</si>
  <si>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</si>
  <si>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</si>
  <si>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</si>
  <si>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</si>
  <si>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</si>
  <si>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</si>
  <si>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</si>
  <si>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</si>
  <si>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</si>
  <si>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</si>
  <si>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</si>
  <si>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</si>
  <si>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</si>
  <si>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</si>
  <si>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</si>
  <si>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</si>
  <si>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</si>
  <si>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</si>
  <si>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</si>
  <si>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</si>
  <si>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</si>
  <si>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</si>
  <si>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</si>
  <si>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</si>
  <si>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</si>
  <si>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</si>
  <si>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</si>
  <si>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</si>
  <si>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</si>
  <si>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</si>
  <si>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</si>
  <si>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</si>
  <si>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</si>
  <si>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</si>
  <si>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</si>
  <si>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</si>
  <si>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</si>
  <si>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</si>
  <si>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</si>
  <si>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</si>
  <si>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</si>
  <si>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</si>
  <si>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</si>
  <si>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</si>
  <si>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</si>
  <si>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</si>
  <si>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</si>
  <si>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</si>
  <si>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</si>
  <si>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</si>
  <si>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</si>
  <si>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</si>
  <si>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</si>
  <si>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</si>
  <si>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</si>
  <si>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</si>
  <si>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</si>
  <si>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</si>
  <si>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</si>
  <si>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</si>
  <si>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</si>
  <si>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</si>
  <si>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</si>
  <si>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</si>
  <si>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</si>
  <si>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</si>
  <si>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</si>
  <si>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</si>
  <si>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</si>
  <si>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</si>
  <si>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</si>
  <si>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</si>
  <si>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</si>
  <si>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</si>
  <si>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</si>
  <si>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</si>
  <si>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</si>
  <si>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</si>
  <si>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</si>
  <si>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</si>
  <si>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</si>
  <si>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</si>
  <si>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</si>
  <si>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</si>
  <si>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</si>
  <si>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</si>
  <si>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</si>
  <si>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</si>
  <si>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</si>
  <si>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</si>
  <si>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</si>
  <si>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</si>
  <si>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</si>
  <si>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</si>
  <si>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</si>
  <si>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</si>
  <si>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</si>
  <si>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</si>
  <si>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</si>
  <si>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</si>
  <si>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</si>
  <si>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</si>
  <si>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</si>
  <si>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</si>
  <si>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</si>
  <si>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</si>
  <si>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</si>
  <si>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</si>
  <si>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</si>
  <si>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</si>
  <si>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</si>
  <si>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</si>
  <si>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</si>
  <si>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</si>
  <si>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</si>
  <si>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</si>
  <si>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</si>
  <si>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</si>
  <si>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</si>
  <si>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</si>
  <si>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</si>
  <si>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</si>
  <si>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</si>
  <si>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</si>
  <si>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</si>
  <si>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</si>
  <si>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</si>
  <si>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</si>
  <si>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</si>
  <si>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</si>
  <si>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</si>
  <si>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</si>
  <si>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</si>
  <si>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</si>
  <si>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</si>
  <si>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</si>
  <si>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</si>
  <si>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</si>
  <si>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</si>
  <si>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</si>
  <si>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</si>
  <si>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</si>
  <si>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</si>
  <si>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</si>
  <si>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</si>
  <si>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</si>
  <si>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</si>
  <si>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</si>
  <si>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</si>
  <si>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</si>
  <si>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</si>
  <si>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</si>
  <si>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</si>
  <si>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</si>
  <si>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</si>
  <si>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</si>
  <si>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</si>
  <si>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</si>
  <si>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</si>
  <si>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</si>
  <si>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</si>
  <si>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</si>
  <si>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</si>
  <si>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</si>
  <si>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</si>
  <si>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</si>
  <si>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</si>
  <si>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</si>
  <si>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</si>
  <si>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</si>
  <si>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</si>
  <si>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</si>
  <si>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</si>
  <si>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</si>
  <si>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</si>
  <si>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</si>
  <si>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</si>
  <si>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</si>
  <si>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</si>
  <si>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</si>
  <si>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</si>
  <si>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</si>
  <si>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</si>
  <si>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</si>
  <si>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</si>
  <si>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</si>
  <si>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</si>
  <si>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</si>
  <si>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</si>
  <si>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</si>
  <si>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</si>
  <si>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</si>
  <si>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</si>
  <si>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</si>
  <si>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</si>
  <si>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</si>
  <si>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</si>
  <si>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</si>
  <si>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</si>
  <si>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</si>
  <si>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</si>
  <si>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</si>
  <si>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</si>
  <si>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</si>
  <si>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</si>
  <si>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</si>
  <si>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</si>
  <si>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</si>
  <si>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</si>
  <si>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</si>
  <si>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</si>
  <si>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</si>
  <si>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</si>
  <si>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</si>
  <si>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</si>
  <si>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</si>
  <si>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</si>
  <si>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</si>
  <si>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</si>
  <si>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</si>
  <si>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</si>
  <si>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</si>
  <si>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</si>
  <si>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</si>
  <si>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</si>
  <si>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</si>
  <si>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</si>
  <si>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</si>
  <si>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</si>
  <si>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</si>
  <si>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</si>
  <si>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</si>
  <si>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</si>
  <si>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</si>
  <si>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</si>
  <si>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</si>
  <si>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</si>
  <si>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</si>
  <si>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</si>
  <si>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</si>
  <si>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</si>
  <si>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</si>
  <si>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</si>
  <si>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</si>
  <si>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</si>
  <si>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</si>
  <si>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</si>
  <si>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</si>
  <si>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</si>
  <si>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</si>
  <si>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</si>
  <si>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</si>
  <si>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</si>
  <si>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</si>
  <si>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</si>
  <si>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</si>
  <si>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</si>
  <si>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</si>
  <si>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</si>
  <si>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</si>
  <si>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</si>
  <si>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</si>
  <si>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</si>
  <si>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</si>
  <si>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</si>
  <si>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</si>
  <si>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</si>
  <si>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</si>
  <si>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</si>
  <si>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</si>
  <si>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</si>
  <si>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</si>
  <si>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</si>
  <si>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</si>
  <si>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</si>
  <si>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</si>
  <si>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</si>
  <si>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</si>
  <si>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</si>
  <si>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</si>
  <si>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</si>
  <si>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</si>
  <si>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</si>
  <si>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</si>
  <si>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</si>
  <si>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</si>
  <si>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</si>
  <si>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</si>
  <si>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</si>
  <si>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</si>
  <si>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</si>
  <si>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</si>
  <si>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</si>
  <si>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</si>
  <si>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</si>
  <si>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</si>
  <si>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</si>
  <si>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</si>
  <si>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</si>
  <si>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</si>
  <si>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</si>
  <si>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</si>
  <si>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</si>
  <si>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</si>
  <si>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</si>
  <si>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</si>
  <si>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</si>
  <si>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</si>
  <si>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</si>
  <si>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</si>
  <si>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</si>
  <si>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</si>
  <si>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</si>
  <si>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</si>
  <si>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</si>
  <si>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</si>
  <si>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</si>
  <si>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</si>
  <si>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</si>
  <si>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</si>
  <si>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</si>
  <si>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</si>
  <si>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</si>
  <si>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</si>
  <si>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</si>
  <si>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</si>
  <si>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</si>
  <si>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</si>
  <si>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</si>
  <si>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</si>
  <si>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</si>
  <si>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</si>
  <si>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</si>
  <si>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</si>
  <si>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</si>
  <si>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</si>
  <si>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</si>
  <si>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</si>
  <si>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</si>
  <si>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</si>
  <si>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</si>
  <si>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</si>
  <si>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</si>
  <si>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</si>
  <si>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</si>
  <si>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</si>
  <si>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</si>
  <si>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</si>
  <si>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</si>
  <si>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</si>
  <si>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</si>
  <si>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</si>
  <si>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</si>
  <si>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</si>
  <si>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</si>
  <si>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</si>
  <si>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</si>
  <si>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</si>
  <si>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</si>
  <si>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</si>
  <si>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</si>
  <si>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</si>
  <si>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</si>
  <si>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</si>
  <si>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</si>
  <si>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</si>
  <si>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</si>
  <si>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</si>
  <si>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</si>
  <si>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</si>
  <si>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</si>
  <si>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</si>
  <si>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</si>
  <si>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</si>
  <si>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</si>
  <si>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</si>
  <si>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</si>
  <si>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</si>
  <si>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</si>
  <si>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</si>
  <si>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</si>
  <si>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</si>
  <si>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</si>
  <si>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</si>
  <si>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</si>
  <si>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</si>
  <si>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</si>
  <si>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</si>
  <si>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</si>
  <si>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</si>
  <si>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</si>
  <si>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</si>
  <si>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</si>
  <si>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</si>
  <si>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</si>
  <si>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</si>
  <si>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</si>
  <si>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</si>
  <si>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</si>
  <si>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</si>
  <si>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</si>
  <si>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</si>
  <si>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</si>
  <si>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</si>
  <si>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</si>
  <si>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</si>
  <si>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</si>
  <si>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</si>
  <si>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</si>
  <si>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</si>
  <si>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</si>
  <si>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</si>
  <si>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</si>
  <si>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</si>
  <si>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</si>
  <si>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</si>
  <si>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</si>
  <si>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</si>
  <si>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</si>
  <si>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</si>
  <si>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</si>
  <si>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</si>
  <si>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</si>
  <si>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</si>
  <si>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</si>
  <si>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</si>
  <si>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</si>
  <si>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</si>
  <si>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</si>
  <si>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</si>
  <si>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</si>
  <si>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</si>
  <si>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</si>
  <si>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</si>
  <si>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</si>
  <si>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</si>
  <si>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</si>
  <si>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</si>
  <si>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</si>
  <si>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</si>
  <si>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</si>
  <si>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</si>
  <si>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</si>
  <si>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</si>
  <si>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</si>
  <si>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</si>
  <si>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</si>
  <si>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</si>
  <si>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</si>
  <si>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</si>
  <si>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</si>
  <si>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</si>
  <si>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</si>
  <si>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</si>
  <si>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</si>
  <si>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</si>
  <si>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</si>
  <si>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</si>
  <si>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</si>
  <si>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</si>
  <si>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</si>
  <si>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</si>
  <si>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</si>
  <si>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</si>
  <si>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</si>
  <si>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</si>
  <si>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</si>
  <si>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</si>
  <si>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</si>
  <si>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</si>
  <si>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</si>
  <si>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</si>
  <si>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</si>
  <si>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</si>
  <si>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</si>
  <si>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</si>
  <si>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</si>
  <si>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</si>
  <si>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</si>
  <si>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</si>
  <si>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</si>
  <si>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</si>
  <si>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</si>
  <si>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</si>
  <si>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</si>
  <si>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</si>
  <si>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</si>
  <si>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</si>
  <si>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</si>
  <si>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</si>
  <si>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</si>
  <si>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</si>
  <si>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</si>
  <si>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</si>
  <si>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</si>
  <si>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</si>
  <si>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</si>
  <si>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</si>
  <si>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</si>
  <si>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</si>
  <si>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</si>
  <si>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</si>
  <si>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</si>
  <si>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</si>
  <si>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</si>
  <si>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</si>
  <si>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</si>
  <si>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</si>
  <si>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</si>
  <si>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</si>
  <si>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</si>
  <si>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</si>
  <si>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</si>
  <si>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</si>
  <si>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</si>
  <si>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</si>
  <si>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</si>
  <si>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</si>
  <si>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</si>
  <si>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</si>
  <si>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</si>
  <si>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</si>
  <si>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</si>
  <si>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</si>
  <si>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</si>
  <si>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</si>
  <si>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</si>
  <si>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</si>
  <si>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</si>
  <si>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</si>
  <si>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</si>
  <si>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</si>
  <si>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</si>
  <si>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</si>
  <si>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</si>
  <si>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</si>
  <si>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</si>
  <si>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</si>
  <si>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</si>
  <si>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</si>
  <si>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</si>
  <si>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</si>
  <si>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</si>
  <si>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</si>
  <si>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</si>
  <si>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</si>
  <si>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</si>
  <si>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</si>
  <si>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</si>
  <si>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</si>
  <si>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</si>
  <si>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</si>
  <si>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</si>
  <si>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</si>
  <si>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</si>
  <si>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</si>
  <si>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</si>
  <si>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</si>
  <si>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</si>
  <si>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</si>
  <si>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</si>
  <si>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</si>
  <si>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</si>
  <si>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</si>
  <si>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</si>
  <si>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</si>
  <si>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</si>
  <si>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</si>
  <si>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</si>
  <si>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</si>
  <si>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</si>
  <si>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</si>
  <si>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</si>
  <si>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</si>
  <si>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</si>
  <si>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</si>
  <si>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</si>
  <si>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</si>
  <si>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</si>
  <si>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</si>
  <si>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</si>
  <si>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</si>
  <si>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</si>
  <si>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</si>
  <si>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</si>
  <si>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</si>
  <si>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</si>
  <si>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</si>
  <si>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</si>
  <si>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</si>
  <si>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</si>
  <si>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</si>
  <si>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</si>
  <si>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</si>
  <si>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</si>
  <si>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</si>
  <si>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</si>
  <si>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</si>
  <si>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</si>
  <si>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</si>
  <si>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</si>
  <si>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</si>
  <si>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</si>
  <si>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</si>
  <si>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</si>
  <si>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</si>
  <si>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</si>
  <si>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</si>
  <si>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</si>
  <si>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</si>
  <si>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</si>
  <si>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</si>
  <si>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</si>
  <si>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</si>
  <si>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</si>
  <si>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</si>
  <si>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</si>
  <si>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</si>
  <si>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</si>
  <si>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</si>
  <si>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</si>
  <si>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</si>
  <si>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</si>
  <si>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</si>
  <si>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</si>
  <si>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</si>
  <si>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</si>
  <si>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</si>
  <si>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</si>
  <si>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</si>
  <si>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</si>
  <si>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</si>
  <si>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</si>
  <si>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</si>
  <si>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</si>
  <si>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</si>
  <si>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</si>
  <si>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</si>
  <si>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</si>
  <si>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</si>
  <si>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</si>
  <si>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</si>
  <si>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</si>
  <si>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</si>
  <si>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</si>
  <si>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</si>
  <si>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</si>
  <si>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</si>
  <si>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</si>
  <si>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</si>
  <si>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</si>
  <si>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</si>
  <si>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</si>
  <si>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</si>
  <si>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</si>
  <si>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</si>
  <si>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</si>
  <si>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</si>
  <si>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</si>
  <si>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</si>
  <si>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</si>
  <si>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</si>
  <si>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</si>
  <si>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</si>
  <si>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</si>
  <si>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</si>
  <si>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</si>
  <si>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</si>
  <si>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</si>
  <si>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</si>
  <si>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</si>
  <si>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</si>
  <si>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</si>
  <si>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</si>
  <si>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</si>
  <si>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</si>
  <si>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</si>
  <si>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</si>
  <si>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</si>
  <si>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</si>
  <si>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</si>
  <si>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</si>
  <si>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</si>
  <si>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</si>
  <si>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</si>
  <si>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</si>
  <si>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</si>
  <si>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</si>
  <si>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</si>
  <si>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</si>
  <si>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</si>
  <si>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</si>
  <si>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</si>
  <si>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</si>
  <si>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</si>
  <si>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</si>
  <si>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</si>
  <si>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</si>
  <si>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</si>
  <si>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</si>
  <si>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</si>
  <si>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</si>
  <si>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</si>
  <si>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</si>
  <si>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</si>
  <si>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</si>
  <si>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</si>
  <si>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</si>
  <si>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</si>
  <si>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</si>
  <si>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</si>
  <si>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</si>
  <si>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</si>
  <si>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</si>
  <si>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</si>
  <si>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</si>
  <si>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</si>
  <si>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</si>
  <si>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</si>
  <si>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</si>
  <si>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</si>
  <si>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</si>
  <si>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</si>
  <si>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</si>
  <si>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</si>
  <si>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</si>
  <si>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</si>
  <si>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</si>
  <si>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</si>
  <si>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</si>
  <si>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</si>
  <si>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</si>
  <si>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</si>
  <si>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</si>
  <si>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</si>
  <si>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</si>
  <si>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</si>
  <si>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</si>
  <si>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</si>
  <si>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</si>
  <si>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</si>
  <si>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</si>
  <si>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</si>
  <si>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</si>
  <si>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</si>
  <si>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</si>
  <si>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</si>
  <si>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</si>
  <si>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</si>
  <si>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</si>
  <si>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</si>
  <si>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</si>
  <si>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</si>
  <si>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</si>
  <si>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</si>
  <si>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</si>
  <si>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</si>
  <si>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</si>
  <si>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</si>
  <si>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</si>
  <si>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</si>
  <si>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</si>
  <si>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</si>
  <si>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</si>
  <si>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</si>
  <si>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</si>
  <si>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</si>
  <si>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</si>
  <si>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</si>
  <si>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</si>
  <si>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</si>
  <si>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</si>
  <si>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</si>
  <si>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</si>
  <si>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</si>
  <si>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</si>
  <si>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</si>
  <si>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</si>
  <si>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</si>
  <si>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</si>
  <si>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</si>
  <si>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</si>
  <si>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</si>
  <si>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</si>
  <si>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</si>
  <si>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</si>
  <si>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</si>
  <si>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</si>
  <si>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</si>
  <si>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</si>
  <si>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</si>
  <si>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</si>
  <si>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</si>
  <si>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</si>
  <si>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</si>
  <si>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</si>
  <si>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</si>
  <si>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</si>
  <si>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</si>
  <si>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</si>
  <si>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</si>
  <si>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</si>
  <si>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</si>
  <si>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</si>
  <si>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</si>
  <si>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</si>
  <si>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</si>
  <si>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</si>
  <si>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</si>
  <si>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</si>
  <si>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</si>
  <si>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</si>
  <si>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</si>
  <si>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</si>
  <si>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</si>
  <si>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</si>
  <si>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</si>
  <si>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</si>
  <si>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</si>
  <si>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</si>
  <si>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</si>
  <si>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</si>
  <si>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</si>
  <si>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</si>
  <si>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</si>
  <si>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</si>
  <si>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</si>
  <si>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</si>
  <si>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</si>
  <si>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</si>
  <si>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</si>
  <si>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</si>
  <si>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</si>
  <si>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</si>
  <si>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</si>
  <si>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</si>
  <si>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</si>
  <si>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</si>
  <si>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</si>
  <si>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</si>
  <si>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</si>
  <si>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</si>
  <si>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</si>
  <si>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</si>
  <si>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</si>
  <si>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</si>
  <si>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</si>
  <si>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</si>
  <si>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</si>
  <si>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</si>
  <si>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</si>
  <si>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</si>
  <si>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</si>
  <si>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</si>
  <si>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</si>
  <si>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</si>
  <si>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</si>
  <si>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</si>
  <si>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</si>
  <si>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</si>
  <si>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</si>
  <si>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</si>
  <si>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</si>
  <si>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</si>
  <si>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</si>
  <si>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</si>
  <si>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</si>
  <si>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</si>
  <si>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</si>
  <si>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</si>
  <si>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</si>
  <si>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</si>
  <si>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</si>
  <si>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</si>
  <si>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</si>
  <si>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</si>
  <si>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</si>
  <si>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</si>
  <si>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</si>
  <si>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</si>
  <si>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</si>
  <si>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</si>
  <si>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</si>
  <si>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</si>
  <si>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</si>
  <si>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</si>
  <si>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</si>
  <si>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</si>
  <si>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</si>
  <si>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</si>
  <si>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</si>
  <si>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</si>
  <si>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</si>
  <si>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</si>
  <si>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</si>
  <si>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</si>
  <si>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</si>
  <si>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</si>
  <si>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</si>
  <si>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</si>
  <si>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</si>
  <si>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</si>
  <si>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</si>
  <si>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</si>
  <si>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</si>
  <si>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</si>
  <si>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</si>
  <si>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</si>
  <si>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</si>
  <si>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</si>
  <si>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</si>
  <si>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</si>
  <si>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</si>
  <si>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</si>
  <si>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</si>
  <si>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</si>
  <si>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</si>
  <si>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</si>
  <si>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</si>
  <si>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</si>
  <si>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</si>
  <si>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</si>
  <si>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</si>
  <si>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</si>
  <si>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</si>
  <si>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</si>
  <si>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</si>
  <si>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</si>
  <si>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</si>
  <si>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</si>
  <si>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</si>
  <si>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</si>
  <si>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</si>
  <si>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</si>
  <si>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</si>
  <si>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</si>
  <si>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</si>
  <si>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</si>
  <si>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</si>
  <si>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</si>
  <si>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</si>
  <si>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</si>
  <si>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</si>
  <si>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</si>
  <si>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</si>
  <si>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</si>
  <si>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</si>
  <si>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</si>
  <si>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</si>
  <si>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</si>
  <si>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</si>
  <si>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</si>
  <si>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</si>
  <si>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</si>
  <si>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</si>
  <si>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</si>
  <si>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</si>
  <si>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</si>
  <si>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</si>
  <si>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</si>
  <si>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</si>
  <si>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</si>
  <si>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</si>
  <si>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</si>
  <si>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</si>
  <si>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</si>
  <si>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</si>
  <si>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</si>
  <si>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</si>
  <si>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</si>
  <si>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</si>
  <si>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</si>
  <si>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</si>
  <si>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</si>
  <si>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</si>
  <si>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</si>
  <si>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</si>
  <si>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</si>
  <si>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</si>
  <si>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</si>
  <si>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</si>
  <si>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</si>
  <si>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</si>
  <si>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</si>
  <si>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</si>
  <si>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</si>
  <si>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</si>
  <si>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</si>
  <si>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</si>
  <si>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</si>
  <si>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</si>
  <si>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</si>
  <si>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</si>
  <si>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</si>
  <si>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</si>
  <si>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</si>
  <si>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</si>
  <si>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</si>
  <si>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</si>
  <si>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</si>
  <si>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</si>
  <si>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</si>
  <si>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</si>
  <si>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</si>
  <si>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</si>
  <si>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</si>
  <si>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</si>
  <si>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</si>
  <si>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</si>
  <si>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</si>
  <si>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</si>
  <si>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</si>
  <si>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</si>
  <si>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</si>
  <si>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</si>
  <si>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</si>
  <si>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</si>
  <si>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</si>
  <si>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</si>
  <si>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</si>
  <si>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</si>
  <si>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</si>
  <si>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</si>
  <si>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</si>
  <si>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</si>
  <si>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</si>
  <si>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</si>
  <si>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</si>
  <si>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</si>
  <si>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</si>
  <si>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</si>
  <si>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</si>
  <si>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</si>
  <si>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</si>
  <si>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</si>
  <si>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</si>
  <si>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</si>
  <si>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</si>
  <si>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</si>
  <si>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</si>
  <si>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</si>
  <si>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</si>
  <si>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</si>
  <si>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</si>
  <si>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</si>
  <si>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</si>
  <si>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</si>
  <si>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</si>
  <si>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</si>
  <si>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</si>
  <si>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</si>
  <si>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</si>
  <si>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</si>
  <si>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</si>
  <si>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</si>
  <si>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</si>
  <si>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</si>
  <si>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</si>
  <si>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</si>
  <si>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</si>
  <si>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</si>
  <si>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</si>
  <si>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</si>
  <si>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</si>
  <si>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</si>
  <si>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</si>
  <si>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</si>
  <si>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</si>
  <si>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</si>
  <si>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</si>
  <si>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</si>
  <si>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</si>
  <si>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</si>
  <si>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</si>
  <si>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</si>
  <si>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</si>
  <si>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</si>
  <si>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</si>
  <si>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</si>
  <si>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</si>
  <si>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</si>
  <si>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</si>
  <si>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</si>
  <si>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</si>
  <si>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</si>
  <si>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</si>
  <si>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</si>
  <si>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</si>
  <si>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</si>
  <si>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</si>
  <si>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</si>
  <si>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</si>
  <si>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</si>
  <si>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</si>
  <si>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</si>
  <si>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</si>
  <si>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</si>
  <si>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</si>
  <si>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</si>
  <si>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</si>
  <si>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</si>
  <si>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</si>
  <si>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</si>
  <si>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</si>
  <si>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</si>
  <si>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</si>
  <si>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</si>
  <si>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</si>
  <si>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</si>
  <si>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</si>
  <si>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</si>
  <si>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</si>
  <si>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</si>
  <si>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</si>
  <si>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</si>
  <si>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</si>
  <si>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</si>
  <si>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</si>
  <si>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</si>
  <si>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</si>
  <si>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</si>
  <si>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</si>
  <si>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</si>
  <si>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</si>
  <si>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</si>
  <si>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</si>
  <si>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</si>
  <si>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</si>
  <si>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</si>
  <si>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</si>
  <si>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</si>
  <si>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</si>
  <si>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</si>
  <si>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</si>
  <si>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</si>
  <si>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</si>
  <si>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</si>
  <si>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</si>
  <si>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</si>
  <si>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</si>
  <si>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</si>
  <si>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</si>
  <si>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</si>
  <si>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</si>
  <si>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</si>
  <si>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</si>
  <si>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</si>
  <si>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</si>
  <si>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</si>
  <si>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</si>
  <si>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</si>
  <si>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</si>
  <si>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</si>
  <si>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</si>
  <si>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</si>
  <si>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</si>
  <si>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</si>
  <si>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</si>
  <si>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</si>
  <si>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</si>
  <si>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</si>
  <si>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</si>
  <si>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</si>
  <si>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</si>
  <si>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</si>
  <si>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</si>
  <si>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</si>
  <si>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</si>
  <si>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</si>
  <si>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</si>
  <si>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</si>
  <si>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</si>
  <si>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</si>
  <si>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</si>
  <si>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</si>
  <si>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</si>
  <si>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</si>
  <si>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</si>
  <si>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</si>
  <si>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</si>
  <si>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</si>
  <si>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</si>
  <si>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</si>
  <si>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</si>
  <si>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</si>
  <si>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</si>
  <si>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</si>
  <si>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</si>
  <si>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</si>
  <si>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</si>
  <si>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</si>
  <si>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</si>
  <si>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</si>
  <si>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</si>
  <si>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</si>
  <si>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</si>
  <si>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</si>
  <si>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</si>
  <si>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</si>
  <si>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</si>
  <si>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</si>
  <si>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</si>
  <si>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</si>
  <si>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</si>
  <si>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</si>
  <si>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</si>
  <si>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</si>
  <si>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</si>
  <si>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</si>
  <si>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</si>
  <si>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</si>
  <si>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</si>
  <si>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</si>
  <si>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</si>
  <si>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</si>
  <si>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</si>
  <si>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</si>
  <si>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</si>
  <si>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</si>
  <si>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</si>
  <si>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</si>
  <si>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</si>
  <si>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</si>
  <si>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</si>
  <si>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</si>
  <si>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</si>
  <si>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</si>
  <si>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</si>
  <si>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</si>
  <si>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</si>
  <si>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</si>
  <si>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</si>
  <si>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</si>
  <si>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</si>
  <si>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</si>
  <si>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</si>
  <si>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</si>
  <si>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</si>
  <si>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</si>
  <si>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</si>
  <si>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</si>
  <si>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</si>
  <si>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</si>
  <si>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</si>
  <si>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</si>
  <si>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</si>
  <si>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</si>
  <si>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</si>
  <si>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</si>
  <si>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</si>
  <si>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</si>
  <si>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</si>
  <si>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</si>
  <si>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</si>
  <si>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</si>
  <si>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</si>
  <si>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</si>
  <si>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</si>
  <si>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</si>
  <si>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</si>
  <si>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</si>
  <si>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</si>
  <si>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</si>
  <si>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</si>
  <si>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</si>
  <si>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</si>
  <si>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</si>
  <si>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</si>
  <si>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</si>
  <si>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</si>
  <si>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</si>
  <si>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</si>
  <si>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</si>
  <si>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</si>
  <si>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</si>
  <si>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</si>
  <si>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</si>
  <si>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</si>
  <si>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</si>
  <si>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</si>
  <si>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</si>
  <si>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</si>
  <si>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</si>
  <si>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</si>
  <si>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</si>
  <si>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</si>
  <si>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</si>
  <si>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</si>
  <si>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</si>
  <si>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</si>
  <si>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</si>
  <si>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</si>
  <si>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</si>
  <si>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</si>
  <si>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</si>
  <si>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</si>
  <si>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</si>
  <si>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</si>
  <si>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</si>
  <si>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</si>
  <si>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</si>
  <si>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</si>
  <si>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</si>
  <si>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</si>
  <si>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</si>
  <si>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</si>
  <si>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</si>
  <si>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</si>
  <si>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</si>
  <si>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</si>
  <si>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</si>
  <si>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</si>
  <si>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</si>
  <si>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</si>
  <si>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</si>
  <si>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</si>
  <si>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</si>
  <si>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</si>
  <si>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</si>
  <si>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</si>
  <si>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</si>
  <si>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</si>
  <si>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</si>
  <si>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</si>
  <si>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</si>
  <si>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</si>
  <si>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</si>
  <si>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</si>
  <si>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</si>
  <si>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</si>
  <si>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</si>
  <si>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</si>
  <si>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</si>
  <si>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</si>
  <si>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</si>
  <si>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</si>
  <si>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</si>
  <si>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</si>
  <si>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</si>
  <si>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</si>
  <si>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</si>
  <si>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</si>
  <si>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</si>
  <si>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</si>
  <si>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</si>
  <si>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</si>
  <si>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</si>
  <si>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</si>
  <si>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</si>
  <si>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</si>
  <si>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</si>
  <si>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</si>
  <si>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</si>
  <si>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</si>
  <si>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</si>
  <si>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</si>
  <si>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</si>
  <si>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</si>
  <si>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</si>
  <si>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</si>
  <si>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</si>
  <si>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</si>
  <si>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</si>
  <si>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</si>
  <si>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</si>
  <si>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</si>
  <si>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</si>
  <si>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</si>
  <si>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</si>
  <si>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</si>
  <si>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</si>
  <si>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</si>
  <si>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</si>
  <si>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</si>
  <si>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</si>
  <si>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</si>
  <si>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</si>
  <si>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</si>
  <si>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</si>
  <si>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</si>
  <si>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</si>
  <si>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</si>
  <si>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</si>
  <si>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</si>
  <si>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</si>
  <si>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</si>
  <si>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</si>
  <si>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</si>
  <si>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</si>
  <si>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</si>
  <si>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</si>
  <si>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</si>
  <si>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</si>
  <si>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</si>
  <si>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</si>
  <si>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</si>
  <si>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</si>
  <si>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</si>
  <si>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</si>
  <si>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</si>
  <si>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</si>
  <si>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</si>
  <si>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</si>
  <si>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</si>
  <si>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</si>
  <si>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</si>
  <si>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</si>
  <si>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</si>
  <si>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</si>
  <si>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</si>
  <si>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</si>
  <si>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</si>
  <si>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</si>
  <si>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</si>
  <si>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</si>
  <si>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</si>
  <si>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</si>
  <si>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</si>
  <si>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</si>
  <si>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</si>
  <si>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</si>
  <si>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</si>
  <si>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</si>
  <si>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</si>
  <si>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</si>
  <si>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</si>
  <si>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</si>
  <si>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</si>
  <si>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</si>
  <si>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</si>
  <si>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</si>
  <si>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</si>
  <si>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</si>
  <si>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</si>
  <si>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</si>
  <si>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</si>
  <si>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</si>
  <si>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</si>
  <si>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</si>
  <si>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</si>
  <si>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</si>
  <si>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</si>
  <si>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</si>
  <si>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</si>
  <si>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</si>
  <si>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</si>
  <si>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</si>
  <si>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</si>
  <si>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</si>
  <si>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</si>
  <si>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</si>
  <si>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</si>
  <si>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</si>
  <si>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</si>
  <si>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</si>
  <si>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</si>
  <si>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</si>
  <si>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</si>
  <si>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</si>
  <si>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</si>
  <si>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</si>
  <si>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</si>
  <si>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</si>
  <si>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</si>
  <si>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</si>
  <si>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</si>
  <si>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</si>
  <si>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</si>
  <si>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</si>
  <si>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</si>
  <si>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</si>
  <si>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</si>
  <si>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</si>
  <si>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</si>
  <si>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</si>
  <si>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</si>
  <si>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</si>
  <si>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</si>
  <si>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</si>
  <si>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</si>
  <si>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</si>
  <si>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</si>
  <si>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</si>
  <si>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</si>
  <si>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</si>
  <si>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</si>
  <si>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</si>
  <si>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</si>
  <si>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</si>
  <si>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</si>
  <si>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</si>
  <si>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</si>
  <si>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</si>
  <si>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</si>
  <si>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</si>
  <si>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</si>
  <si>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</si>
  <si>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</si>
  <si>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</si>
  <si>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</si>
  <si>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</si>
  <si>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</si>
  <si>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</si>
  <si>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</si>
  <si>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</si>
  <si>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</si>
  <si>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</si>
  <si>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</si>
  <si>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</si>
  <si>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</si>
  <si>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</si>
  <si>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</si>
  <si>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</si>
  <si>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</si>
  <si>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</si>
  <si>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</si>
  <si>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</si>
  <si>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</si>
  <si>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</si>
  <si>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</si>
  <si>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</si>
  <si>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</si>
  <si>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</si>
  <si>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</si>
  <si>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</si>
  <si>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</si>
  <si>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</si>
  <si>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</si>
  <si>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</si>
  <si>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</si>
  <si>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</si>
  <si>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</si>
  <si>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</si>
  <si>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</si>
  <si>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</si>
  <si>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</si>
  <si>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</si>
  <si>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</si>
  <si>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</si>
  <si>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</si>
  <si>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</si>
  <si>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</si>
  <si>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</si>
  <si>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</si>
  <si>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</si>
  <si>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</si>
  <si>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</si>
  <si>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</si>
  <si>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</si>
  <si>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</si>
  <si>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</si>
  <si>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</si>
  <si>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</si>
  <si>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</si>
  <si>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</si>
  <si>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</si>
  <si>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</si>
  <si>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</si>
  <si>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</si>
  <si>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</si>
  <si>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</si>
  <si>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</si>
  <si>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</si>
  <si>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</si>
  <si>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</si>
  <si>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</si>
  <si>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</si>
  <si>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</si>
  <si>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</si>
  <si>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</si>
  <si>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</si>
  <si>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</si>
  <si>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</si>
  <si>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</si>
  <si>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</si>
  <si>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</si>
  <si>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</si>
  <si>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</si>
  <si>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</si>
  <si>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</si>
  <si>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</si>
  <si>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</si>
  <si>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</si>
  <si>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</si>
  <si>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</si>
  <si>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</si>
  <si>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</si>
  <si>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</si>
  <si>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</si>
  <si>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</si>
  <si>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</si>
  <si>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</si>
  <si>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</si>
  <si>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</si>
  <si>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</si>
  <si>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</si>
  <si>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</si>
  <si>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</si>
  <si>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</si>
  <si>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</si>
  <si>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</si>
  <si>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</si>
  <si>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</si>
  <si>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</si>
  <si>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</si>
  <si>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</si>
  <si>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</si>
  <si>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</si>
  <si>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</si>
  <si>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</si>
  <si>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</si>
  <si>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</si>
  <si>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</si>
  <si>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</si>
  <si>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</si>
  <si>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</si>
  <si>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</si>
  <si>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</si>
  <si>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</si>
  <si>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</si>
  <si>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</si>
  <si>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</si>
  <si>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</si>
  <si>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</si>
  <si>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</si>
  <si>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</si>
  <si>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</si>
  <si>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</si>
  <si>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</si>
  <si>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</si>
  <si>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</si>
  <si>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</si>
  <si>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</si>
  <si>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</si>
  <si>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</si>
  <si>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</si>
  <si>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</si>
  <si>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</si>
  <si>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</si>
  <si>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</si>
  <si>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</si>
  <si>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</si>
  <si>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</si>
  <si>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</si>
  <si>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</si>
  <si>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</si>
  <si>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</si>
  <si>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</si>
  <si>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</si>
  <si>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</si>
  <si>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</si>
  <si>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</si>
  <si>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</si>
  <si>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</si>
  <si>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</si>
  <si>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</si>
  <si>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</si>
  <si>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</si>
  <si>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</si>
  <si>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</si>
  <si>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</si>
  <si>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</si>
  <si>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</si>
  <si>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</si>
  <si>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</si>
  <si>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</si>
  <si>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</si>
  <si>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</si>
  <si>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</si>
  <si>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</si>
  <si>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</si>
  <si>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</si>
  <si>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</si>
  <si>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</si>
  <si>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</si>
  <si>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</si>
  <si>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</si>
  <si>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</si>
  <si>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</si>
  <si>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</si>
  <si>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</si>
  <si>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</si>
  <si>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</si>
  <si>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</si>
  <si>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</si>
  <si>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</si>
  <si>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</si>
  <si>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</si>
  <si>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</si>
  <si>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</si>
  <si>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</si>
  <si>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</si>
  <si>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</si>
  <si>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</si>
  <si>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</si>
  <si>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</si>
  <si>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</si>
  <si>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</si>
  <si>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</si>
  <si>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</si>
  <si>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</si>
  <si>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</si>
  <si>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</si>
  <si>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</si>
  <si>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</si>
  <si>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</si>
  <si>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</si>
  <si>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</si>
  <si>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</si>
  <si>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</si>
  <si>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</si>
  <si>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</si>
  <si>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</si>
  <si>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</si>
  <si>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</si>
  <si>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</si>
  <si>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</si>
  <si>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</si>
  <si>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</si>
  <si>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</si>
  <si>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</si>
  <si>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</si>
  <si>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</si>
  <si>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</si>
  <si>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</si>
  <si>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</si>
  <si>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</si>
  <si>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</si>
  <si>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</si>
  <si>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</si>
  <si>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</si>
  <si>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</si>
  <si>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</si>
  <si>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</si>
  <si>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</si>
  <si>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</si>
  <si>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</si>
  <si>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</si>
  <si>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</si>
  <si>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</si>
  <si>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</si>
  <si>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</si>
  <si>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</si>
  <si>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</si>
  <si>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</si>
  <si>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</si>
  <si>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</si>
  <si>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</si>
  <si>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</si>
  <si>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</si>
  <si>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</si>
  <si>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</si>
  <si>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</si>
  <si>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</si>
  <si>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</si>
  <si>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</si>
  <si>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</si>
  <si>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</si>
  <si>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</si>
  <si>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</si>
  <si>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</si>
  <si>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</si>
  <si>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</si>
  <si>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</si>
  <si>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</si>
  <si>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</si>
  <si>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</si>
  <si>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</si>
  <si>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</si>
  <si>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</si>
  <si>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</si>
  <si>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</si>
  <si>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</si>
  <si>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</si>
  <si>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</si>
  <si>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</si>
  <si>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</si>
  <si>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</si>
  <si>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</si>
  <si>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</si>
  <si>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</si>
  <si>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</si>
  <si>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</si>
  <si>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</si>
  <si>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</si>
  <si>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</si>
  <si>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</si>
  <si>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</si>
  <si>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</si>
  <si>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</si>
  <si>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</si>
  <si>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</si>
  <si>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</si>
  <si>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</si>
  <si>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</si>
  <si>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</si>
  <si>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</si>
  <si>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</si>
  <si>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</si>
  <si>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</si>
  <si>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</si>
  <si>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</si>
  <si>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</si>
  <si>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</si>
  <si>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</si>
  <si>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</si>
  <si>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</si>
  <si>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</si>
  <si>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</si>
  <si>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</si>
  <si>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</si>
  <si>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</si>
  <si>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</si>
  <si>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</si>
  <si>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</si>
  <si>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</si>
  <si>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</si>
  <si>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</si>
  <si>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</si>
  <si>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</si>
  <si>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</si>
  <si>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</si>
  <si>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</si>
  <si>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</si>
  <si>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</si>
  <si>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</si>
  <si>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</si>
  <si>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</si>
  <si>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</si>
  <si>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</si>
  <si>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</si>
  <si>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</si>
  <si>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</si>
  <si>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</si>
  <si>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</si>
  <si>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</si>
  <si>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</si>
  <si>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</si>
  <si>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</si>
  <si>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</si>
  <si>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</si>
  <si>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</si>
  <si>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</si>
  <si>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</si>
  <si>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</si>
  <si>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</si>
  <si>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</si>
  <si>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</si>
  <si>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</si>
  <si>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</si>
  <si>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</si>
  <si>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</si>
  <si>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</si>
  <si>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</si>
  <si>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</si>
  <si>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</si>
  <si>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</si>
  <si>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</si>
  <si>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</si>
  <si>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</si>
  <si>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</si>
  <si>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</si>
  <si>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</si>
  <si>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</si>
  <si>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</si>
  <si>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</si>
  <si>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</si>
  <si>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</si>
  <si>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</si>
  <si>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</si>
  <si>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</si>
  <si>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</si>
  <si>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</si>
  <si>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</si>
  <si>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</si>
  <si>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</si>
  <si>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</si>
  <si>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</si>
  <si>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</si>
  <si>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</si>
  <si>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</si>
  <si>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</si>
  <si>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</si>
  <si>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</si>
  <si>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</si>
  <si>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</si>
  <si>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</si>
  <si>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</si>
  <si>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</si>
  <si>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</si>
  <si>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</si>
  <si>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</si>
  <si>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</si>
  <si>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</si>
  <si>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</si>
  <si>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</si>
  <si>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</si>
  <si>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</si>
  <si>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</si>
  <si>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</si>
  <si>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</si>
  <si>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</si>
  <si>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</si>
  <si>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</si>
  <si>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</si>
  <si>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</si>
  <si>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</si>
  <si>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</si>
  <si>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</si>
  <si>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</si>
  <si>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</si>
  <si>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</si>
  <si>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</si>
  <si>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</si>
  <si>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</si>
  <si>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</si>
  <si>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</si>
  <si>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</si>
  <si>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</si>
  <si>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</si>
  <si>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</si>
  <si>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</si>
  <si>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</si>
  <si>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</si>
  <si>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</si>
  <si>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</si>
  <si>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</si>
  <si>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</si>
  <si>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</si>
  <si>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</si>
  <si>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</si>
  <si>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</si>
  <si>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</si>
  <si>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</si>
  <si>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</si>
  <si>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</si>
  <si>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</si>
  <si>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</si>
  <si>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</si>
  <si>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</si>
  <si>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</si>
  <si>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</si>
  <si>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</si>
  <si>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</si>
  <si>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</si>
  <si>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</si>
  <si>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</si>
  <si>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</si>
  <si>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</si>
  <si>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</si>
  <si>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</si>
  <si>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</si>
  <si>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</si>
  <si>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</si>
  <si>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</si>
  <si>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</si>
  <si>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</si>
  <si>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</si>
  <si>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</si>
  <si>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</si>
  <si>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</si>
  <si>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</si>
  <si>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</si>
  <si>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</si>
  <si>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</si>
  <si>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</si>
  <si>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</si>
  <si>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</si>
  <si>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</si>
  <si>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</si>
  <si>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</si>
  <si>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</si>
  <si>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</si>
  <si>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</si>
  <si>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</si>
  <si>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</si>
  <si>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</si>
  <si>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</si>
  <si>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</si>
  <si>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</si>
  <si>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</si>
  <si>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</si>
  <si>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</si>
  <si>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</si>
  <si>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</si>
  <si>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</si>
  <si>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</si>
  <si>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</si>
  <si>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</si>
  <si>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</si>
  <si>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</si>
  <si>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</si>
  <si>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</si>
  <si>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</si>
  <si>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</si>
  <si>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</si>
  <si>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</si>
  <si>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</si>
  <si>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</si>
  <si>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</si>
  <si>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</si>
  <si>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</si>
  <si>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</si>
  <si>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</si>
  <si>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</si>
  <si>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</si>
  <si>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</si>
  <si>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</si>
  <si>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</si>
  <si>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</si>
  <si>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</si>
  <si>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</si>
  <si>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</si>
  <si>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</si>
  <si>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</si>
  <si>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</si>
  <si>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</si>
  <si>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</si>
  <si>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</si>
  <si>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</si>
  <si>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</si>
  <si>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</si>
  <si>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</si>
  <si>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</si>
  <si>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</si>
  <si>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</si>
  <si>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</si>
  <si>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</si>
  <si>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</si>
  <si>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</si>
  <si>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</si>
  <si>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</si>
  <si>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</si>
  <si>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</si>
  <si>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</si>
  <si>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</si>
  <si>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</si>
  <si>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</si>
  <si>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</si>
  <si>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</si>
  <si>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</si>
  <si>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</si>
  <si>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</si>
  <si>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</si>
  <si>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</si>
  <si>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</si>
  <si>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</si>
  <si>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</si>
  <si>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</si>
  <si>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</si>
  <si>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</si>
  <si>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</si>
  <si>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</si>
  <si>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</si>
  <si>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</si>
  <si>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</si>
  <si>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</si>
  <si>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</si>
  <si>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</si>
  <si>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</si>
  <si>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</si>
  <si>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</si>
  <si>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</si>
  <si>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</si>
  <si>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</si>
  <si>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</si>
  <si>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</si>
  <si>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</si>
  <si>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</si>
  <si>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</si>
  <si>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</si>
  <si>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</si>
  <si>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</si>
  <si>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</si>
  <si>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</si>
  <si>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</si>
  <si>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</si>
  <si>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</si>
  <si>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</si>
  <si>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</si>
  <si>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</si>
  <si>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</si>
  <si>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</si>
  <si>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</si>
  <si>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</si>
  <si>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</si>
  <si>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</si>
  <si>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</si>
  <si>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</si>
  <si>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</si>
  <si>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</si>
  <si>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</si>
  <si>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</si>
  <si>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</si>
  <si>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</si>
  <si>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</si>
  <si>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</si>
  <si>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</si>
  <si>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</si>
  <si>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</si>
  <si>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</si>
  <si>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</si>
  <si>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</si>
  <si>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</si>
  <si>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</si>
  <si>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</si>
  <si>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</si>
  <si>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</si>
  <si>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</si>
  <si>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</si>
  <si>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</si>
  <si>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</si>
  <si>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</si>
  <si>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</si>
  <si>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</si>
  <si>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</si>
  <si>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</si>
  <si>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</si>
  <si>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</si>
  <si>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</si>
  <si>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</si>
  <si>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</si>
  <si>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</si>
  <si>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</si>
  <si>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</si>
  <si>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</si>
  <si>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</si>
  <si>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</si>
  <si>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</si>
  <si>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</si>
  <si>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</si>
  <si>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</si>
  <si>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</si>
  <si>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</si>
  <si>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</si>
  <si>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</si>
  <si>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</si>
  <si>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</si>
  <si>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</si>
  <si>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</si>
  <si>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</si>
  <si>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</si>
  <si>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</si>
  <si>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</si>
  <si>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</si>
  <si>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</si>
  <si>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</si>
  <si>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</si>
  <si>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</si>
  <si>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</si>
  <si>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</si>
  <si>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</si>
  <si>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</si>
  <si>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</si>
  <si>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</si>
  <si>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</si>
  <si>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</si>
  <si>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</si>
  <si>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</si>
  <si>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</si>
  <si>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</si>
  <si>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</si>
  <si>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</si>
  <si>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</si>
  <si>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</si>
  <si>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</si>
  <si>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</si>
  <si>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</si>
  <si>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</si>
  <si>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</si>
  <si>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</si>
  <si>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</si>
  <si>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</si>
  <si>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</si>
  <si>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</si>
  <si>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</si>
  <si>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</si>
  <si>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</si>
  <si>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</si>
  <si>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</si>
  <si>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</si>
  <si>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</si>
  <si>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</si>
  <si>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</si>
  <si>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</si>
  <si>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</si>
  <si>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</si>
  <si>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</si>
  <si>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</si>
  <si>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</si>
  <si>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</si>
  <si>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</si>
  <si>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</si>
  <si>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</si>
  <si>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</si>
  <si>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</si>
  <si>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</si>
  <si>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</si>
  <si>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</si>
  <si>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</si>
  <si>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</si>
  <si>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</si>
  <si>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</si>
  <si>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</si>
  <si>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</si>
  <si>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</si>
  <si>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</si>
  <si>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</si>
  <si>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</si>
  <si>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</si>
  <si>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</si>
  <si>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</si>
  <si>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</si>
  <si>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</si>
  <si>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</si>
  <si>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</si>
  <si>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</si>
  <si>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</si>
  <si>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</si>
  <si>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</si>
  <si>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</si>
  <si>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</si>
  <si>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</si>
  <si>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</si>
  <si>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</si>
  <si>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</si>
  <si>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</si>
  <si>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</si>
  <si>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</si>
  <si>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</si>
  <si>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</si>
  <si>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</si>
  <si>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</si>
  <si>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</si>
  <si>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</si>
  <si>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</si>
  <si>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</si>
  <si>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</si>
  <si>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</si>
  <si>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</si>
  <si>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</si>
  <si>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</si>
  <si>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</si>
  <si>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</si>
  <si>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</si>
  <si>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</si>
  <si>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</si>
  <si>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</si>
  <si>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</si>
  <si>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</si>
  <si>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</si>
  <si>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</si>
  <si>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</si>
  <si>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</si>
  <si>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</si>
  <si>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</si>
  <si>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</si>
  <si>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</si>
  <si>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</si>
  <si>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</si>
  <si>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</si>
  <si>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</si>
  <si>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</si>
  <si>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</si>
  <si>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</si>
  <si>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</si>
  <si>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</si>
  <si>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</si>
  <si>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</si>
  <si>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</si>
  <si>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</si>
  <si>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</si>
  <si>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</si>
  <si>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</si>
  <si>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</si>
  <si>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</si>
  <si>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</si>
  <si>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</si>
  <si>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</si>
  <si>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</si>
  <si>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</si>
  <si>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</si>
  <si>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</si>
  <si>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</si>
  <si>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</si>
  <si>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</si>
  <si>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</si>
  <si>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</si>
  <si>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</si>
  <si>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</si>
  <si>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</si>
  <si>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</si>
  <si>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</si>
  <si>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</si>
  <si>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</si>
  <si>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</si>
  <si>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</si>
  <si>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</si>
  <si>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</si>
  <si>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</si>
  <si>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</si>
  <si>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</si>
  <si>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</si>
  <si>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</si>
  <si>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</si>
  <si>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</si>
  <si>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</si>
  <si>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</si>
  <si>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</si>
  <si>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</si>
  <si>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</si>
  <si>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</si>
  <si>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</si>
  <si>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</si>
  <si>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</si>
  <si>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</si>
  <si>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</si>
  <si>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</si>
  <si>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</si>
  <si>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</si>
  <si>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</si>
  <si>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</si>
  <si>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</si>
  <si>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</si>
  <si>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</si>
  <si>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</si>
  <si>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</si>
  <si>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</si>
  <si>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</si>
  <si>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</si>
  <si>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</si>
  <si>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</si>
  <si>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</si>
  <si>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</si>
  <si>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</si>
  <si>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</si>
  <si>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</si>
  <si>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</si>
  <si>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</si>
  <si>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</si>
  <si>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</si>
  <si>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</si>
  <si>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</si>
  <si>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</si>
  <si>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</si>
  <si>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</si>
  <si>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</si>
  <si>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</si>
  <si>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</si>
  <si>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</si>
  <si>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</si>
  <si>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</si>
  <si>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</si>
  <si>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</si>
  <si>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</si>
  <si>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</si>
  <si>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</si>
  <si>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</si>
  <si>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</si>
  <si>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</si>
  <si>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</si>
  <si>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</si>
  <si>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</si>
  <si>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</si>
  <si>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</si>
  <si>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</si>
  <si>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</si>
  <si>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</si>
  <si>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</si>
  <si>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</si>
  <si>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</si>
  <si>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</si>
  <si>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</si>
  <si>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</si>
  <si>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</si>
  <si>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</si>
  <si>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</si>
  <si>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</si>
  <si>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</si>
  <si>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</si>
  <si>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</si>
  <si>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</si>
  <si>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</si>
  <si>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</si>
  <si>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</si>
  <si>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</si>
  <si>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</si>
  <si>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</si>
  <si>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</si>
  <si>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</si>
  <si>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</si>
  <si>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</si>
  <si>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</si>
  <si>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</si>
  <si>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</si>
  <si>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</si>
  <si>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</si>
  <si>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</si>
  <si>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</si>
  <si>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</si>
  <si>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</si>
  <si>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</si>
  <si>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</si>
  <si>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</si>
  <si>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</si>
  <si>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</si>
  <si>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</si>
  <si>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</si>
  <si>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</si>
  <si>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</si>
  <si>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</si>
  <si>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</si>
  <si>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</si>
  <si>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</si>
  <si>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</si>
  <si>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</si>
  <si>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</si>
  <si>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</si>
  <si>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</si>
  <si>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</si>
  <si>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</si>
  <si>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</si>
  <si>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</si>
  <si>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</si>
  <si>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</si>
  <si>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</si>
  <si>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</si>
  <si>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</si>
  <si>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</si>
  <si>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</si>
  <si>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</si>
  <si>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</si>
  <si>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</si>
  <si>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</si>
  <si>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</si>
  <si>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</si>
  <si>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</si>
  <si>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</si>
  <si>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</si>
  <si>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</si>
  <si>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</si>
  <si>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</si>
  <si>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</si>
  <si>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</si>
  <si>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</si>
  <si>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</si>
  <si>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</si>
  <si>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</si>
  <si>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</si>
  <si>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</si>
  <si>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</si>
  <si>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</si>
  <si>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</si>
  <si>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</si>
  <si>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</si>
  <si>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</si>
  <si>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</si>
  <si>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</si>
  <si>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</si>
  <si>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</si>
  <si>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</si>
  <si>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</si>
  <si>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</si>
  <si>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</si>
  <si>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</si>
  <si>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</si>
  <si>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</si>
  <si>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</si>
  <si>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</si>
  <si>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</si>
  <si>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</si>
  <si>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</si>
  <si>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</si>
  <si>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</si>
  <si>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</si>
  <si>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</si>
  <si>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</si>
  <si>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</si>
  <si>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</si>
  <si>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</si>
  <si>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</si>
  <si>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</si>
  <si>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</si>
  <si>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</si>
  <si>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</si>
  <si>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</si>
  <si>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</si>
  <si>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</si>
  <si>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</si>
  <si>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</si>
  <si>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</si>
  <si>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</si>
  <si>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</si>
  <si>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</si>
  <si>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</si>
  <si>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</si>
  <si>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</si>
  <si>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</si>
  <si>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</si>
  <si>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</si>
  <si>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</si>
  <si>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</si>
  <si>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</si>
  <si>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</si>
  <si>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</si>
  <si>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</si>
  <si>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</si>
  <si>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</si>
  <si>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</si>
  <si>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</si>
  <si>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</si>
  <si>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</si>
  <si>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</si>
  <si>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</si>
  <si>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</si>
  <si>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</si>
  <si>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</si>
  <si>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</si>
  <si>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</si>
  <si>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</si>
  <si>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</si>
  <si>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</si>
  <si>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</si>
  <si>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</si>
  <si>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</si>
  <si>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</si>
  <si>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</si>
  <si>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</si>
  <si>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</si>
  <si>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</si>
  <si>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</si>
  <si>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</si>
  <si>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</si>
  <si>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</si>
  <si>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</si>
  <si>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</si>
  <si>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</si>
  <si>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</si>
  <si>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</si>
  <si>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</si>
  <si>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</si>
  <si>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</si>
  <si>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</si>
  <si>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</si>
  <si>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</si>
  <si>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</si>
  <si>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</si>
  <si>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</si>
  <si>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</si>
  <si>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</si>
  <si>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</si>
  <si>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</si>
  <si>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</si>
  <si>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</si>
  <si>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</si>
  <si>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</si>
  <si>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</si>
  <si>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</si>
  <si>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</si>
  <si>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</si>
  <si>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</si>
  <si>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</si>
  <si>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</si>
  <si>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</si>
  <si>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</si>
  <si>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</si>
  <si>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</si>
  <si>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</si>
  <si>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</si>
  <si>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</si>
  <si>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</si>
  <si>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</si>
  <si>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</si>
  <si>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</si>
  <si>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</si>
  <si>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</si>
  <si>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</si>
  <si>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</si>
  <si>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</si>
  <si>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</si>
  <si>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</si>
  <si>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</si>
  <si>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</si>
  <si>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</si>
  <si>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</si>
  <si>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</si>
  <si>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</si>
  <si>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</si>
  <si>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</si>
  <si>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</si>
  <si>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</si>
  <si>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</si>
  <si>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</si>
  <si>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</si>
  <si>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</si>
  <si>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</si>
  <si>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</si>
  <si>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</si>
  <si>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</si>
  <si>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</si>
  <si>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</si>
  <si>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</si>
  <si>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</si>
  <si>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</si>
  <si>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</si>
  <si>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</si>
  <si>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</si>
  <si>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</si>
  <si>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</si>
  <si>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</si>
  <si>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</si>
  <si>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</si>
  <si>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</si>
  <si>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</si>
  <si>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</si>
  <si>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</si>
  <si>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</si>
  <si>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</si>
  <si>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是</t>
  </si>
  <si>
    <t>地上</t>
  </si>
  <si>
    <t>比较法-商业</t>
  </si>
  <si>
    <t>收益法 (元)</t>
  </si>
  <si>
    <t>租约</t>
    <phoneticPr fontId="134" type="noConversion"/>
  </si>
  <si>
    <t>起租</t>
    <phoneticPr fontId="134" type="noConversion"/>
  </si>
  <si>
    <t>到期</t>
    <phoneticPr fontId="134" type="noConversion"/>
  </si>
  <si>
    <t>年租金</t>
    <phoneticPr fontId="134" type="noConversion"/>
  </si>
  <si>
    <r>
      <t>X京房权证朝字第</t>
    </r>
    <r>
      <rPr>
        <sz val="11"/>
        <color theme="1"/>
        <rFont val="宋体"/>
        <family val="3"/>
        <charset val="134"/>
        <scheme val="minor"/>
      </rPr>
      <t>1228240号</t>
    </r>
    <phoneticPr fontId="134" type="noConversion"/>
  </si>
  <si>
    <t>王海龙</t>
    <phoneticPr fontId="134" type="noConversion"/>
  </si>
  <si>
    <t>甘露园4号楼</t>
    <phoneticPr fontId="134" type="noConversion"/>
  </si>
  <si>
    <t>公建</t>
    <phoneticPr fontId="134" type="noConversion"/>
  </si>
  <si>
    <t>4号楼3</t>
    <phoneticPr fontId="134" type="noConversion"/>
  </si>
  <si>
    <t>秦国洪</t>
    <phoneticPr fontId="134" type="noConversion"/>
  </si>
  <si>
    <t>4号楼1层3</t>
    <phoneticPr fontId="134" type="noConversion"/>
  </si>
  <si>
    <t>定价</t>
    <phoneticPr fontId="134" type="noConversion"/>
  </si>
  <si>
    <t>4号楼1层3-1号</t>
    <phoneticPr fontId="134" type="noConversion"/>
  </si>
  <si>
    <t>刘小飞</t>
    <phoneticPr fontId="134" type="noConversion"/>
  </si>
  <si>
    <t>X京房权证朝字第1251930号</t>
    <phoneticPr fontId="134" type="noConversion"/>
  </si>
  <si>
    <t>X京房权证朝字第1250004号</t>
    <phoneticPr fontId="134" type="noConversion"/>
  </si>
  <si>
    <t>曹士珍</t>
    <phoneticPr fontId="134" type="noConversion"/>
  </si>
  <si>
    <t>甘露园4号楼1层3</t>
    <phoneticPr fontId="134" type="noConversion"/>
  </si>
  <si>
    <t>商业</t>
    <phoneticPr fontId="7" type="noConversion"/>
  </si>
  <si>
    <t>成新度</t>
  </si>
  <si>
    <t>挂牌</t>
    <phoneticPr fontId="3" type="noConversion"/>
  </si>
  <si>
    <t>街角地</t>
  </si>
  <si>
    <t>多面临街</t>
  </si>
  <si>
    <t>双面临街</t>
  </si>
  <si>
    <t>单面临街</t>
  </si>
  <si>
    <t>不临街</t>
  </si>
  <si>
    <t>好</t>
  </si>
  <si>
    <t>较好</t>
  </si>
  <si>
    <t>一般</t>
  </si>
  <si>
    <t>较差</t>
  </si>
  <si>
    <t>差</t>
  </si>
  <si>
    <t>大</t>
  </si>
  <si>
    <t>较大</t>
  </si>
  <si>
    <t>较小</t>
  </si>
  <si>
    <t>小</t>
  </si>
  <si>
    <r>
      <t>1</t>
    </r>
    <r>
      <rPr>
        <sz val="11"/>
        <color indexed="8"/>
        <rFont val="宋体"/>
        <family val="3"/>
        <charset val="134"/>
      </rPr>
      <t>层</t>
    </r>
    <phoneticPr fontId="3" type="noConversion"/>
  </si>
  <si>
    <t>是</t>
    <phoneticPr fontId="3" type="noConversion"/>
  </si>
  <si>
    <t>否</t>
    <phoneticPr fontId="3" type="noConversion"/>
  </si>
  <si>
    <t>独立商业</t>
    <phoneticPr fontId="3" type="noConversion"/>
  </si>
  <si>
    <t>商业街商铺</t>
    <phoneticPr fontId="3" type="noConversion"/>
  </si>
  <si>
    <t>配套底商</t>
    <phoneticPr fontId="3" type="noConversion"/>
  </si>
  <si>
    <t>钢混</t>
    <phoneticPr fontId="3" type="noConversion"/>
  </si>
  <si>
    <t>七通</t>
  </si>
  <si>
    <t>六通</t>
  </si>
  <si>
    <t>五通</t>
  </si>
  <si>
    <t>四通</t>
  </si>
  <si>
    <t>三通</t>
  </si>
  <si>
    <t>可餐饮</t>
    <phoneticPr fontId="3" type="noConversion"/>
  </si>
  <si>
    <t>不可餐饮</t>
    <phoneticPr fontId="3" type="noConversion"/>
  </si>
  <si>
    <t>超高层高</t>
    <phoneticPr fontId="3" type="noConversion"/>
  </si>
  <si>
    <t>标准层高</t>
    <phoneticPr fontId="3" type="noConversion"/>
  </si>
  <si>
    <t>较适宜</t>
    <phoneticPr fontId="3" type="noConversion"/>
  </si>
  <si>
    <t>精装修</t>
    <phoneticPr fontId="3" type="noConversion"/>
  </si>
  <si>
    <t>简装</t>
    <phoneticPr fontId="3" type="noConversion"/>
  </si>
  <si>
    <t>毛坯</t>
    <phoneticPr fontId="3" type="noConversion"/>
  </si>
  <si>
    <t>爱这城二期</t>
    <phoneticPr fontId="3" type="noConversion"/>
  </si>
  <si>
    <t>新华联丽景</t>
    <phoneticPr fontId="3" type="noConversion"/>
  </si>
  <si>
    <t>单套模式</t>
  </si>
  <si>
    <t>售价</t>
  </si>
  <si>
    <t>正常</t>
  </si>
  <si>
    <t>挂牌</t>
  </si>
  <si>
    <t>商业</t>
    <phoneticPr fontId="30" type="noConversion"/>
  </si>
  <si>
    <t>押一</t>
  </si>
  <si>
    <t>钢混</t>
  </si>
  <si>
    <t>非生产用房</t>
  </si>
  <si>
    <t>否</t>
  </si>
  <si>
    <t>较好</t>
    <phoneticPr fontId="30" type="noConversion"/>
  </si>
  <si>
    <t>差</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</si>
</sst>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pplyAlignment="1">
      <alignment vertical="center" wrapText="1"/>
    </xf>
    <xf numFmtId="0" fontId="95" fillId="0" borderId="0" xfId="10">
      <alignment vertical="center"/>
    </xf>
    <xf numFmtId="0" fontId="95" fillId="0" borderId="1" xfId="10" applyBorder="1" applyAlignment="1">
      <alignment horizontal="left" vertical="center"/>
    </xf>
    <xf numFmtId="0" fontId="95" fillId="0" borderId="1" xfId="10" applyBorder="1">
      <alignment vertical="center"/>
    </xf>
    <xf numFmtId="14" fontId="95" fillId="0" borderId="1" xfId="10" applyNumberFormat="1" applyBorder="1" applyAlignment="1">
      <alignment horizontal="left" vertical="center"/>
    </xf>
    <xf numFmtId="0" fontId="95" fillId="0" borderId="0" xfId="10" applyAlignment="1">
      <alignment horizontal="left" vertical="center"/>
    </xf>
    <xf numFmtId="49" fontId="77" fillId="0" borderId="1" xfId="0" applyNumberFormat="1" applyFont="1" applyBorder="1" applyAlignment="1" applyProtection="1">
      <alignment horizontal="center" vertical="center" wrapText="1"/>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465489</xdr:colOff>
      <xdr:row>48</xdr:row>
      <xdr:rowOff>47083</xdr:rowOff>
    </xdr:to>
    <xdr:pic>
      <xdr:nvPicPr>
        <xdr:cNvPr id="2" name="图片 1">
          <a:extLst>
            <a:ext uri="{FF2B5EF4-FFF2-40B4-BE49-F238E27FC236}">
              <a16:creationId xmlns:a16="http://schemas.microsoft.com/office/drawing/2014/main" id="{60BFAA21-182E-4A16-B3EF-9F0F2F5B58D1}"/>
            </a:ext>
          </a:extLst>
        </xdr:cNvPr>
        <xdr:cNvPicPr>
          <a:picLocks noChangeAspect="1"/>
        </xdr:cNvPicPr>
      </xdr:nvPicPr>
      <xdr:blipFill>
        <a:blip xmlns:r="http://schemas.openxmlformats.org/officeDocument/2006/relationships" r:embed="rId1"/>
        <a:stretch>
          <a:fillRect/>
        </a:stretch>
      </xdr:blipFill>
      <xdr:spPr>
        <a:xfrm>
          <a:off x="0" y="4972050"/>
          <a:ext cx="9885714" cy="4333333"/>
        </a:xfrm>
        <a:prstGeom prst="rect">
          <a:avLst/>
        </a:prstGeom>
      </xdr:spPr>
    </xdr:pic>
    <xdr:clientData/>
  </xdr:twoCellAnchor>
  <xdr:twoCellAnchor>
    <xdr:from>
      <xdr:col>10</xdr:col>
      <xdr:colOff>685799</xdr:colOff>
      <xdr:row>27</xdr:row>
      <xdr:rowOff>114300</xdr:rowOff>
    </xdr:from>
    <xdr:to>
      <xdr:col>11</xdr:col>
      <xdr:colOff>314324</xdr:colOff>
      <xdr:row>33</xdr:row>
      <xdr:rowOff>38100</xdr:rowOff>
    </xdr:to>
    <xdr:sp macro="" textlink="">
      <xdr:nvSpPr>
        <xdr:cNvPr id="3" name="下箭头 6">
          <a:extLst>
            <a:ext uri="{FF2B5EF4-FFF2-40B4-BE49-F238E27FC236}">
              <a16:creationId xmlns:a16="http://schemas.microsoft.com/office/drawing/2014/main" id="{763508B7-9360-4916-9885-445C2DC7475C}"/>
            </a:ext>
          </a:extLst>
        </xdr:cNvPr>
        <xdr:cNvSpPr/>
      </xdr:nvSpPr>
      <xdr:spPr>
        <a:xfrm>
          <a:off x="8505824" y="5772150"/>
          <a:ext cx="428625" cy="952500"/>
        </a:xfrm>
        <a:prstGeom prst="downArrow">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1104</a:t>
          </a:r>
          <a:endParaRPr lang="zh-CN" altLang="en-US" sz="1100"/>
        </a:p>
      </xdr:txBody>
    </xdr:sp>
    <xdr:clientData/>
  </xdr:twoCellAnchor>
  <xdr:twoCellAnchor editAs="oneCell">
    <xdr:from>
      <xdr:col>0</xdr:col>
      <xdr:colOff>0</xdr:colOff>
      <xdr:row>49</xdr:row>
      <xdr:rowOff>0</xdr:rowOff>
    </xdr:from>
    <xdr:to>
      <xdr:col>12</xdr:col>
      <xdr:colOff>408346</xdr:colOff>
      <xdr:row>76</xdr:row>
      <xdr:rowOff>142279</xdr:rowOff>
    </xdr:to>
    <xdr:pic>
      <xdr:nvPicPr>
        <xdr:cNvPr id="4" name="图片 3">
          <a:extLst>
            <a:ext uri="{FF2B5EF4-FFF2-40B4-BE49-F238E27FC236}">
              <a16:creationId xmlns:a16="http://schemas.microsoft.com/office/drawing/2014/main" id="{45495285-C986-44D4-817A-25AFB8FAD8DE}"/>
            </a:ext>
          </a:extLst>
        </xdr:cNvPr>
        <xdr:cNvPicPr>
          <a:picLocks noChangeAspect="1"/>
        </xdr:cNvPicPr>
      </xdr:nvPicPr>
      <xdr:blipFill>
        <a:blip xmlns:r="http://schemas.openxmlformats.org/officeDocument/2006/relationships" r:embed="rId2"/>
        <a:stretch>
          <a:fillRect/>
        </a:stretch>
      </xdr:blipFill>
      <xdr:spPr>
        <a:xfrm>
          <a:off x="0" y="9429750"/>
          <a:ext cx="9828571" cy="4771429"/>
        </a:xfrm>
        <a:prstGeom prst="rect">
          <a:avLst/>
        </a:prstGeom>
      </xdr:spPr>
    </xdr:pic>
    <xdr:clientData/>
  </xdr:twoCellAnchor>
  <xdr:twoCellAnchor editAs="oneCell">
    <xdr:from>
      <xdr:col>0</xdr:col>
      <xdr:colOff>0</xdr:colOff>
      <xdr:row>77</xdr:row>
      <xdr:rowOff>0</xdr:rowOff>
    </xdr:from>
    <xdr:to>
      <xdr:col>12</xdr:col>
      <xdr:colOff>398823</xdr:colOff>
      <xdr:row>103</xdr:row>
      <xdr:rowOff>66109</xdr:rowOff>
    </xdr:to>
    <xdr:pic>
      <xdr:nvPicPr>
        <xdr:cNvPr id="5" name="图片 4">
          <a:extLst>
            <a:ext uri="{FF2B5EF4-FFF2-40B4-BE49-F238E27FC236}">
              <a16:creationId xmlns:a16="http://schemas.microsoft.com/office/drawing/2014/main" id="{7BDFB153-F232-4997-A5FA-E0CA6B0C8A55}"/>
            </a:ext>
          </a:extLst>
        </xdr:cNvPr>
        <xdr:cNvPicPr>
          <a:picLocks noChangeAspect="1"/>
        </xdr:cNvPicPr>
      </xdr:nvPicPr>
      <xdr:blipFill>
        <a:blip xmlns:r="http://schemas.openxmlformats.org/officeDocument/2006/relationships" r:embed="rId3"/>
        <a:stretch>
          <a:fillRect/>
        </a:stretch>
      </xdr:blipFill>
      <xdr:spPr>
        <a:xfrm>
          <a:off x="0" y="14230350"/>
          <a:ext cx="9819048" cy="4523809"/>
        </a:xfrm>
        <a:prstGeom prst="rect">
          <a:avLst/>
        </a:prstGeom>
      </xdr:spPr>
    </xdr:pic>
    <xdr:clientData/>
  </xdr:twoCellAnchor>
  <xdr:twoCellAnchor>
    <xdr:from>
      <xdr:col>1</xdr:col>
      <xdr:colOff>542925</xdr:colOff>
      <xdr:row>85</xdr:row>
      <xdr:rowOff>0</xdr:rowOff>
    </xdr:from>
    <xdr:to>
      <xdr:col>6</xdr:col>
      <xdr:colOff>619125</xdr:colOff>
      <xdr:row>97</xdr:row>
      <xdr:rowOff>38100</xdr:rowOff>
    </xdr:to>
    <xdr:sp macro="" textlink="">
      <xdr:nvSpPr>
        <xdr:cNvPr id="6" name="流程图: 过程 5">
          <a:extLst>
            <a:ext uri="{FF2B5EF4-FFF2-40B4-BE49-F238E27FC236}">
              <a16:creationId xmlns:a16="http://schemas.microsoft.com/office/drawing/2014/main" id="{BC5F8F78-D6CF-481B-8F0E-3EC0CE9AF370}"/>
            </a:ext>
          </a:extLst>
        </xdr:cNvPr>
        <xdr:cNvSpPr/>
      </xdr:nvSpPr>
      <xdr:spPr>
        <a:xfrm>
          <a:off x="1504950" y="15601950"/>
          <a:ext cx="4038600" cy="20955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38100</xdr:colOff>
      <xdr:row>26</xdr:row>
      <xdr:rowOff>142875</xdr:rowOff>
    </xdr:from>
    <xdr:to>
      <xdr:col>11</xdr:col>
      <xdr:colOff>314325</xdr:colOff>
      <xdr:row>42</xdr:row>
      <xdr:rowOff>28575</xdr:rowOff>
    </xdr:to>
    <xdr:sp macro="" textlink="">
      <xdr:nvSpPr>
        <xdr:cNvPr id="7" name="流程图: 过程 6">
          <a:extLst>
            <a:ext uri="{FF2B5EF4-FFF2-40B4-BE49-F238E27FC236}">
              <a16:creationId xmlns:a16="http://schemas.microsoft.com/office/drawing/2014/main" id="{D0AE5290-E574-47E1-9456-BCFF47A1F35A}"/>
            </a:ext>
          </a:extLst>
        </xdr:cNvPr>
        <xdr:cNvSpPr/>
      </xdr:nvSpPr>
      <xdr:spPr>
        <a:xfrm>
          <a:off x="38100" y="5629275"/>
          <a:ext cx="8896350" cy="2628900"/>
        </a:xfrm>
        <a:prstGeom prst="flowChartProcess">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657225</xdr:colOff>
      <xdr:row>21</xdr:row>
      <xdr:rowOff>95202</xdr:rowOff>
    </xdr:to>
    <xdr:pic>
      <xdr:nvPicPr>
        <xdr:cNvPr id="2" name="图片 1">
          <a:extLst>
            <a:ext uri="{FF2B5EF4-FFF2-40B4-BE49-F238E27FC236}">
              <a16:creationId xmlns:a16="http://schemas.microsoft.com/office/drawing/2014/main" id="{1FCC2896-AEFC-8132-35D5-BEC87B790D73}"/>
            </a:ext>
          </a:extLst>
        </xdr:cNvPr>
        <xdr:cNvPicPr>
          <a:picLocks noChangeAspect="1"/>
        </xdr:cNvPicPr>
      </xdr:nvPicPr>
      <xdr:blipFill>
        <a:blip xmlns:r="http://schemas.openxmlformats.org/officeDocument/2006/relationships" r:embed="rId1"/>
        <a:stretch>
          <a:fillRect/>
        </a:stretch>
      </xdr:blipFill>
      <xdr:spPr>
        <a:xfrm>
          <a:off x="0" y="0"/>
          <a:ext cx="8201025" cy="3695652"/>
        </a:xfrm>
        <a:prstGeom prst="rect">
          <a:avLst/>
        </a:prstGeom>
      </xdr:spPr>
    </xdr:pic>
    <xdr:clientData/>
  </xdr:twoCellAnchor>
  <xdr:twoCellAnchor editAs="oneCell">
    <xdr:from>
      <xdr:col>0</xdr:col>
      <xdr:colOff>0</xdr:colOff>
      <xdr:row>21</xdr:row>
      <xdr:rowOff>142875</xdr:rowOff>
    </xdr:from>
    <xdr:to>
      <xdr:col>11</xdr:col>
      <xdr:colOff>636510</xdr:colOff>
      <xdr:row>44</xdr:row>
      <xdr:rowOff>46983</xdr:rowOff>
    </xdr:to>
    <xdr:pic>
      <xdr:nvPicPr>
        <xdr:cNvPr id="4" name="图片 3">
          <a:extLst>
            <a:ext uri="{FF2B5EF4-FFF2-40B4-BE49-F238E27FC236}">
              <a16:creationId xmlns:a16="http://schemas.microsoft.com/office/drawing/2014/main" id="{01E66856-920E-3A24-3EDE-1227C5039BF1}"/>
            </a:ext>
          </a:extLst>
        </xdr:cNvPr>
        <xdr:cNvPicPr>
          <a:picLocks noChangeAspect="1"/>
        </xdr:cNvPicPr>
      </xdr:nvPicPr>
      <xdr:blipFill>
        <a:blip xmlns:r="http://schemas.openxmlformats.org/officeDocument/2006/relationships" r:embed="rId2"/>
        <a:stretch>
          <a:fillRect/>
        </a:stretch>
      </xdr:blipFill>
      <xdr:spPr>
        <a:xfrm>
          <a:off x="0" y="3743325"/>
          <a:ext cx="8180310" cy="3847458"/>
        </a:xfrm>
        <a:prstGeom prst="rect">
          <a:avLst/>
        </a:prstGeom>
      </xdr:spPr>
    </xdr:pic>
    <xdr:clientData/>
  </xdr:twoCellAnchor>
  <xdr:twoCellAnchor editAs="oneCell">
    <xdr:from>
      <xdr:col>0</xdr:col>
      <xdr:colOff>0</xdr:colOff>
      <xdr:row>43</xdr:row>
      <xdr:rowOff>161925</xdr:rowOff>
    </xdr:from>
    <xdr:to>
      <xdr:col>12</xdr:col>
      <xdr:colOff>22608</xdr:colOff>
      <xdr:row>65</xdr:row>
      <xdr:rowOff>151755</xdr:rowOff>
    </xdr:to>
    <xdr:pic>
      <xdr:nvPicPr>
        <xdr:cNvPr id="5" name="图片 4">
          <a:extLst>
            <a:ext uri="{FF2B5EF4-FFF2-40B4-BE49-F238E27FC236}">
              <a16:creationId xmlns:a16="http://schemas.microsoft.com/office/drawing/2014/main" id="{EA9AD405-41B4-24E8-BA5F-17BEB24E90C1}"/>
            </a:ext>
          </a:extLst>
        </xdr:cNvPr>
        <xdr:cNvPicPr>
          <a:picLocks noChangeAspect="1"/>
        </xdr:cNvPicPr>
      </xdr:nvPicPr>
      <xdr:blipFill>
        <a:blip xmlns:r="http://schemas.openxmlformats.org/officeDocument/2006/relationships" r:embed="rId3"/>
        <a:stretch>
          <a:fillRect/>
        </a:stretch>
      </xdr:blipFill>
      <xdr:spPr>
        <a:xfrm>
          <a:off x="0" y="7534275"/>
          <a:ext cx="8252208" cy="3761730"/>
        </a:xfrm>
        <a:prstGeom prst="rect">
          <a:avLst/>
        </a:prstGeom>
      </xdr:spPr>
    </xdr:pic>
    <xdr:clientData/>
  </xdr:twoCellAnchor>
  <xdr:twoCellAnchor editAs="oneCell">
    <xdr:from>
      <xdr:col>11</xdr:col>
      <xdr:colOff>657224</xdr:colOff>
      <xdr:row>0</xdr:row>
      <xdr:rowOff>0</xdr:rowOff>
    </xdr:from>
    <xdr:to>
      <xdr:col>22</xdr:col>
      <xdr:colOff>207835</xdr:colOff>
      <xdr:row>30</xdr:row>
      <xdr:rowOff>76193</xdr:rowOff>
    </xdr:to>
    <xdr:pic>
      <xdr:nvPicPr>
        <xdr:cNvPr id="6" name="图片 5">
          <a:extLst>
            <a:ext uri="{FF2B5EF4-FFF2-40B4-BE49-F238E27FC236}">
              <a16:creationId xmlns:a16="http://schemas.microsoft.com/office/drawing/2014/main" id="{CE36D4F2-D316-34C1-1F86-9E25BA5D3155}"/>
            </a:ext>
          </a:extLst>
        </xdr:cNvPr>
        <xdr:cNvPicPr>
          <a:picLocks noChangeAspect="1"/>
        </xdr:cNvPicPr>
      </xdr:nvPicPr>
      <xdr:blipFill rotWithShape="1">
        <a:blip xmlns:r="http://schemas.openxmlformats.org/officeDocument/2006/relationships" r:embed="rId4"/>
        <a:srcRect l="30248"/>
        <a:stretch>
          <a:fillRect/>
        </a:stretch>
      </xdr:blipFill>
      <xdr:spPr>
        <a:xfrm>
          <a:off x="8201024" y="0"/>
          <a:ext cx="7094411" cy="52196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 Id="rId1" Type="http://schemas.openxmlformats.org/officeDocument/2006/relationships/externalLinkPath" Target="/2024/2024-1-0216&#21271;&#20140;&#24066;&#26397;&#38451;&#21306;&#29976;&#38706;&#22253;4&#21495;&#27004;1&#23618;3&#21495;&#12289;1101-1104&#21495;&#12289;1098-1100&#21495;&#20849;8&#22871;&#21830;&#19994;&#29992;&#25151;&#25151;&#22320;&#20135;&#25269;&#25276;&#20215;&#20540;&#35780;&#20272;/F01-1&#23618;3&#21495;/&#26368;&#32456;/&#35745;&#31639;&#34920;-314.05&#29976;&#38706;&#22253;4&#2149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售价"/>
      <sheetName val="面积"/>
      <sheetName val="租金比较法"/>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C61" t="str">
            <v>正常</v>
          </cell>
          <cell r="D61" t="str">
            <v>挂牌</v>
          </cell>
        </row>
        <row r="63">
          <cell r="B63" t="str">
            <v>用途</v>
          </cell>
          <cell r="C63" t="str">
            <v>商业</v>
          </cell>
          <cell r="D63" t="str">
            <v>商业</v>
          </cell>
        </row>
        <row r="86">
          <cell r="B86" t="str">
            <v>临街状况</v>
          </cell>
          <cell r="C86" t="str">
            <v>街角地</v>
          </cell>
          <cell r="D86" t="str">
            <v>多面临街</v>
          </cell>
          <cell r="E86" t="str">
            <v>双面临街</v>
          </cell>
          <cell r="F86" t="str">
            <v>单面临街</v>
          </cell>
          <cell r="G86" t="str">
            <v>不临街</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独立商业</v>
          </cell>
          <cell r="D100" t="str">
            <v>商业街商铺</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较适宜</v>
          </cell>
        </row>
        <row r="122">
          <cell r="B122" t="str">
            <v>内部装修</v>
          </cell>
          <cell r="C122" t="str">
            <v>精装修</v>
          </cell>
          <cell r="D122" t="str">
            <v>简装</v>
          </cell>
          <cell r="E122" t="str">
            <v>毛坯</v>
          </cell>
        </row>
      </sheetData>
      <sheetData sheetId="20">
        <row r="10">
          <cell r="C10">
            <v>62810</v>
          </cell>
        </row>
      </sheetData>
      <sheetData sheetId="21"/>
      <sheetData sheetId="22"/>
      <sheetData sheetId="23">
        <row r="5">
          <cell r="B5" t="str">
            <v>修正项2</v>
          </cell>
        </row>
        <row r="7">
          <cell r="B7" t="str">
            <v>修正项3</v>
          </cell>
        </row>
        <row r="9">
          <cell r="B9" t="str">
            <v>修正项4</v>
          </cell>
        </row>
        <row r="11">
          <cell r="T11">
            <v>5</v>
          </cell>
        </row>
        <row r="15">
          <cell r="B15" t="str">
            <v>分层面积</v>
          </cell>
        </row>
        <row r="17">
          <cell r="A17" t="str">
            <v>修正系数</v>
          </cell>
          <cell r="B17" t="str">
            <v>楼层</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str">
        <f>'预评函-1'!A7</f>
        <v>估价对象为房地产，为所有。根据《国有土地使用证》[]，估价对象（分摊）出让国有建设用地使用权面积为0平方米，建筑面积为74.16平方米。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估价对象为房地产,属开发建设的，该项目尚在开发建设中。根据《国有土地使用证》[]，估价对象（分摊）出让国有建设用地使用权面积为0平方米，规划建筑面积为74.16平方米。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2025年10月20日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74.16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45953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59"/>
      <c r="E18" s="3227" t="s">
        <v>2162</v>
      </c>
      <c r="F18" s="3226"/>
      <c r="G18" s="322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6" t="s">
        <v>385</v>
      </c>
      <c r="C54" s="1444" t="s">
        <v>583</v>
      </c>
    </row>
    <row r="55" spans="1:4">
      <c r="A55" s="3228"/>
      <c r="B55" s="1446" t="s">
        <v>386</v>
      </c>
      <c r="C55" s="1444" t="s">
        <v>584</v>
      </c>
    </row>
    <row r="56" spans="1:4">
      <c r="A56" s="3228"/>
      <c r="B56" s="1446" t="s">
        <v>387</v>
      </c>
      <c r="C56" s="1444" t="s">
        <v>588</v>
      </c>
    </row>
    <row r="57" spans="1:4">
      <c r="A57" s="322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29" t="s">
        <v>2571</v>
      </c>
      <c r="J2" s="3229"/>
      <c r="K2" s="3229"/>
      <c r="L2" s="3229"/>
      <c r="M2" s="3229"/>
      <c r="N2" s="3229"/>
      <c r="O2" s="3229"/>
      <c r="P2" s="3229"/>
      <c r="Q2" s="3229"/>
      <c r="R2" s="3229"/>
    </row>
    <row r="3" spans="1:18">
      <c r="A3" s="2762" t="s">
        <v>2492</v>
      </c>
      <c r="B3" s="2763">
        <f>项目基本情况!D3</f>
        <v>45950</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1.1599999999999999</v>
      </c>
      <c r="D5" s="2767">
        <f>IF(ISERROR(ROUND(POWER(1+E5,A5-C5)*(POWER(1+E5,C5)-1)/(POWER(1+E5,A5)-1),3)),0,ROUND(POWER(1+E5,A5-C5)*(POWER(1+E5,C5)-1)/(POWER(1+E5,A5)-1),4))</f>
        <v>5.62E-2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11.17</v>
      </c>
      <c r="D6" s="2767">
        <f>IF(ISERROR(ROUND(POWER(1+E6,A6-C6)*(POWER(1+E6,C6)-1)/(POWER(1+E6,A6)-1),3)),0,ROUND(POWER(1+E6,A6-C6)*(POWER(1+E6,C6)-1)/(POWER(1+E6,A6)-1),4))</f>
        <v>0.4128</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31.18</v>
      </c>
      <c r="D7" s="2767">
        <f>IF(ISERROR(ROUND(POWER(1+E7,A7-C7)*(POWER(1+E7,C7)-1)/(POWER(1+E7,A7)-1),3)),0,ROUND(POWER(1+E7,A7-C7)*(POWER(1+E7,C7)-1)/(POWER(1+E7,A7)-1),4))</f>
        <v>0.754</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3376</v>
      </c>
    </row>
    <row r="50" spans="1:4">
      <c r="A50" s="3144" t="s">
        <v>3377</v>
      </c>
      <c r="B50" s="3144" t="s">
        <v>3378</v>
      </c>
      <c r="C50" s="3144" t="s">
        <v>3379</v>
      </c>
      <c r="D50" s="3144" t="s">
        <v>3380</v>
      </c>
    </row>
    <row r="51" spans="1:4">
      <c r="A51" s="3144" t="s">
        <v>3381</v>
      </c>
      <c r="B51" s="2764">
        <f>B52+B53</f>
        <v>15000</v>
      </c>
      <c r="C51" s="3145">
        <f>D51/B51</f>
        <v>2666.6666666666665</v>
      </c>
      <c r="D51" s="2764">
        <f>D52+D53</f>
        <v>40000000</v>
      </c>
    </row>
    <row r="52" spans="1:4">
      <c r="A52" s="3146" t="s">
        <v>3382</v>
      </c>
      <c r="B52" s="3147">
        <v>10000</v>
      </c>
      <c r="C52" s="3147">
        <v>1500</v>
      </c>
      <c r="D52" s="3148">
        <f>C52*B52</f>
        <v>15000000</v>
      </c>
    </row>
    <row r="53" spans="1:4">
      <c r="A53" s="3146" t="s">
        <v>3383</v>
      </c>
      <c r="B53" s="3147">
        <v>5000</v>
      </c>
      <c r="C53" s="3147">
        <v>5000</v>
      </c>
      <c r="D53" s="3148">
        <f>C53*B53</f>
        <v>25000000</v>
      </c>
    </row>
    <row r="54" spans="1:4">
      <c r="A54" s="3144" t="s">
        <v>3384</v>
      </c>
      <c r="B54" s="2764">
        <f>B51</f>
        <v>15000</v>
      </c>
      <c r="C54" s="2770">
        <v>700</v>
      </c>
      <c r="D54" s="2764">
        <f t="shared" ref="D54:D55" si="5">C54*B54</f>
        <v>10500000</v>
      </c>
    </row>
    <row r="55" spans="1:4">
      <c r="A55" s="3144" t="s">
        <v>3385</v>
      </c>
      <c r="B55" s="2764">
        <f>B51</f>
        <v>15000</v>
      </c>
      <c r="C55" s="2770">
        <v>1500</v>
      </c>
      <c r="D55" s="2764">
        <f t="shared" si="5"/>
        <v>22500000</v>
      </c>
    </row>
    <row r="56" spans="1:4">
      <c r="A56" s="3144" t="s">
        <v>3386</v>
      </c>
      <c r="B56" s="2764">
        <f>B51</f>
        <v>15000</v>
      </c>
      <c r="C56" s="3149">
        <f>C51+C54+C55</f>
        <v>4866.6666666666661</v>
      </c>
      <c r="D56" s="2764">
        <f>D51+D54+D55</f>
        <v>73000000</v>
      </c>
    </row>
    <row r="58" spans="1:4">
      <c r="A58" s="3144" t="s">
        <v>3387</v>
      </c>
      <c r="B58" s="3150">
        <v>0.05</v>
      </c>
      <c r="C58" s="2764">
        <f>C56*(1+B58)</f>
        <v>5110</v>
      </c>
      <c r="D58" s="2764">
        <f>D56*B58</f>
        <v>3650000</v>
      </c>
    </row>
    <row r="60" spans="1:4">
      <c r="A60" s="3144" t="s">
        <v>3388</v>
      </c>
      <c r="B60" s="2770">
        <v>3500</v>
      </c>
      <c r="C60" s="2770">
        <f>C53</f>
        <v>5000</v>
      </c>
      <c r="D60" s="2764">
        <f>C60*B60</f>
        <v>17500000</v>
      </c>
    </row>
    <row r="62" spans="1:4">
      <c r="A62" s="3144" t="s">
        <v>3389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37" t="str">
        <f>IF(B10="北京市","北京市",C10)&amp;F10&amp;IF(结果表!G1="在建","出让国有建设用地使用权及在建建筑物",IF(结果表!G1="土地","出让国有建设用地使用权",))&amp;B9&amp;"预评估"</f>
        <v>预评估</v>
      </c>
      <c r="C1" s="3238"/>
      <c r="D1" s="3238"/>
      <c r="E1" s="3238"/>
      <c r="F1" s="3238"/>
      <c r="G1" s="3238"/>
      <c r="H1" s="3238"/>
      <c r="I1" s="323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c r="C3" s="2185" t="s">
        <v>2171</v>
      </c>
      <c r="D3" s="2184">
        <v>45950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40" t="s">
        <v>2177</v>
      </c>
      <c r="E8" s="2201"/>
      <c r="F8" s="2202"/>
      <c r="G8" s="2441"/>
      <c r="H8" s="2441"/>
      <c r="I8" s="2441"/>
      <c r="J8" s="2244"/>
      <c r="K8" s="2399"/>
      <c r="L8" s="2398"/>
      <c r="M8" s="2398"/>
      <c r="N8" s="2244"/>
      <c r="O8" s="1669"/>
      <c r="P8" s="2244"/>
      <c r="Q8" s="2244"/>
      <c r="R8" s="2244"/>
    </row>
    <row r="9" spans="1:30" ht="13.5" thickBot="1">
      <c r="A9" s="2203" t="s">
        <v>2178</v>
      </c>
      <c r="B9" s="2204"/>
      <c r="C9" s="2205"/>
      <c r="D9" s="3241"/>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800" t="s">
        <v>2567</v>
      </c>
      <c r="J12" s="2802"/>
      <c r="K12" s="2398"/>
      <c r="L12" s="2398"/>
      <c r="M12" s="2244"/>
      <c r="N12" s="1669"/>
      <c r="O12" s="2244"/>
      <c r="P12" s="2244"/>
      <c r="Q12" s="2244"/>
      <c r="AD12" s="1617"/>
    </row>
    <row r="13" spans="1:30">
      <c r="A13" s="3121" t="s">
        <v>3321</v>
      </c>
      <c r="B13" s="2217" t="s">
        <v>2190</v>
      </c>
      <c r="C13" s="802"/>
      <c r="D13" s="802">
        <v>52232</v>
      </c>
      <c r="E13" s="802"/>
      <c r="F13" s="802"/>
      <c r="G13" s="802"/>
      <c r="H13" s="802"/>
      <c r="I13" s="802"/>
      <c r="J13" s="2802"/>
      <c r="K13" s="2398"/>
      <c r="L13" s="2398"/>
      <c r="M13" s="2244"/>
      <c r="N13" s="1669"/>
      <c r="O13" s="2244"/>
      <c r="P13" s="2244"/>
      <c r="Q13" s="2244"/>
      <c r="AD13" s="1617"/>
    </row>
    <row r="14" spans="1:30">
      <c r="A14" s="1017"/>
      <c r="B14" s="2217" t="s">
        <v>2191</v>
      </c>
      <c r="C14" s="2218"/>
      <c r="D14" s="2218">
        <v>40</v>
      </c>
      <c r="E14" s="2218"/>
      <c r="F14" s="2218"/>
      <c r="G14" s="2218"/>
      <c r="H14" s="2218"/>
      <c r="I14" s="2218"/>
      <c r="J14" s="2803"/>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17.21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7"/>
      <c r="C16" s="3248"/>
      <c r="D16" s="3249"/>
      <c r="E16" s="2221" t="s">
        <v>2194</v>
      </c>
      <c r="F16" s="3250"/>
      <c r="G16" s="3251"/>
      <c r="H16" s="3251"/>
      <c r="I16" s="3252"/>
      <c r="J16" s="2244"/>
      <c r="K16" s="2402"/>
      <c r="L16" s="1669"/>
      <c r="M16" s="1669"/>
      <c r="N16" s="2244"/>
      <c r="O16" s="1669"/>
      <c r="P16" s="2244"/>
      <c r="Q16" s="2244"/>
      <c r="R16" s="2244"/>
    </row>
    <row r="17" spans="1:28">
      <c r="A17" s="304" t="s">
        <v>2195</v>
      </c>
      <c r="B17" s="293" t="s">
        <v>2196</v>
      </c>
      <c r="C17" s="8">
        <f>'数据-汇总表'!E3</f>
        <v>74.16</v>
      </c>
      <c r="D17" s="1255" t="s">
        <v>2197</v>
      </c>
      <c r="E17" s="3253" t="s">
        <v>2198</v>
      </c>
      <c r="F17" s="3254"/>
      <c r="G17" s="3254"/>
      <c r="H17" s="3254"/>
      <c r="I17" s="325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56" t="s">
        <v>2202</v>
      </c>
      <c r="F18" s="3257"/>
      <c r="G18" s="3257"/>
      <c r="H18" s="3257"/>
      <c r="I18" s="3258"/>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43" t="s">
        <v>2206</v>
      </c>
      <c r="C20" s="3244"/>
      <c r="D20" s="3245" t="s">
        <v>2207</v>
      </c>
      <c r="E20" s="3246"/>
      <c r="F20" s="2429" t="s">
        <v>1056</v>
      </c>
      <c r="G20" s="2441"/>
      <c r="H20" s="2441"/>
      <c r="I20" s="2441"/>
      <c r="J20" s="2244"/>
      <c r="K20" s="324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1"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1"/>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1"/>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2"/>
      <c r="B30" s="293" t="s">
        <v>2218</v>
      </c>
      <c r="C30" s="3233"/>
      <c r="D30" s="3234"/>
      <c r="E30" s="2441"/>
      <c r="F30" s="2441"/>
      <c r="G30" s="2441"/>
      <c r="H30" s="2441"/>
      <c r="I30" s="2441"/>
      <c r="J30" s="2244"/>
      <c r="K30" s="2401"/>
      <c r="L30" s="2398"/>
      <c r="M30" s="2398"/>
      <c r="N30" s="2244"/>
      <c r="O30" s="1669"/>
      <c r="P30" s="2244"/>
      <c r="Q30" s="2244"/>
      <c r="R30" s="2244"/>
      <c r="S30" s="2244"/>
      <c r="T30" s="2244"/>
      <c r="U30" s="2244"/>
      <c r="V30" s="2244"/>
    </row>
    <row r="31" spans="1:28">
      <c r="A31" s="3235"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30" t="s">
        <v>2228</v>
      </c>
      <c r="T34" s="314" t="str">
        <f>NUMBERSTRING(7-K34,1)&amp;"通"</f>
        <v>七通</v>
      </c>
      <c r="U34" s="2244"/>
      <c r="V34" s="2244"/>
    </row>
    <row r="35" spans="1:30">
      <c r="A35" s="2235"/>
      <c r="B35" s="3230" t="s">
        <v>2229</v>
      </c>
      <c r="C35" s="3230"/>
      <c r="D35" s="3230"/>
      <c r="E35" s="323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4"/>
      <c r="V35" s="2244"/>
    </row>
    <row r="36" spans="1:30">
      <c r="A36" s="2182"/>
      <c r="B36" s="8" t="s">
        <v>2185</v>
      </c>
      <c r="C36" s="8" t="s">
        <v>2186</v>
      </c>
      <c r="D36" s="8" t="s">
        <v>2184</v>
      </c>
      <c r="E36" s="8" t="s">
        <v>2189</v>
      </c>
      <c r="F36" s="2800" t="s">
        <v>2570</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74.16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74.16</v>
      </c>
      <c r="H5" s="13">
        <f t="shared" ref="H5:AT5" si="0">SUM(H13:H656)</f>
        <v>74.16</v>
      </c>
      <c r="I5" s="13">
        <f t="shared" si="0"/>
        <v>74.16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74.16</v>
      </c>
      <c r="BA5" s="15">
        <f t="shared" si="1"/>
        <v>74.16</v>
      </c>
      <c r="BB5" s="15">
        <f t="shared" si="1"/>
        <v>74.16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3409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75"/>
      <c r="D13" s="1512" t="s">
        <v>3408</v>
      </c>
      <c r="E13" s="13">
        <f>IF($C$3="是",ROUND($A$3*G13/$B$3,2),ROUND($A$3*(G13-AT13)/$B$3,2))</f>
        <v>0</v>
      </c>
      <c r="F13" s="29"/>
      <c r="G13" s="30">
        <f>H13+AC13+AT13</f>
        <v>74.16</v>
      </c>
      <c r="H13" s="17">
        <f>SUMIF(I$12:AB$12,"总值",I13:AB13)</f>
        <v>74.16</v>
      </c>
      <c r="I13" s="1513">
        <f>面积!E18</f>
        <v>74.16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74.16</v>
      </c>
      <c r="BA13" s="13">
        <f>SUM(BB13:BK13)</f>
        <v>74.16</v>
      </c>
      <c r="BB13" s="13">
        <f>IF($D13="是",I13-J13,0)</f>
        <v>74.16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6" sqref="I3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8" t="s">
        <v>1131</v>
      </c>
      <c r="B2" s="3268"/>
      <c r="C2" s="3268"/>
      <c r="D2" s="747" t="s">
        <v>1107</v>
      </c>
      <c r="E2" s="1522" t="s">
        <v>1108</v>
      </c>
      <c r="F2" s="2438"/>
      <c r="G2" s="2431"/>
      <c r="H2" s="2432"/>
      <c r="I2" s="2145" t="s">
        <v>1132</v>
      </c>
      <c r="J2" s="2438"/>
      <c r="K2" s="2438"/>
      <c r="L2" s="2438"/>
      <c r="M2" s="2438"/>
      <c r="N2" s="2439"/>
      <c r="O2" s="2438"/>
      <c r="P2" s="2438"/>
    </row>
    <row r="3" spans="1:16" ht="15.75" thickBot="1">
      <c r="A3" s="3269" t="s">
        <v>1105</v>
      </c>
      <c r="B3" s="3269"/>
      <c r="C3" s="3269"/>
      <c r="D3" s="41">
        <f>'数据-基础表'!AY6</f>
        <v>0</v>
      </c>
      <c r="E3" s="41">
        <f>'数据-基础表'!AZ5</f>
        <v>74.16</v>
      </c>
      <c r="F3" s="2438"/>
      <c r="G3" s="42"/>
      <c r="H3" s="43" t="s">
        <v>1106</v>
      </c>
      <c r="I3" s="801" t="e">
        <f>ROUND('数据-基础表'!B3/'数据-基础表'!A3,2)</f>
        <v>#DIV/0!</v>
      </c>
      <c r="J3" s="2438"/>
      <c r="K3" s="2438"/>
      <c r="L3" s="2438"/>
      <c r="M3" s="2438"/>
      <c r="N3" s="2439"/>
      <c r="O3" s="2438"/>
      <c r="P3" s="2438"/>
    </row>
    <row r="4" spans="1:16" ht="15">
      <c r="A4" s="3270"/>
      <c r="B4" s="3271"/>
      <c r="C4" s="3272"/>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73" t="s">
        <v>1110</v>
      </c>
      <c r="C5" s="3273"/>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73" t="s">
        <v>1111</v>
      </c>
      <c r="C6" s="3273"/>
      <c r="D6" s="43">
        <f>ROUND($D$3*E6/$E$3,2)</f>
        <v>0</v>
      </c>
      <c r="E6" s="44">
        <f>E3-E5</f>
        <v>74.16</v>
      </c>
      <c r="F6" s="2438"/>
      <c r="G6" s="1528" t="s">
        <v>1112</v>
      </c>
      <c r="H6" s="45" t="s">
        <v>1113</v>
      </c>
      <c r="I6" s="2434" t="e">
        <f>ROUND(F31/D31,2)</f>
        <v>#DIV/0!</v>
      </c>
      <c r="J6" s="2438"/>
      <c r="K6" s="2438"/>
      <c r="L6" s="2438"/>
      <c r="M6" s="2438"/>
      <c r="N6" s="2438"/>
      <c r="O6" s="2438"/>
      <c r="P6" s="2438"/>
    </row>
    <row r="7" spans="1:16" ht="15.75" thickBot="1">
      <c r="A7" s="3265"/>
      <c r="B7" s="3266"/>
      <c r="C7" s="3267"/>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74.16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74.16</v>
      </c>
      <c r="F16" s="2438"/>
      <c r="G16" s="2438"/>
      <c r="H16" s="1530" t="s">
        <v>1135</v>
      </c>
      <c r="I16" s="1531"/>
      <c r="J16" s="1070"/>
      <c r="K16" s="3262" t="s">
        <v>1135</v>
      </c>
      <c r="L16" s="3263"/>
      <c r="M16" s="3263"/>
      <c r="N16" s="3263"/>
      <c r="O16" s="3263"/>
      <c r="P16" s="3264"/>
    </row>
    <row r="17" spans="1:19" ht="15">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3430</v>
      </c>
      <c r="D19" s="43">
        <f>ROUND($D$3*E19/$E$3,2)</f>
        <v>0</v>
      </c>
      <c r="E19" s="51">
        <f t="shared" ref="E19:E26" si="1">SUM(F19:G19)</f>
        <v>74.16</v>
      </c>
      <c r="F19" s="2557">
        <f>'数据-基础表'!I13</f>
        <v>74.16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74.16</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74.16</v>
      </c>
      <c r="F27" s="1071">
        <f>IF(SUM(F19:F26)=E8,SUM(F19:F26),"地上面积有误")</f>
        <v>74.16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74.16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74.16</v>
      </c>
      <c r="F31" s="643">
        <f>F27+F30</f>
        <v>74.16</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Q20" sqref="Q2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52232</v>
      </c>
      <c r="F6" s="61">
        <f>SUMIF(项目基本情况!C$12:I$12,C6,项目基本情况!C$15:I$15)</f>
        <v>17.21</v>
      </c>
      <c r="G6" s="62">
        <f>IF(ISERROR(ROUND(POWER(1+H6,D6-F6)*(POWER(1+H6,F6)-1)/(POWER(1+H6,D6)-1),3)),0,ROUND(POWER(1+H6,D6-F6)*(POWER(1+H6,F6)-1)/(POWER(1+H6,D6)-1),3))</f>
        <v>0.66200000000000003</v>
      </c>
      <c r="H6" s="690">
        <v>0.05</v>
      </c>
      <c r="I6" s="690">
        <v>5.5E-2</v>
      </c>
      <c r="J6" s="63">
        <v>7.0000000000000007E-2</v>
      </c>
      <c r="K6" s="969">
        <f>SUMIF('数据-汇总表'!C$19:C$33,A6,'数据-汇总表'!E$19:E$33)</f>
        <v>74.16</v>
      </c>
      <c r="L6" s="691">
        <v>4000</v>
      </c>
      <c r="M6" s="64">
        <f t="shared" ref="M6:M14" si="0">ROUND(K6*L6/10000,0)</f>
        <v>30</v>
      </c>
      <c r="N6" s="689">
        <f>N20</f>
        <v>0.78</v>
      </c>
      <c r="O6" s="64" t="str">
        <f>IF($N$5="成新度","——",ROUND(M6*N6,0))</f>
        <v>——</v>
      </c>
      <c r="P6" s="65" t="str">
        <f>IF($N$5="成新度","——",M6-O6)</f>
        <v>——</v>
      </c>
      <c r="Q6" s="692">
        <v>0.12</v>
      </c>
      <c r="R6" s="66">
        <f ca="1">SUMIF('数据-汇总表'!C$19:C$33,A6,'数据-汇总表'!R$19:R$27)</f>
        <v>0</v>
      </c>
      <c r="S6" s="49">
        <f>IF('数据-汇总表'!$I$17="按面积比例",SUMIF('数据-汇总表'!C$19:C$33,A6,'数据-汇总表'!K$19:K$33),SUMIF('数据-汇总表'!C$19:C$33,A6,'数据-汇总表'!N$19:N$33))</f>
        <v>0</v>
      </c>
      <c r="T6" s="1091">
        <f>ROUND($L$14*S6/10000,0)</f>
        <v>0</v>
      </c>
      <c r="U6" s="3176">
        <v>4</v>
      </c>
      <c r="V6" s="67">
        <v>2.5000000000000001E-2</v>
      </c>
      <c r="W6" s="67">
        <v>0.1</v>
      </c>
      <c r="X6" s="978"/>
      <c r="Y6" s="68">
        <f>N6</f>
        <v>0.78</v>
      </c>
      <c r="Z6" s="69"/>
      <c r="AA6" s="63"/>
      <c r="AB6" s="63"/>
      <c r="AC6" s="978"/>
      <c r="AD6" s="70"/>
      <c r="AE6" s="979">
        <f ca="1">IF(AN6="",0,SUMIF(INDIRECT("'"&amp;AN6&amp;"'"&amp;"!E:E"),$AE$5,INDIRECT("'"&amp;AN6&amp;"'"&amp;"!F:F")))</f>
        <v>17.21</v>
      </c>
      <c r="AF6" s="74"/>
      <c r="AG6" s="129">
        <f>IF(AF6="",0,AE6-AF6)</f>
        <v>0</v>
      </c>
      <c r="AH6" s="71"/>
      <c r="AI6" s="73">
        <v>365</v>
      </c>
      <c r="AJ6" s="74"/>
      <c r="AK6" s="77">
        <v>5.0000000000000001E-3</v>
      </c>
      <c r="AL6" s="76">
        <v>1E-3</v>
      </c>
      <c r="AM6" s="77">
        <v>0.01</v>
      </c>
      <c r="AN6" s="1588" t="s">
        <v>3411</v>
      </c>
      <c r="AO6" s="50">
        <f ca="1">SUMIF(INDIRECT("'"&amp;AN6&amp;"'"&amp;"!A:A"),"总价",INDIRECT("'"&amp;AN6&amp;"'"&amp;"!B:B"))</f>
        <v>106.3425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0.66200000000000003</v>
      </c>
      <c r="H16" s="84">
        <f>ROUND(SUMPRODUCT(H6:H13,K6:K13)/SUMPRODUCT((H6:H13&gt;0)*(K6:K13)),3)</f>
        <v>0.05</v>
      </c>
      <c r="I16" s="85"/>
      <c r="J16" s="85"/>
      <c r="K16" s="86">
        <f>SUM(K6:K15)</f>
        <v>74.16</v>
      </c>
      <c r="L16" s="87">
        <f>ROUND(M16*10000/SUM(K6:K14),0)</f>
        <v>4045</v>
      </c>
      <c r="M16" s="87">
        <f>SUM(M6:M14)</f>
        <v>30</v>
      </c>
      <c r="N16" s="88">
        <f>ROUND(SUMPRODUCT(M6:M14,N6:N14)/M16,3)</f>
        <v>0.78</v>
      </c>
      <c r="O16" s="87">
        <f>SUM(O6:O14)</f>
        <v>0</v>
      </c>
      <c r="P16" s="87">
        <f>SUM(P6:P14)</f>
        <v>0</v>
      </c>
      <c r="Q16" s="89">
        <f>ROUND(SUMPRODUCT(Q6:Q13,K6:K13)/SUMPRODUCT((Q6:Q13&gt;0)*(K6:K13)),2)</f>
        <v>0.12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v>2004</v>
      </c>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ROUND(1-(2025-N17)/60,2)</f>
        <v>0.65</v>
      </c>
      <c r="O18" s="2448">
        <v>0.5</v>
      </c>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v>0.9</v>
      </c>
      <c r="O19" s="2448">
        <f>1-O18</f>
        <v>0.5</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f>ROUND(N18*O18+N19*O19,2)</f>
        <v>0.78</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'[1]成本法 (元)'!C10/10000</f>
        <v>6.2809999999999997</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2286</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3177">
        <v>0.02</v>
      </c>
      <c r="C37" s="2564" t="s">
        <v>3373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3178">
        <v>0.02</v>
      </c>
      <c r="C38" s="2564" t="s">
        <v>3374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2301</v>
      </c>
      <c r="B40" s="1014">
        <f ca="1">IF(A40="利息：取LPR",存贷款利率!G1,存贷款利率!G1+C40)</f>
        <v>3.1300000000000001E-2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4" t="s">
        <v>3375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6"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4" t="s">
        <v>2277</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5"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5"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5"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5"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74.16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45950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230.7192</v>
      </c>
      <c r="C5" s="2299">
        <f ca="1">IF(B5=D14,结果表!H102,ROUND(B5*10000/$B$1,0))</f>
        <v>0</v>
      </c>
      <c r="D5" s="2299" t="e">
        <f ca="1">ROUND(B5*10000/$B$2,0)</f>
        <v>#DIV/0!</v>
      </c>
      <c r="E5" s="2461"/>
      <c r="F5" s="2462"/>
      <c r="G5" s="2462"/>
      <c r="H5" s="2462"/>
      <c r="I5" s="2462"/>
      <c r="J5" s="2462"/>
      <c r="K5" s="2462"/>
    </row>
    <row r="6" spans="1:11" ht="16.5">
      <c r="A6" s="2299" t="s">
        <v>656</v>
      </c>
      <c r="B6" s="2299">
        <f ca="1">SUM(G14:G23)</f>
        <v>230.7192</v>
      </c>
      <c r="C6" s="2299">
        <f ca="1">IF(B6=G14,结果表!H108,ROUND(B6*10000/$B$1,0))</f>
        <v>0</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3345</v>
      </c>
      <c r="D10" s="2299" t="s">
        <v>3346</v>
      </c>
      <c r="E10" s="3136"/>
      <c r="F10" s="3140" t="s">
        <v>3347</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74.16</v>
      </c>
      <c r="C14" s="2305"/>
      <c r="D14" s="2305">
        <f ca="1">结果表!I20/10000</f>
        <v>230.7192</v>
      </c>
      <c r="E14" s="2305">
        <f ca="1">ROUND(D14*10000/B14,0)</f>
        <v>31111</v>
      </c>
      <c r="F14" s="2305" t="e">
        <f ca="1">ROUND(D14*10000/C14,0)</f>
        <v>#DIV/0!</v>
      </c>
      <c r="G14" s="2305">
        <f ca="1">D14</f>
        <v>230.7192</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0" t="str">
        <f>项目基本情况!S2</f>
        <v>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3" t="s">
        <v>1265</v>
      </c>
      <c r="B4" s="1624" t="s">
        <v>1266</v>
      </c>
      <c r="C4" s="1625" t="s">
        <v>3410</v>
      </c>
      <c r="D4" s="1625" t="s">
        <v>3411</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2" t="s">
        <v>1269</v>
      </c>
      <c r="F5" s="1626"/>
      <c r="G5" s="1626"/>
      <c r="H5" s="1626"/>
      <c r="I5" s="1280"/>
    </row>
    <row r="6" spans="1:12" ht="12.75">
      <c r="A6" s="3290"/>
      <c r="B6" s="3277"/>
      <c r="C6" s="3294"/>
      <c r="D6" s="3313"/>
      <c r="E6" s="122" t="s">
        <v>1270</v>
      </c>
      <c r="F6" s="1626"/>
      <c r="G6" s="1626"/>
      <c r="H6" s="1626"/>
      <c r="I6" s="1280"/>
    </row>
    <row r="7" spans="1:12" ht="12.75">
      <c r="A7" s="3290"/>
      <c r="B7" s="3277"/>
      <c r="C7" s="3295"/>
      <c r="D7" s="3313"/>
      <c r="E7" s="122" t="s">
        <v>1271</v>
      </c>
      <c r="F7" s="1626"/>
      <c r="G7" s="1626"/>
      <c r="H7" s="1626"/>
      <c r="I7" s="1280"/>
    </row>
    <row r="8" spans="1:12" ht="12.75">
      <c r="A8" s="3290" t="s">
        <v>1272</v>
      </c>
      <c r="B8" s="3277">
        <v>15</v>
      </c>
      <c r="C8" s="3293"/>
      <c r="D8" s="3313"/>
      <c r="E8" s="122" t="s">
        <v>1273</v>
      </c>
      <c r="F8" s="1626"/>
      <c r="G8" s="1626"/>
      <c r="H8" s="1626"/>
      <c r="I8" s="1280"/>
    </row>
    <row r="9" spans="1:12" ht="12.75">
      <c r="A9" s="3290"/>
      <c r="B9" s="3277"/>
      <c r="C9" s="3295"/>
      <c r="D9" s="3313"/>
      <c r="E9" s="122" t="s">
        <v>1274</v>
      </c>
      <c r="F9" s="1626"/>
      <c r="G9" s="1626"/>
      <c r="H9" s="1626"/>
      <c r="I9" s="1280"/>
    </row>
    <row r="10" spans="1:12" ht="12.75">
      <c r="A10" s="3290" t="s">
        <v>1275</v>
      </c>
      <c r="B10" s="3277">
        <v>15</v>
      </c>
      <c r="C10" s="3293"/>
      <c r="D10" s="3313"/>
      <c r="E10" s="122" t="s">
        <v>1276</v>
      </c>
      <c r="F10" s="1626"/>
      <c r="G10" s="1626"/>
      <c r="H10" s="1626"/>
      <c r="I10" s="1280"/>
    </row>
    <row r="11" spans="1:12" ht="12.75">
      <c r="A11" s="3290"/>
      <c r="B11" s="3277"/>
      <c r="C11" s="3295"/>
      <c r="D11" s="3313"/>
      <c r="E11" s="122" t="s">
        <v>1277</v>
      </c>
      <c r="F11" s="1626"/>
      <c r="G11" s="1626"/>
      <c r="H11" s="1626"/>
      <c r="I11" s="1280"/>
    </row>
    <row r="12" spans="1:12" ht="12.75">
      <c r="A12" s="3290" t="s">
        <v>1278</v>
      </c>
      <c r="B12" s="3277">
        <v>15</v>
      </c>
      <c r="C12" s="3293"/>
      <c r="D12" s="3313"/>
      <c r="E12" s="122" t="s">
        <v>1279</v>
      </c>
      <c r="F12" s="1626"/>
      <c r="G12" s="1626"/>
      <c r="H12" s="1626"/>
      <c r="I12" s="1280"/>
    </row>
    <row r="13" spans="1:12" ht="12.75">
      <c r="A13" s="3290"/>
      <c r="B13" s="3277"/>
      <c r="C13" s="3295"/>
      <c r="D13" s="3313"/>
      <c r="E13" s="122" t="s">
        <v>1280</v>
      </c>
      <c r="F13" s="1626"/>
      <c r="G13" s="1626"/>
      <c r="H13" s="1626"/>
      <c r="I13" s="1280"/>
    </row>
    <row r="14" spans="1:12" ht="12.75">
      <c r="A14" s="3290" t="s">
        <v>1281</v>
      </c>
      <c r="B14" s="3277">
        <v>30</v>
      </c>
      <c r="C14" s="3293">
        <v>6</v>
      </c>
      <c r="D14" s="3313">
        <v>4</v>
      </c>
      <c r="E14" s="122" t="s">
        <v>1282</v>
      </c>
      <c r="F14" s="1626"/>
      <c r="G14" s="1626"/>
      <c r="H14" s="1626"/>
      <c r="I14" s="1280"/>
    </row>
    <row r="15" spans="1:12" ht="12.75">
      <c r="A15" s="3290"/>
      <c r="B15" s="3277"/>
      <c r="C15" s="3294"/>
      <c r="D15" s="3313"/>
      <c r="E15" s="122" t="s">
        <v>1283</v>
      </c>
      <c r="F15" s="1626"/>
      <c r="G15" s="1626"/>
      <c r="H15" s="1626"/>
      <c r="I15" s="1280"/>
    </row>
    <row r="16" spans="1:12" ht="12.75">
      <c r="A16" s="3290"/>
      <c r="B16" s="3277"/>
      <c r="C16" s="3295"/>
      <c r="D16" s="3313"/>
      <c r="E16" s="122" t="s">
        <v>1284</v>
      </c>
      <c r="F16" s="1626"/>
      <c r="G16" s="1626"/>
      <c r="H16" s="1626"/>
      <c r="I16" s="1280"/>
    </row>
    <row r="17" spans="1:36" ht="15">
      <c r="A17" s="1627" t="s">
        <v>1285</v>
      </c>
      <c r="B17" s="54"/>
      <c r="C17" s="123">
        <f>SUM(C5:C16)</f>
        <v>6</v>
      </c>
      <c r="D17" s="123">
        <f>SUM(D5:D16)</f>
        <v>4</v>
      </c>
      <c r="E17" s="120"/>
      <c r="F17" s="120"/>
      <c r="G17" s="120"/>
      <c r="H17" s="120"/>
      <c r="I17" s="120"/>
      <c r="K17" s="293"/>
      <c r="L17" s="293" t="s">
        <v>1286</v>
      </c>
      <c r="M17" s="293" t="s">
        <v>1287</v>
      </c>
    </row>
    <row r="18" spans="1:36" ht="31.9" customHeight="1" thickBot="1">
      <c r="A18" s="1628" t="s">
        <v>1288</v>
      </c>
      <c r="B18" s="1541"/>
      <c r="C18" s="124">
        <f>ROUND(C17/SUM(C17:D17),2)</f>
        <v>0.6</v>
      </c>
      <c r="D18" s="124">
        <f>1-C18</f>
        <v>0.4</v>
      </c>
      <c r="E18" s="3300" t="s">
        <v>2131</v>
      </c>
      <c r="F18" s="3301"/>
      <c r="G18" s="3301"/>
      <c r="H18" s="3301"/>
      <c r="I18" s="3301"/>
      <c r="K18" s="293" t="s">
        <v>1289</v>
      </c>
      <c r="L18" s="293">
        <f>IF(C1="",'数据-汇总表'!E3,SUMIF(项目类型,C1,'数据-汇总表'!E17:E26)+SUMIF(项目类型,C1,'数据-汇总表'!I17:I26))</f>
        <v>74.16</v>
      </c>
      <c r="M18" s="293">
        <f>IF(C1="",'数据-汇总表'!E3,SUMIF(项目类型,C1,'数据-汇总表'!E17:E26))</f>
        <v>74.16</v>
      </c>
    </row>
    <row r="19" spans="1:36" ht="15">
      <c r="A19" s="1629" t="s">
        <v>1290</v>
      </c>
      <c r="B19" s="1630" t="s">
        <v>1291</v>
      </c>
      <c r="C19" s="125">
        <f ca="1">SUMIF(INDIRECT("'"&amp;C4&amp;"'"&amp;"!A:A"),结果表!B19,INDIRECT("'"&amp;C4&amp;"'"&amp;"!B:B"))</f>
        <v>313.63010000000003</v>
      </c>
      <c r="D19" s="126">
        <f ca="1">SUMIF(INDIRECT("'"&amp;D4&amp;"'"&amp;"!A:A"),结果表!B19,INDIRECT("'"&amp;D4&amp;"'"&amp;"!B:B"))</f>
        <v>106.3425</v>
      </c>
      <c r="E19" s="1629" t="s">
        <v>1292</v>
      </c>
      <c r="F19" s="1630" t="s">
        <v>1291</v>
      </c>
      <c r="G19" s="127">
        <f ca="1">ROUND(C19*$C$18+D19*$D$18,0)</f>
        <v>231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42291</v>
      </c>
      <c r="D20" s="129">
        <f ca="1">SUMIF(INDIRECT("'"&amp;D4&amp;"'"&amp;"!A:A"),结果表!B20,INDIRECT("'"&amp;D4&amp;"'"&amp;"!B:B"))</f>
        <v>14340</v>
      </c>
      <c r="E20" s="1632"/>
      <c r="F20" s="43" t="s">
        <v>1295</v>
      </c>
      <c r="G20" s="130">
        <f ca="1">ROUND(C20*$C$18+D20*$D$18,0)</f>
        <v>31111</v>
      </c>
      <c r="H20" s="759" t="s">
        <v>1296</v>
      </c>
      <c r="I20" s="120">
        <f ca="1">ROUND(G20*'数据-汇总表'!F19,0)</f>
        <v>2307192</v>
      </c>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1.9492451277711171</v>
      </c>
      <c r="E22" s="120"/>
      <c r="F22" s="120"/>
      <c r="G22" s="120"/>
      <c r="H22" s="120"/>
      <c r="I22" s="120"/>
    </row>
    <row r="23" spans="1:36" ht="13.5" thickBot="1">
      <c r="A23" s="645"/>
      <c r="B23" s="645"/>
      <c r="C23" s="645"/>
      <c r="D23" s="645"/>
      <c r="E23" s="120"/>
      <c r="F23" s="120"/>
      <c r="G23" s="120"/>
      <c r="H23" s="120"/>
      <c r="I23" s="120"/>
    </row>
    <row r="24" spans="1:36" ht="14.25">
      <c r="A24" s="3284" t="s">
        <v>1299</v>
      </c>
      <c r="B24" s="1630" t="s">
        <v>1291</v>
      </c>
      <c r="C24" s="127">
        <f>IF(B30=0,0,D30)</f>
        <v>0</v>
      </c>
      <c r="D24" s="1636"/>
      <c r="E24" s="120"/>
      <c r="F24" s="120"/>
      <c r="G24" s="120"/>
      <c r="H24" s="120"/>
      <c r="I24" s="120"/>
    </row>
    <row r="25" spans="1:36" ht="14.25">
      <c r="A25" s="328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31111</v>
      </c>
      <c r="D32" s="1640"/>
      <c r="E32" s="120"/>
      <c r="F32" s="120"/>
      <c r="G32" s="120"/>
      <c r="H32" s="120"/>
      <c r="I32" s="120"/>
    </row>
    <row r="33" spans="1:15" ht="15">
      <c r="A33" s="739" t="s">
        <v>1306</v>
      </c>
      <c r="B33" s="122"/>
      <c r="C33" s="1641"/>
      <c r="D33" s="1642"/>
      <c r="E33" s="1643" t="s">
        <v>1307</v>
      </c>
      <c r="F33" s="1644" t="str">
        <f>IF(D32="楼面单价","取值（单价）","取值（总价）")</f>
        <v>取值（总价）</v>
      </c>
      <c r="G33" s="120"/>
      <c r="H33" s="120"/>
      <c r="I33" s="120"/>
    </row>
    <row r="34" spans="1:15" ht="15">
      <c r="A34" s="1645"/>
      <c r="B34" s="1646"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0"/>
      <c r="H34" s="120"/>
      <c r="I34" s="120"/>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5"/>
      <c r="G35" s="120"/>
      <c r="H35" s="120"/>
      <c r="I35" s="120"/>
    </row>
    <row r="36" spans="1:15" ht="15.75" thickBot="1">
      <c r="A36" s="3304" t="s">
        <v>1312</v>
      </c>
      <c r="B36" s="1651" t="s">
        <v>1313</v>
      </c>
      <c r="C36" s="136"/>
      <c r="D36" s="1652"/>
      <c r="E36" s="1566"/>
      <c r="F36" s="1653"/>
      <c r="G36" s="120"/>
      <c r="H36" s="120"/>
      <c r="I36" s="120"/>
    </row>
    <row r="37" spans="1:15" ht="15.75" thickBot="1">
      <c r="A37" s="3305"/>
      <c r="B37" s="1554" t="s">
        <v>1314</v>
      </c>
      <c r="C37" s="138"/>
      <c r="D37" s="1070"/>
      <c r="E37" s="1070"/>
      <c r="F37" s="1653"/>
      <c r="G37" s="120"/>
      <c r="H37" s="120"/>
      <c r="I37" s="120"/>
    </row>
    <row r="38" spans="1:15" ht="15.75" thickBot="1">
      <c r="A38" s="3306"/>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6" t="e">
        <f ca="1">ROUND(H101*F45,0)</f>
        <v>#REF!</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7"/>
      <c r="I46" s="150"/>
      <c r="J46" s="2309">
        <v>1</v>
      </c>
      <c r="K46" s="3340" t="s">
        <v>1331</v>
      </c>
      <c r="L46" s="3340"/>
      <c r="M46" s="3360"/>
      <c r="N46" s="3360"/>
      <c r="O46" s="3360"/>
    </row>
    <row r="47" spans="1:15" ht="12" customHeight="1">
      <c r="A47" s="151" t="s">
        <v>1332</v>
      </c>
      <c r="B47" s="152"/>
      <c r="C47" s="153"/>
      <c r="D47" s="1023" t="s">
        <v>1333</v>
      </c>
      <c r="E47" s="293" t="s">
        <v>1334</v>
      </c>
      <c r="F47" s="154" t="s">
        <v>1335</v>
      </c>
      <c r="G47" s="2332" t="s">
        <v>1336</v>
      </c>
      <c r="H47" s="2333"/>
      <c r="I47" s="150"/>
      <c r="J47" s="2309">
        <v>2</v>
      </c>
      <c r="K47" s="3340" t="s">
        <v>1337</v>
      </c>
      <c r="L47" s="3340"/>
      <c r="M47" s="3361">
        <f>'数据-取费表'!B2</f>
        <v>45950</v>
      </c>
      <c r="N47" s="3361"/>
      <c r="O47" s="3361"/>
    </row>
    <row r="48" spans="1:15" ht="25.5">
      <c r="A48" s="3309" t="s">
        <v>1338</v>
      </c>
      <c r="B48" s="3292"/>
      <c r="C48" s="329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40" t="s">
        <v>1340</v>
      </c>
      <c r="L48" s="3340"/>
      <c r="M48" s="3362" t="e">
        <f ca="1">H101</f>
        <v>#REF!</v>
      </c>
      <c r="N48" s="3362"/>
      <c r="O48" s="3362"/>
    </row>
    <row r="49" spans="1:35" ht="25.5" customHeight="1">
      <c r="A49" s="2151" t="s">
        <v>1341</v>
      </c>
      <c r="B49" s="3276" t="s">
        <v>1342</v>
      </c>
      <c r="C49" s="3276"/>
      <c r="D49" s="1477">
        <v>0</v>
      </c>
      <c r="E49" s="315" t="s">
        <v>1343</v>
      </c>
      <c r="F49" s="2232" t="s">
        <v>28</v>
      </c>
      <c r="G49" s="3346"/>
      <c r="H49" s="2133" t="s">
        <v>2134</v>
      </c>
      <c r="I49" s="2134"/>
      <c r="J49" s="2309">
        <v>4</v>
      </c>
      <c r="K49" s="3340" t="str">
        <f>IF(项目基本情况!E8="房地产抵押价值","房地产抵押价值","抵押担保权已注销时的房地产抵押价值")</f>
        <v>抵押担保权已注销时的房地产抵押价值</v>
      </c>
      <c r="L49" s="3340"/>
      <c r="M49" s="3362" t="str">
        <f>IF(项目基本情况!E8="房地产抵押价值",H107,H109)</f>
        <v>——</v>
      </c>
      <c r="N49" s="3362"/>
      <c r="O49" s="3362"/>
    </row>
    <row r="50" spans="1:35" ht="25.5" customHeight="1">
      <c r="A50" s="2337"/>
      <c r="B50" s="3276" t="s">
        <v>1344</v>
      </c>
      <c r="C50" s="3276"/>
      <c r="D50" s="2188"/>
      <c r="E50" s="322"/>
      <c r="F50" s="2232"/>
      <c r="G50" s="3347"/>
      <c r="H50" s="2135" t="s">
        <v>2135</v>
      </c>
      <c r="I50" s="2134"/>
      <c r="J50" s="3359" t="s">
        <v>1345</v>
      </c>
      <c r="K50" s="3359"/>
      <c r="L50" s="3359"/>
      <c r="M50" s="3359"/>
      <c r="N50" s="3359"/>
      <c r="O50" s="3359"/>
    </row>
    <row r="51" spans="1:35" ht="20.45" customHeight="1">
      <c r="A51" s="2338"/>
      <c r="B51" s="3276" t="s">
        <v>1346</v>
      </c>
      <c r="C51" s="3276"/>
      <c r="D51" s="1023"/>
      <c r="E51" s="318"/>
      <c r="F51" s="2232"/>
      <c r="G51" s="3348"/>
      <c r="H51" s="2135" t="s">
        <v>2136</v>
      </c>
      <c r="I51" s="2134"/>
      <c r="J51" s="2310" t="s">
        <v>1347</v>
      </c>
      <c r="K51" s="3340" t="s">
        <v>1348</v>
      </c>
      <c r="L51" s="3340"/>
      <c r="M51" s="2310" t="s">
        <v>1349</v>
      </c>
      <c r="N51" s="2310" t="s">
        <v>1350</v>
      </c>
      <c r="O51" s="2310" t="s">
        <v>1351</v>
      </c>
    </row>
    <row r="52" spans="1:35" ht="24" customHeight="1">
      <c r="A52" s="2152" t="s">
        <v>1352</v>
      </c>
      <c r="B52" s="3276" t="s">
        <v>1353</v>
      </c>
      <c r="C52" s="3276"/>
      <c r="D52" s="1023" t="e">
        <f ca="1">ROUND(D45*'数据-取费表'!B41/(1+'数据-取费表'!C42),0)</f>
        <v>#REF!</v>
      </c>
      <c r="E52" s="1255" t="s">
        <v>1354</v>
      </c>
      <c r="F52" s="2339">
        <f>'数据-取费表'!B41</f>
        <v>5.6000000000000001E-2</v>
      </c>
      <c r="G52" s="2340"/>
      <c r="H52" s="2330"/>
      <c r="I52" s="1668"/>
      <c r="J52" s="2309">
        <v>1</v>
      </c>
      <c r="K52" s="3341" t="s">
        <v>1355</v>
      </c>
      <c r="L52" s="3341"/>
      <c r="M52" s="2311" t="b">
        <f>D48</f>
        <v>0</v>
      </c>
      <c r="N52" s="2309" t="str">
        <f>E48</f>
        <v>销售额×税（费）率</v>
      </c>
      <c r="O52" s="2312">
        <f>F48</f>
        <v>5.6000000000000001E-2</v>
      </c>
    </row>
    <row r="53" spans="1:35" ht="12" customHeight="1">
      <c r="A53" s="2152" t="s">
        <v>1356</v>
      </c>
      <c r="B53" s="3302" t="s">
        <v>2282</v>
      </c>
      <c r="C53" s="3303"/>
      <c r="D53" s="1023" t="e">
        <f ca="1">ROUND(D45*'数据-取费表'!B41/(1+'数据-取费表'!C42),0)</f>
        <v>#REF!</v>
      </c>
      <c r="E53" s="1255" t="s">
        <v>1354</v>
      </c>
      <c r="F53" s="2339">
        <f>'数据-取费表'!B41</f>
        <v>5.6000000000000001E-2</v>
      </c>
      <c r="G53" s="2340"/>
      <c r="H53" s="2330"/>
      <c r="I53" s="1668"/>
      <c r="J53" s="2309">
        <v>2</v>
      </c>
      <c r="K53" s="3341" t="s">
        <v>1357</v>
      </c>
      <c r="L53" s="3341"/>
      <c r="M53" s="2311" t="e">
        <f t="shared" ref="M53:O54" ca="1" si="0">D55</f>
        <v>#REF!</v>
      </c>
      <c r="N53" s="2309" t="str">
        <f t="shared" si="0"/>
        <v>销售额×税（费）率</v>
      </c>
      <c r="O53" s="2312" t="str">
        <f t="shared" si="0"/>
        <v>免征</v>
      </c>
    </row>
    <row r="54" spans="1:35" ht="12" customHeight="1">
      <c r="A54" s="2152" t="s">
        <v>1358</v>
      </c>
      <c r="B54" s="3302" t="s">
        <v>2283</v>
      </c>
      <c r="C54" s="3303"/>
      <c r="D54" s="1023" t="e">
        <f ca="1">C68</f>
        <v>#REF!</v>
      </c>
      <c r="E54" s="318" t="s">
        <v>1359</v>
      </c>
      <c r="F54" s="2339">
        <f>'数据-取费表'!B41</f>
        <v>5.6000000000000001E-2</v>
      </c>
      <c r="G54" s="2340"/>
      <c r="H54" s="2341"/>
      <c r="I54" s="1668"/>
      <c r="J54" s="2309">
        <v>3</v>
      </c>
      <c r="K54" s="3341" t="s">
        <v>1360</v>
      </c>
      <c r="L54" s="3341"/>
      <c r="M54" s="2311" t="e">
        <f t="shared" ca="1" si="0"/>
        <v>#REF!</v>
      </c>
      <c r="N54" s="2309" t="str">
        <f t="shared" si="0"/>
        <v>增值额×税（费）率</v>
      </c>
      <c r="O54" s="2313" t="str">
        <f t="shared" si="0"/>
        <v>免征</v>
      </c>
    </row>
    <row r="55" spans="1:35" ht="24" customHeight="1">
      <c r="A55" s="3291" t="s">
        <v>1361</v>
      </c>
      <c r="B55" s="3292"/>
      <c r="C55" s="3292"/>
      <c r="D55" s="12" t="e">
        <f ca="1">IF(H55="个人住宅",0,ROUND(D45*I55,0))</f>
        <v>#REF!</v>
      </c>
      <c r="E55" s="1255" t="s">
        <v>1362</v>
      </c>
      <c r="F55" s="2339" t="str">
        <f>IF(H55="正常",I55,"免征")</f>
        <v>免征</v>
      </c>
      <c r="G55" s="2340"/>
      <c r="H55" s="2336"/>
      <c r="I55" s="156">
        <f>'数据-取费表'!B49</f>
        <v>5.0000000000000001E-4</v>
      </c>
      <c r="J55" s="2309">
        <f>IF(H59="非个人房产","",4)</f>
        <v>4</v>
      </c>
      <c r="K55" s="3341" t="str">
        <f>IF(H59="非个人房产","——","个人所得税")</f>
        <v>个人所得税</v>
      </c>
      <c r="L55" s="3341"/>
      <c r="M55" s="2314" t="e">
        <f ca="1">D59</f>
        <v>#REF!</v>
      </c>
      <c r="N55" s="1882" t="str">
        <f>E59</f>
        <v>差额计税</v>
      </c>
      <c r="O55" s="2315">
        <f>F59</f>
        <v>0.01</v>
      </c>
    </row>
    <row r="56" spans="1:35" ht="24.75">
      <c r="A56" s="3291" t="s">
        <v>1363</v>
      </c>
      <c r="B56" s="3292"/>
      <c r="C56" s="3292"/>
      <c r="D56" s="12" t="e">
        <f ca="1">IF(H56="个人住宅",D57,D58)</f>
        <v>#REF!</v>
      </c>
      <c r="E56" s="1255" t="s">
        <v>1364</v>
      </c>
      <c r="F56" s="2339" t="str">
        <f>IF(H56="正常",F58,"免征")</f>
        <v>免征</v>
      </c>
      <c r="G56" s="2342" t="s">
        <v>1365</v>
      </c>
      <c r="H56" s="2343"/>
      <c r="I56" s="1669"/>
      <c r="J56" s="2309" t="str">
        <f>IF(项目基本情况!K6="上海银行",IF(J55="",4,J55+1),"")</f>
        <v/>
      </c>
      <c r="K56" s="3364" t="str">
        <f>IF(项目基本情况!K6="上海银行","其他处置费用","")</f>
        <v/>
      </c>
      <c r="L56" s="3365"/>
      <c r="M56" s="2311" t="str">
        <f>IF(项目基本情况!K6="上海银行",M69,"")</f>
        <v/>
      </c>
      <c r="N56" s="3364" t="str">
        <f>IF(项目基本情况!K6="上海银行","包含处置中涉及的律师、诉讼、拍卖、评估等费用","")</f>
        <v/>
      </c>
      <c r="O56" s="3367"/>
    </row>
    <row r="57" spans="1:35" ht="12.75">
      <c r="A57" s="2152" t="s">
        <v>1341</v>
      </c>
      <c r="B57" s="3302" t="s">
        <v>1366</v>
      </c>
      <c r="C57" s="3303"/>
      <c r="D57" s="1477">
        <v>0</v>
      </c>
      <c r="E57" s="315" t="s">
        <v>1343</v>
      </c>
      <c r="F57" s="293"/>
      <c r="G57" s="2340"/>
      <c r="H57" s="2344"/>
      <c r="I57" s="1669"/>
      <c r="J57" s="3341">
        <f>IF(AND(J55="",J56=""),4,IF(项目基本情况!K6="上海银行",结果表!J56+1,结果表!J55+1))</f>
        <v>5</v>
      </c>
      <c r="K57" s="3341" t="s">
        <v>1367</v>
      </c>
      <c r="L57" s="2316" t="s">
        <v>1368</v>
      </c>
      <c r="M57" s="2317"/>
      <c r="N57" s="2318">
        <f ca="1">SUMIF(M52:M56,"&lt;9e307")</f>
        <v>0</v>
      </c>
      <c r="O57" s="2319"/>
      <c r="P57" s="2464" t="e">
        <f ca="1">N57/M49</f>
        <v>#VALUE!</v>
      </c>
    </row>
    <row r="58" spans="1:35" ht="24.75">
      <c r="A58" s="2152" t="s">
        <v>1352</v>
      </c>
      <c r="B58" s="3302" t="s">
        <v>1369</v>
      </c>
      <c r="C58" s="3276"/>
      <c r="D58" s="12" t="e">
        <f ca="1">IF(H58="转让取得",C81,C97)</f>
        <v>#REF!</v>
      </c>
      <c r="E58" s="1255" t="s">
        <v>1364</v>
      </c>
      <c r="F58" s="293" t="s">
        <v>28</v>
      </c>
      <c r="G58" s="2340"/>
      <c r="H58" s="2343"/>
      <c r="I58" s="1669"/>
      <c r="J58" s="3341"/>
      <c r="K58" s="3341"/>
      <c r="L58" s="2316" t="s">
        <v>1370</v>
      </c>
      <c r="M58" s="2320"/>
      <c r="N58" s="2321" t="str">
        <f ca="1">NUMBERSTRING(INT(N57*10000),2)&amp;"元整"</f>
        <v>零元整</v>
      </c>
      <c r="O58" s="2322"/>
    </row>
    <row r="59" spans="1:35" ht="24.75" thickBot="1">
      <c r="A59" s="3344" t="s">
        <v>1371</v>
      </c>
      <c r="B59" s="3345"/>
      <c r="C59" s="3345"/>
      <c r="D59" s="2345">
        <f ca="1">IF(H59="非个人房产","——",IF(H59="个人住宅（满五唯一有凭证）",0,IF(H59="个人其他（无凭证）",ROUND(D45/(1+'数据-取费表'!C42)*F59,0),ROUND(C67*F59,0))))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42">
        <f>J57+1</f>
        <v>6</v>
      </c>
      <c r="K59" s="3341" t="s">
        <v>1372</v>
      </c>
      <c r="L59" s="2309" t="s">
        <v>1368</v>
      </c>
      <c r="M59" s="2323"/>
      <c r="N59" s="2324" t="e">
        <f ca="1">M49-N57</f>
        <v>#VALUE!</v>
      </c>
      <c r="O59" s="2325"/>
    </row>
    <row r="60" spans="1:35" ht="12" customHeight="1">
      <c r="A60" s="1670"/>
      <c r="B60" s="645"/>
      <c r="C60" s="645"/>
      <c r="D60" s="645"/>
      <c r="E60" s="1465"/>
      <c r="F60" s="1669"/>
      <c r="G60" s="1669"/>
      <c r="H60" s="150"/>
      <c r="I60" s="120"/>
      <c r="J60" s="3343"/>
      <c r="K60" s="3341"/>
      <c r="L60" s="2316" t="s">
        <v>1370</v>
      </c>
      <c r="M60" s="2320"/>
      <c r="N60" s="2321" t="e">
        <f ca="1">NUMBERSTRING(INT(N59*10000),2)&amp;"元整"</f>
        <v>#VALUE!</v>
      </c>
      <c r="O60" s="2322"/>
    </row>
    <row r="61" spans="1:35" ht="13.5" thickBot="1">
      <c r="A61" s="3289" t="s">
        <v>1373</v>
      </c>
      <c r="B61" s="3289"/>
      <c r="C61" s="3289"/>
      <c r="D61" s="3289"/>
      <c r="E61" s="3289"/>
      <c r="F61" s="1669"/>
      <c r="G61" s="1669"/>
      <c r="H61" s="150"/>
      <c r="I61" s="120"/>
      <c r="J61" s="2309">
        <f>J59+1</f>
        <v>7</v>
      </c>
      <c r="K61" s="3341" t="s">
        <v>1374</v>
      </c>
      <c r="L61" s="3341"/>
      <c r="M61" s="2326"/>
      <c r="N61" s="2327" t="e">
        <f ca="1">ROUND(N59*10000/'数据-汇总表'!E3,0)</f>
        <v>#VALUE!</v>
      </c>
      <c r="O61" s="2328"/>
    </row>
    <row r="62" spans="1:35" ht="12.75">
      <c r="A62" s="3307" t="s">
        <v>1375</v>
      </c>
      <c r="B62" s="3308"/>
      <c r="C62" s="1864"/>
      <c r="D62" s="1864" t="s">
        <v>1376</v>
      </c>
      <c r="E62" s="157" t="s">
        <v>1377</v>
      </c>
      <c r="F62" s="1669"/>
      <c r="G62" s="1669"/>
      <c r="H62" s="150"/>
      <c r="I62" s="120"/>
    </row>
    <row r="63" spans="1:35" ht="12.75">
      <c r="A63" s="164" t="s">
        <v>330</v>
      </c>
      <c r="B63" s="158" t="s">
        <v>1378</v>
      </c>
      <c r="C63" s="2349" t="e">
        <f ca="1">ROUND((C64+C65)/(1+'数据-取费表'!C42),0)</f>
        <v>#REF!</v>
      </c>
      <c r="D63" s="158"/>
      <c r="E63" s="159"/>
      <c r="F63" s="1669"/>
      <c r="G63" s="1669"/>
      <c r="H63" s="150"/>
      <c r="I63" s="120"/>
      <c r="J63" s="3366" t="s">
        <v>1379</v>
      </c>
      <c r="K63" s="1244" t="s">
        <v>1380</v>
      </c>
      <c r="L63" s="1244" t="e">
        <f>IF(M49&gt;10000,M49*0.5%,IF(AND(M49&gt;1000,M49&lt;=10000),M49*1%,IF(AND(M49&gt;100,M49&lt;=1000),M49*3%,IF(AND(M49&gt;10,M49&lt;=100),M49*5%,M49*8%))))</f>
        <v>#VALUE!</v>
      </c>
      <c r="M63" s="293" t="e">
        <f>ROUND(L63,1)</f>
        <v>#VALUE!</v>
      </c>
      <c r="N63" s="2329"/>
      <c r="Z63" s="1622"/>
      <c r="AI63" s="1560"/>
    </row>
    <row r="64" spans="1:35" ht="14.25" customHeight="1">
      <c r="A64" s="160" t="s">
        <v>325</v>
      </c>
      <c r="B64" s="161" t="s">
        <v>1381</v>
      </c>
      <c r="C64" s="2350" t="e">
        <f ca="1">D45</f>
        <v>#REF!</v>
      </c>
      <c r="D64" s="161" t="s">
        <v>26</v>
      </c>
      <c r="E64" s="163"/>
      <c r="F64" s="1669"/>
      <c r="G64" s="1669"/>
      <c r="H64" s="150"/>
      <c r="I64" s="120"/>
      <c r="J64" s="336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30" t="s">
        <v>1383</v>
      </c>
      <c r="Z64" s="1622"/>
      <c r="AI64" s="1560"/>
    </row>
    <row r="65" spans="1:35" ht="14.25" customHeight="1">
      <c r="A65" s="160" t="s">
        <v>326</v>
      </c>
      <c r="B65" s="161" t="s">
        <v>1384</v>
      </c>
      <c r="C65" s="2351"/>
      <c r="D65" s="161"/>
      <c r="E65" s="163"/>
      <c r="F65" s="1669"/>
      <c r="G65" s="1669"/>
      <c r="H65" s="150"/>
      <c r="I65" s="120"/>
      <c r="J65" s="3366"/>
      <c r="K65" s="1244" t="s">
        <v>1385</v>
      </c>
      <c r="L65" s="1244" t="e">
        <f>IF(M49&gt;1000,M49*0.1%,IF(AND(M49&gt;500,M49&lt;=1000),M49*0.5%,IF(AND(M49&gt;50,M49&lt;=500),M49*1%,IF(AND(M49&gt;1,M49&lt;=50),M49*1.5%))))</f>
        <v>#VALUE!</v>
      </c>
      <c r="M65" s="293" t="e">
        <f t="shared" si="1"/>
        <v>#VALUE!</v>
      </c>
      <c r="N65" s="2330" t="s">
        <v>1383</v>
      </c>
      <c r="Z65" s="1622"/>
      <c r="AI65" s="1560"/>
    </row>
    <row r="66" spans="1:35" ht="14.25" customHeight="1">
      <c r="A66" s="164" t="s">
        <v>327</v>
      </c>
      <c r="B66" s="165" t="s">
        <v>1386</v>
      </c>
      <c r="C66" s="2352"/>
      <c r="D66" s="165" t="s">
        <v>26</v>
      </c>
      <c r="E66" s="1250" t="s">
        <v>671</v>
      </c>
      <c r="F66" s="1669"/>
      <c r="G66" s="1669"/>
      <c r="H66" s="150"/>
      <c r="I66" s="120"/>
      <c r="J66" s="3366"/>
      <c r="K66" s="1244" t="s">
        <v>1387</v>
      </c>
      <c r="L66" s="1244" t="e">
        <f>M49*0.5%</f>
        <v>#VALUE!</v>
      </c>
      <c r="M66" s="293" t="e">
        <f>IF(L66&gt;0.5,0.5,ROUND(L66,0))</f>
        <v>#VALUE!</v>
      </c>
      <c r="N66" s="2330" t="s">
        <v>1388</v>
      </c>
      <c r="Z66" s="1622"/>
      <c r="AI66" s="1560"/>
    </row>
    <row r="67" spans="1:35" ht="14.25" customHeight="1">
      <c r="A67" s="164" t="s">
        <v>328</v>
      </c>
      <c r="B67" s="165" t="s">
        <v>1389</v>
      </c>
      <c r="C67" s="2353" t="e">
        <f ca="1">C63-C66</f>
        <v>#REF!</v>
      </c>
      <c r="D67" s="161" t="s">
        <v>26</v>
      </c>
      <c r="E67" s="163"/>
      <c r="F67" s="1669"/>
      <c r="G67" s="1669"/>
      <c r="H67" s="150"/>
      <c r="I67" s="120"/>
      <c r="J67" s="336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9"/>
      <c r="Z67" s="1622"/>
      <c r="AI67" s="1560"/>
    </row>
    <row r="68" spans="1:35" ht="14.25" customHeight="1" thickBot="1">
      <c r="A68" s="167" t="s">
        <v>329</v>
      </c>
      <c r="B68" s="168" t="s">
        <v>1391</v>
      </c>
      <c r="C68" s="2354" t="e">
        <f ca="1">IF(C67&lt;=0,0,ROUND(C67*D68,0))</f>
        <v>#REF!</v>
      </c>
      <c r="D68" s="2355">
        <f>'数据-取费表'!B41</f>
        <v>5.6000000000000001E-2</v>
      </c>
      <c r="E68" s="169"/>
      <c r="F68" s="1669"/>
      <c r="G68" s="1669"/>
      <c r="H68" s="150"/>
      <c r="I68" s="120"/>
      <c r="J68" s="3366"/>
      <c r="K68" s="1244" t="s">
        <v>1392</v>
      </c>
      <c r="L68" s="1244" t="e">
        <f>IF(M49&gt;10000,M49*0.5%,IF(AND(M49&gt;5000,M49&lt;=10000),M49*1%,IF(AND(M49&gt;1000,M49&lt;=5000),M49*2%,IF(AND(M49&gt;200,M49&lt;=1000),M49*3%,M49*5%))))</f>
        <v>#VALUE!</v>
      </c>
      <c r="M68" s="293" t="e">
        <f>ROUND(L68,1)</f>
        <v>#VALUE!</v>
      </c>
      <c r="N68" s="2329"/>
      <c r="Z68" s="1622"/>
      <c r="AI68" s="1560"/>
    </row>
    <row r="69" spans="1:35" ht="16.5" customHeight="1">
      <c r="A69" s="1671"/>
      <c r="B69" s="1672"/>
      <c r="C69" s="1673"/>
      <c r="D69" s="1674"/>
      <c r="E69" s="1675"/>
      <c r="F69" s="1465"/>
      <c r="G69" s="1465"/>
      <c r="H69" s="1466"/>
      <c r="I69" s="645"/>
      <c r="J69" s="3366"/>
      <c r="K69" s="1244" t="s">
        <v>1393</v>
      </c>
      <c r="L69" s="1244"/>
      <c r="M69" s="293" t="e">
        <f>ROUND(SUM(M63:M68),0)</f>
        <v>#VALUE!</v>
      </c>
      <c r="N69" s="2331" t="e">
        <f>M69/M49</f>
        <v>#VALUE!</v>
      </c>
      <c r="Z69" s="1622"/>
      <c r="AI69" s="1560"/>
    </row>
    <row r="70" spans="1:35" s="641" customFormat="1" ht="15"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7" t="s">
        <v>1375</v>
      </c>
      <c r="B71" s="330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t="e">
        <f ca="1">ROUND(D45*D78/(1+'数据-取费表'!C42),0)</f>
        <v>#REF!</v>
      </c>
      <c r="D78" s="2362">
        <f>'数据-取费表'!B43</f>
        <v>6.000000000000001E-3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t="e">
        <f ca="1">ROUND(IF(C79&lt;=0,0,IF(C80&gt;=200%,C79*60%-C73*35%,IF(C80&gt;=100%,C79*50%-C73*15%,IF(C80&gt;=50%,C79*40%-C73*5%,IF(C80&lt;50%,C79*30%,0))))),0)</f>
        <v>#REF!</v>
      </c>
      <c r="D81" s="2365"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7" t="s">
        <v>1375</v>
      </c>
      <c r="B84" s="330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t="e">
        <f ca="1">IF(H88="仅含出让金",C87+C90+C91+C92+C93+C94,C87+C91+C92+C93+C94)</f>
        <v>#REF!</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68" t="s">
        <v>2129</v>
      </c>
      <c r="H90" s="3369"/>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86" t="s">
        <v>1419</v>
      </c>
      <c r="F91" s="3287"/>
      <c r="G91" s="32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86" t="s">
        <v>1422</v>
      </c>
      <c r="F92" s="3287"/>
      <c r="G92" s="3287"/>
      <c r="H92" s="3296"/>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t="e">
        <f ca="1">ROUND(D45*D93/(1+'数据-取费表'!C42),0)</f>
        <v>#REF!</v>
      </c>
      <c r="D93" s="2362">
        <f>'数据-取费表'!B43</f>
        <v>6.000000000000001E-3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t="e">
        <f ca="1">ROUND(IF(C95&lt;=0,0,IF(C96&gt;=200%,C95*60%-C86*35%,IF(C96&gt;=100%,C95*50%-C86*15%,IF(C96&gt;=50%,C95*40%-C86*5%,IF(C96&lt;50%,C95*30%,0))))),0)</f>
        <v>#REF!</v>
      </c>
      <c r="D97" s="2365"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70" t="str">
        <f>C4</f>
        <v>比较法-商业</v>
      </c>
      <c r="D101" s="2371" t="str">
        <f>D4</f>
        <v>收益法 (元)</v>
      </c>
      <c r="E101" s="3363" t="s">
        <v>1431</v>
      </c>
      <c r="F101" s="3320"/>
      <c r="G101" s="1686" t="s">
        <v>1432</v>
      </c>
      <c r="H101" s="2380" t="e">
        <f ca="1">H118</f>
        <v>#REF!</v>
      </c>
      <c r="I101" s="120"/>
    </row>
    <row r="102" spans="1:35" ht="18.75" customHeight="1">
      <c r="A102" s="3322" t="s">
        <v>1433</v>
      </c>
      <c r="B102" s="2369" t="s">
        <v>1432</v>
      </c>
      <c r="C102" s="2370">
        <f ca="1">IF(D32="楼面单价",ROUND(C19,0),C19)</f>
        <v>313.63010000000003</v>
      </c>
      <c r="D102" s="2371">
        <f ca="1">IF(D32="楼面单价",ROUND(D19,0),D19)</f>
        <v>106.3425</v>
      </c>
      <c r="E102" s="3363"/>
      <c r="F102" s="3320"/>
      <c r="G102" s="1686" t="s">
        <v>1434</v>
      </c>
      <c r="H102" s="2340" t="e">
        <f ca="1">I118</f>
        <v>#REF!</v>
      </c>
      <c r="I102" s="120"/>
    </row>
    <row r="103" spans="1:35" ht="42.75" customHeight="1">
      <c r="A103" s="3322"/>
      <c r="B103" s="2369" t="s">
        <v>1434</v>
      </c>
      <c r="C103" s="2372">
        <f ca="1">C20</f>
        <v>42291</v>
      </c>
      <c r="D103" s="2373">
        <f ca="1">D20</f>
        <v>14340</v>
      </c>
      <c r="E103" s="3357" t="s">
        <v>1435</v>
      </c>
      <c r="F103" s="3358"/>
      <c r="G103" s="1687" t="s">
        <v>1436</v>
      </c>
      <c r="H103" s="2380">
        <f>IF(D36="正常操作",H104+H105+H106,H105+H106)</f>
        <v>0</v>
      </c>
      <c r="I103" s="120"/>
    </row>
    <row r="104" spans="1:35" ht="18.75" customHeight="1">
      <c r="A104" s="3322" t="s">
        <v>1437</v>
      </c>
      <c r="B104" s="2374" t="s">
        <v>1432</v>
      </c>
      <c r="C104" s="2375" t="e">
        <f ca="1">H118</f>
        <v>#REF!</v>
      </c>
      <c r="D104" s="2376"/>
      <c r="E104" s="1554" t="s">
        <v>1438</v>
      </c>
      <c r="F104" s="1547"/>
      <c r="G104" s="1687" t="s">
        <v>1436</v>
      </c>
      <c r="H104" s="2381">
        <f>IF(D36="同一抵押权人同一抵押物续贷",C36&amp;"（续贷，未扣减，详见特别提示）",C36)</f>
        <v>0</v>
      </c>
      <c r="I104" s="120"/>
    </row>
    <row r="105" spans="1:35" ht="18.75" customHeight="1" thickBot="1">
      <c r="A105" s="3323"/>
      <c r="B105" s="2377" t="s">
        <v>1434</v>
      </c>
      <c r="C105" s="2378" t="e">
        <f ca="1">I118</f>
        <v>#REF!</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19" t="str">
        <f>IF(项目基本情况!E8="已注销","——","3.房地产抵押价值")</f>
        <v>3.房地产抵押价值</v>
      </c>
      <c r="F107" s="3320"/>
      <c r="G107" s="1686" t="s">
        <v>1432</v>
      </c>
      <c r="H107" s="2380" t="e">
        <f ca="1">IF(E107="——","——",H101-H103)</f>
        <v>#REF!</v>
      </c>
      <c r="I107" s="120"/>
    </row>
    <row r="108" spans="1:35" ht="18.75" customHeight="1">
      <c r="A108" s="120"/>
      <c r="B108" s="120"/>
      <c r="C108" s="120"/>
      <c r="D108" s="120"/>
      <c r="E108" s="3319"/>
      <c r="F108" s="3320"/>
      <c r="G108" s="1686" t="s">
        <v>1434</v>
      </c>
      <c r="H108" s="2340">
        <f ca="1">IF(H107=H101,H102,ROUND(H107*10000/'数据-汇总表'!E3,0))</f>
        <v>0</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6" t="s">
        <v>1432</v>
      </c>
      <c r="H109" s="2383" t="str">
        <f>IF(E109="——","——",H101-H105-H106)</f>
        <v>——</v>
      </c>
      <c r="I109" s="120"/>
    </row>
    <row r="110" spans="1:35" ht="18.75" customHeight="1">
      <c r="A110" s="120"/>
      <c r="B110" s="120"/>
      <c r="C110" s="120"/>
      <c r="D110" s="120"/>
      <c r="E110" s="3319"/>
      <c r="F110" s="3320"/>
      <c r="G110" s="1686" t="s">
        <v>1434</v>
      </c>
      <c r="H110" s="2340"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6" t="s">
        <v>1432</v>
      </c>
      <c r="H111" s="2380" t="str">
        <f>IF(E111="——","——",N59)</f>
        <v>——</v>
      </c>
      <c r="I111" s="120"/>
    </row>
    <row r="112" spans="1:35" ht="18.75" customHeight="1" thickBot="1">
      <c r="A112" s="120"/>
      <c r="B112" s="120"/>
      <c r="C112" s="120"/>
      <c r="D112" s="120"/>
      <c r="E112" s="3352"/>
      <c r="F112" s="3353"/>
      <c r="G112" s="1689" t="s">
        <v>1434</v>
      </c>
      <c r="H112" s="2384" t="str">
        <f>IF(E111="——","——",N61)</f>
        <v>——</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5" t="str">
        <f>项目基本情况!S2</f>
        <v>房地产</v>
      </c>
      <c r="B118" s="2149">
        <f>M18</f>
        <v>74.16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90" t="s">
        <v>1452</v>
      </c>
      <c r="B119" s="3290"/>
      <c r="C119" s="3290"/>
      <c r="D119" s="3330" t="e">
        <f ca="1">NUMBERSTRING(INT(D118*10000),2)&amp;"元整"</f>
        <v>#REF!</v>
      </c>
      <c r="E119" s="3332"/>
      <c r="F119" s="3330" t="e">
        <f ca="1">NUMBERSTRING(INT(F118*10000),2)&amp;"元整"</f>
        <v>#REF!</v>
      </c>
      <c r="G119" s="3332"/>
      <c r="H119" s="3330" t="e">
        <f ca="1">NUMBERSTRING(INT(H118*10000),2)&amp;"元整"</f>
        <v>#REF!</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t="e">
        <f ca="1">H107</f>
        <v>#REF!</v>
      </c>
      <c r="E122" s="3355"/>
      <c r="F122" s="3355"/>
      <c r="G122" s="3355"/>
      <c r="H122" s="3355"/>
      <c r="I122" s="3356"/>
      <c r="AA122" s="683"/>
    </row>
    <row r="123" spans="1:27" ht="18.75" customHeight="1">
      <c r="A123" s="3290" t="s">
        <v>1452</v>
      </c>
      <c r="B123" s="3290"/>
      <c r="C123" s="3290"/>
      <c r="D123" s="3330" t="e">
        <f ca="1">NUMBERSTRING(INT(D122*10000),2)&amp;"元整"</f>
        <v>#REF!</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1452</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1452</v>
      </c>
      <c r="B127" s="3290"/>
      <c r="C127" s="3290"/>
      <c r="D127" s="3330" t="e">
        <f>NUMBERSTRING(INT(D126*10000),2)&amp;"元整"</f>
        <v>#VALUE!</v>
      </c>
      <c r="E127" s="3331"/>
      <c r="F127" s="3331"/>
      <c r="G127" s="3331"/>
      <c r="H127" s="3331"/>
      <c r="I127" s="3332"/>
      <c r="AA127" s="683"/>
    </row>
    <row r="128" spans="1:27" ht="21.75" customHeight="1">
      <c r="A128" s="3337" t="s">
        <v>1453</v>
      </c>
      <c r="B128" s="3337"/>
      <c r="C128" s="3337"/>
      <c r="D128" s="3337"/>
      <c r="E128" s="3337"/>
      <c r="F128" s="3337"/>
      <c r="G128" s="3337"/>
      <c r="H128" s="3337"/>
      <c r="I128" s="333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8" t="str">
        <f>项目基本情况!B1</f>
        <v>预评估</v>
      </c>
      <c r="C37" s="3188"/>
      <c r="D37" s="3188"/>
      <c r="E37" s="3188"/>
      <c r="F37" s="3188"/>
      <c r="G37" s="3188"/>
      <c r="H37" s="3188"/>
      <c r="I37" s="318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8479A-2AB5-4BAC-88E9-0110975C406F}">
  <dimension ref="A1"/>
  <sheetViews>
    <sheetView workbookViewId="0">
      <selection activeCell="N7" sqref="N7"/>
    </sheetView>
  </sheetViews>
  <sheetFormatPr defaultRowHeight="13.5"/>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42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5663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6.2809999999999997</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6.2809999999999997</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v>
      </c>
      <c r="D10" s="794">
        <f ca="1">IF(B1="",'数据-汇总表'!E6,IF(INDIRECT("'数据-取费表'!c"&amp;$G$1)="住宅",INDIRECT("'数据-取费表'!s"&amp;$G$1),INDIRECT("'数据-取费表'!k"&amp;$G$1)+INDIRECT("'数据-取费表'!s"&amp;$G$1)))</f>
        <v>74.16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v>
      </c>
      <c r="D19" s="203">
        <f ca="1">D9+D10</f>
        <v>74.16</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5.9999999999999995E-4</v>
      </c>
      <c r="E22" s="227" t="s">
        <v>1498</v>
      </c>
      <c r="F22" s="228">
        <f ca="1">'数据-取费表'!B40</f>
        <v>3.1300000000000001E-2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30</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v>
      </c>
      <c r="D37" s="208">
        <f ca="1">D19</f>
        <v>74.16</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70" t="s">
        <v>1544</v>
      </c>
    </row>
    <row r="43" spans="1:7" ht="13.5" customHeight="1">
      <c r="A43" s="733" t="s">
        <v>347</v>
      </c>
      <c r="B43" s="206" t="s">
        <v>1545</v>
      </c>
      <c r="C43" s="229">
        <f ca="1">ROUND(IF('数据-取费表'!B22&lt;=1,C39*F22*'数据-取费表'!B21/2,C39*(POWER((1+F22),'数据-取费表'!B21/2)-1)),0)</f>
        <v>0</v>
      </c>
      <c r="D43" s="229"/>
      <c r="E43" s="229"/>
      <c r="F43" s="230"/>
      <c r="G43" s="3371"/>
    </row>
    <row r="44" spans="1:7" ht="13.5" customHeight="1">
      <c r="A44" s="733" t="s">
        <v>348</v>
      </c>
      <c r="B44" s="206" t="s">
        <v>1546</v>
      </c>
      <c r="C44" s="229">
        <f ca="1">ROUND(IF('数据-取费表'!B22&lt;=1,C40*F22*'数据-取费表'!B21/2,C40*(POWER((1+F22),'数据-取费表'!B21/2)-1)),4)</f>
        <v>5.9999999999999995E-4</v>
      </c>
      <c r="D44" s="229"/>
      <c r="E44" s="229"/>
      <c r="F44" s="230"/>
      <c r="G44" s="3372"/>
    </row>
    <row r="45" spans="1:7" s="205" customFormat="1" ht="13.5" customHeight="1">
      <c r="A45" s="246" t="s">
        <v>1547</v>
      </c>
      <c r="B45" s="235" t="s">
        <v>1513</v>
      </c>
      <c r="C45" s="236">
        <f ca="1">C46</f>
        <v>4</v>
      </c>
      <c r="D45" s="226">
        <f ca="1">C47</f>
        <v>2.3999999999999998E-3</v>
      </c>
      <c r="E45" s="227" t="s">
        <v>1539</v>
      </c>
      <c r="F45" s="237">
        <f ca="1">F27</f>
        <v>0.12</v>
      </c>
      <c r="G45" s="238" t="s">
        <v>1548</v>
      </c>
    </row>
    <row r="46" spans="1:7" s="205" customFormat="1" ht="13.5" customHeight="1">
      <c r="A46" s="733" t="s">
        <v>346</v>
      </c>
      <c r="B46" s="239" t="s">
        <v>1549</v>
      </c>
      <c r="C46" s="240">
        <f ca="1">ROUND((C33+C39)*F27,0)</f>
        <v>4</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42</v>
      </c>
      <c r="D49" s="223"/>
      <c r="E49" s="223"/>
      <c r="F49" s="255"/>
      <c r="G49" s="225" t="s">
        <v>1554</v>
      </c>
    </row>
    <row r="50" spans="1:7" s="249" customFormat="1" ht="24">
      <c r="A50" s="246" t="s">
        <v>1555</v>
      </c>
      <c r="B50" s="201" t="s">
        <v>1556</v>
      </c>
      <c r="C50" s="223"/>
      <c r="D50" s="223"/>
      <c r="E50" s="223"/>
      <c r="F50" s="255">
        <f>IF('数据-取费表'!B24=0,'数据-取费表'!N16,1)</f>
        <v>0.78</v>
      </c>
      <c r="G50" s="238" t="s">
        <v>1557</v>
      </c>
    </row>
    <row r="51" spans="1:7" ht="16.5" customHeight="1">
      <c r="A51" s="246" t="s">
        <v>1558</v>
      </c>
      <c r="B51" s="201" t="s">
        <v>1559</v>
      </c>
      <c r="C51" s="223">
        <f ca="1">ROUND(C49*F50,0)</f>
        <v>33</v>
      </c>
      <c r="D51" s="223"/>
      <c r="E51" s="223"/>
      <c r="F51" s="255"/>
      <c r="G51" s="225" t="s">
        <v>1560</v>
      </c>
    </row>
    <row r="52" spans="1:7" s="199" customFormat="1" ht="16.5" thickBot="1">
      <c r="A52" s="256" t="s">
        <v>1561</v>
      </c>
      <c r="B52" s="257"/>
      <c r="C52" s="258">
        <f ca="1">C31+C51</f>
        <v>42</v>
      </c>
      <c r="D52" s="257"/>
      <c r="E52" s="257"/>
      <c r="F52" s="257"/>
      <c r="G52" s="259"/>
    </row>
    <row r="55" spans="1:7" ht="15">
      <c r="B55" s="261" t="s">
        <v>1562</v>
      </c>
      <c r="C55" s="262"/>
    </row>
    <row r="56" spans="1:7">
      <c r="B56" s="264" t="s">
        <v>802</v>
      </c>
      <c r="C56" s="266">
        <f ca="1">1-C57</f>
        <v>0.21399999999999997</v>
      </c>
    </row>
    <row r="57" spans="1:7">
      <c r="B57" s="264" t="s">
        <v>803</v>
      </c>
      <c r="C57" s="265">
        <f ca="1">ROUND(C51/C52,3)</f>
        <v>0.78600000000000003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36.232399999999998</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4886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14832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14832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14832</v>
      </c>
      <c r="D10" s="794">
        <f ca="1">IF(B1="",'数据-汇总表'!E6,IF(INDIRECT("'数据-取费表'!c"&amp;$G$1)="住宅",INDIRECT("'数据-取费表'!s"&amp;$G$1),INDIRECT("'数据-取费表'!k"&amp;$G$1)+INDIRECT("'数据-取费表'!s"&amp;$G$1)))</f>
        <v>74.16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14832</v>
      </c>
      <c r="D19" s="203">
        <f ca="1">D9+D10</f>
        <v>74.16</v>
      </c>
      <c r="E19" s="202">
        <f>'数据-取费表'!B31</f>
        <v>200</v>
      </c>
      <c r="F19" s="222"/>
      <c r="G19" s="1713"/>
    </row>
    <row r="20" spans="1:7" s="205" customFormat="1" ht="13.5" customHeight="1">
      <c r="A20" s="246" t="s">
        <v>1574</v>
      </c>
      <c r="B20" s="201" t="s">
        <v>1575</v>
      </c>
      <c r="C20" s="223">
        <f ca="1">ROUND((C5+C19)*F20,0)</f>
        <v>593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1905</v>
      </c>
      <c r="D22" s="226">
        <f ca="1">C26</f>
        <v>5.9999999999999995E-4</v>
      </c>
      <c r="E22" s="227" t="s">
        <v>1579</v>
      </c>
      <c r="F22" s="228">
        <f ca="1">'数据-取费表'!B40</f>
        <v>3.1300000000000001E-2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943</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943</v>
      </c>
      <c r="D24" s="229"/>
      <c r="E24" s="229"/>
      <c r="F24" s="230"/>
      <c r="G24" s="231" t="s">
        <v>1586</v>
      </c>
    </row>
    <row r="25" spans="1:7" s="205" customFormat="1" ht="24">
      <c r="A25" s="733" t="s">
        <v>1476</v>
      </c>
      <c r="B25" s="206" t="s">
        <v>1587</v>
      </c>
      <c r="C25" s="229">
        <f ca="1">ROUND(IF('数据-取费表'!B22&lt;=1,C20*F22*'数据-取费表'!B22/2,C20*(POWER((1+F22),'数据-取费表'!B22/2)-1)),0)</f>
        <v>19</v>
      </c>
      <c r="D25" s="229"/>
      <c r="E25" s="232"/>
      <c r="F25" s="230"/>
      <c r="G25" s="233" t="s">
        <v>1588</v>
      </c>
    </row>
    <row r="26" spans="1:7" s="205" customFormat="1">
      <c r="A26" s="733" t="s">
        <v>350</v>
      </c>
      <c r="B26" s="206" t="s">
        <v>1511</v>
      </c>
      <c r="C26" s="229">
        <f ca="1">ROUND(IF('数据-取费表'!B22&lt;=1,F21*F22*'数据-取费表'!B22/2,F21*(POWER((1+F22),'数据-取费表'!B22/2)-1)),4)</f>
        <v>5.9999999999999995E-4</v>
      </c>
      <c r="D26" s="229"/>
      <c r="E26" s="232"/>
      <c r="F26" s="230"/>
      <c r="G26" s="234"/>
    </row>
    <row r="27" spans="1:7" s="205" customFormat="1" ht="24.75">
      <c r="A27" s="246" t="s">
        <v>1512</v>
      </c>
      <c r="B27" s="235" t="s">
        <v>1513</v>
      </c>
      <c r="C27" s="236">
        <f ca="1">C28</f>
        <v>3631</v>
      </c>
      <c r="D27" s="226">
        <f ca="1">C29</f>
        <v>2.3999999999999998E-3</v>
      </c>
      <c r="E27" s="227" t="s">
        <v>1514</v>
      </c>
      <c r="F27" s="237">
        <f ca="1">IF(B1="",'数据-取费表'!Q16,INDIRECT("'数据-取费表'!q"&amp;$G$1))</f>
        <v>0.12</v>
      </c>
      <c r="G27" s="238" t="s">
        <v>1515</v>
      </c>
    </row>
    <row r="28" spans="1:7" s="205" customFormat="1" ht="13.5" customHeight="1">
      <c r="A28" s="733" t="s">
        <v>346</v>
      </c>
      <c r="B28" s="239" t="s">
        <v>1516</v>
      </c>
      <c r="C28" s="240">
        <f ca="1">ROUND((C5+C19+C20)*F27,0)</f>
        <v>3631</v>
      </c>
      <c r="D28" s="226"/>
      <c r="E28" s="227"/>
      <c r="F28" s="237"/>
      <c r="G28" s="238"/>
    </row>
    <row r="29" spans="1:7" s="205" customFormat="1" ht="13.5" customHeight="1">
      <c r="A29" s="733" t="s">
        <v>347</v>
      </c>
      <c r="B29" s="239" t="s">
        <v>1517</v>
      </c>
      <c r="C29" s="229">
        <f ca="1">ROUND(C21*F27,4)</f>
        <v>2.3999999999999998E-3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38750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326304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296640</v>
      </c>
      <c r="D34" s="208"/>
      <c r="E34" s="211"/>
      <c r="F34" s="248"/>
      <c r="G34" s="210"/>
    </row>
    <row r="35" spans="1:7" ht="13.5" customHeight="1">
      <c r="A35" s="733" t="s">
        <v>351</v>
      </c>
      <c r="B35" s="206" t="s">
        <v>1527</v>
      </c>
      <c r="C35" s="211">
        <f ca="1">ROUND(C34*F35,0)</f>
        <v>8899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14832</v>
      </c>
      <c r="D37" s="208">
        <f ca="1">D19</f>
        <v>74.16</v>
      </c>
      <c r="E37" s="240">
        <f>'数据-取费表'!B35</f>
        <v>200</v>
      </c>
      <c r="F37" s="250"/>
      <c r="G37" s="252"/>
    </row>
    <row r="38" spans="1:7" ht="13.5" customHeight="1">
      <c r="A38" s="733" t="s">
        <v>354</v>
      </c>
      <c r="B38" s="206" t="s">
        <v>1533</v>
      </c>
      <c r="C38" s="211">
        <f ca="1">ROUND(C34*F38,0)</f>
        <v>5933</v>
      </c>
      <c r="D38" s="211"/>
      <c r="E38" s="211"/>
      <c r="F38" s="250">
        <f>'数据-取费表'!B36</f>
        <v>0.02</v>
      </c>
      <c r="G38" s="210" t="s">
        <v>1528</v>
      </c>
    </row>
    <row r="39" spans="1:7" s="205" customFormat="1" ht="13.5" customHeight="1">
      <c r="A39" s="246" t="s">
        <v>1534</v>
      </c>
      <c r="B39" s="201" t="s">
        <v>1535</v>
      </c>
      <c r="C39" s="223">
        <f ca="1">ROUND(C33*F20,0)</f>
        <v>6526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10417</v>
      </c>
      <c r="D41" s="226">
        <f ca="1">C44</f>
        <v>5.9999999999999995E-4</v>
      </c>
      <c r="E41" s="227" t="s">
        <v>1539</v>
      </c>
      <c r="F41" s="228">
        <f ca="1">F22</f>
        <v>3.1300000000000001E-2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10213</v>
      </c>
      <c r="D42" s="229"/>
      <c r="E42" s="229"/>
      <c r="F42" s="230"/>
      <c r="G42" s="3370" t="s">
        <v>1591</v>
      </c>
    </row>
    <row r="43" spans="1:7" ht="13.5" customHeight="1">
      <c r="A43" s="733" t="s">
        <v>347</v>
      </c>
      <c r="B43" s="206" t="s">
        <v>1545</v>
      </c>
      <c r="C43" s="229">
        <f ca="1">ROUND(IF('数据-取费表'!B22&lt;=1,C39*F22*'数据-取费表'!B20/2,C39*(POWER((1+F22),'数据-取费表'!B20/2)-1)),0)</f>
        <v>204</v>
      </c>
      <c r="D43" s="229"/>
      <c r="E43" s="229"/>
      <c r="F43" s="230"/>
      <c r="G43" s="3371"/>
    </row>
    <row r="44" spans="1:7" ht="13.5" customHeight="1">
      <c r="A44" s="733" t="s">
        <v>348</v>
      </c>
      <c r="B44" s="206" t="s">
        <v>1546</v>
      </c>
      <c r="C44" s="229">
        <f ca="1">ROUND(IF('数据-取费表'!B22&lt;=1,C40*F22*'数据-取费表'!B20/2,C40*(POWER((1+F22),'数据-取费表'!B20/2)-1)),4)</f>
        <v>5.9999999999999995E-4</v>
      </c>
      <c r="D44" s="229"/>
      <c r="E44" s="229"/>
      <c r="F44" s="230"/>
      <c r="G44" s="3372"/>
    </row>
    <row r="45" spans="1:7" s="205" customFormat="1" ht="13.5" customHeight="1">
      <c r="A45" s="246" t="s">
        <v>1547</v>
      </c>
      <c r="B45" s="235" t="s">
        <v>1513</v>
      </c>
      <c r="C45" s="236">
        <f ca="1">C46</f>
        <v>39940</v>
      </c>
      <c r="D45" s="226">
        <f ca="1">C47</f>
        <v>2.3999999999999998E-3</v>
      </c>
      <c r="E45" s="227" t="s">
        <v>1539</v>
      </c>
      <c r="F45" s="237">
        <f ca="1">F27</f>
        <v>0.12</v>
      </c>
      <c r="G45" s="238" t="s">
        <v>1548</v>
      </c>
    </row>
    <row r="46" spans="1:7" s="205" customFormat="1" ht="13.5" customHeight="1">
      <c r="A46" s="733" t="s">
        <v>346</v>
      </c>
      <c r="B46" s="239" t="s">
        <v>1549</v>
      </c>
      <c r="C46" s="240">
        <f ca="1">ROUND((C33+C39)*F27,0)</f>
        <v>39940</v>
      </c>
      <c r="D46" s="254"/>
      <c r="E46" s="227"/>
      <c r="F46" s="237"/>
      <c r="G46" s="238"/>
    </row>
    <row r="47" spans="1:7" s="205" customFormat="1" ht="13.5" customHeight="1">
      <c r="A47" s="733" t="s">
        <v>347</v>
      </c>
      <c r="B47" s="239" t="s">
        <v>1550</v>
      </c>
      <c r="C47" s="229">
        <f ca="1">ROUND(C40*F27,4)</f>
        <v>2.3999999999999998E-3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414839</v>
      </c>
      <c r="D49" s="223"/>
      <c r="E49" s="223"/>
      <c r="F49" s="255"/>
      <c r="G49" s="225" t="s">
        <v>1554</v>
      </c>
    </row>
    <row r="50" spans="1:7" s="249" customFormat="1">
      <c r="A50" s="246" t="s">
        <v>1555</v>
      </c>
      <c r="B50" s="201" t="s">
        <v>1556</v>
      </c>
      <c r="C50" s="223"/>
      <c r="D50" s="223"/>
      <c r="E50" s="223"/>
      <c r="F50" s="255">
        <f>IF('数据-取费表'!B24=0,'数据-取费表'!N16,1)</f>
        <v>0.78</v>
      </c>
      <c r="G50" s="238"/>
    </row>
    <row r="51" spans="1:7" ht="16.5" customHeight="1">
      <c r="A51" s="246" t="s">
        <v>1558</v>
      </c>
      <c r="B51" s="201" t="s">
        <v>1593</v>
      </c>
      <c r="C51" s="223">
        <f ca="1">ROUND(C49*F50,0)</f>
        <v>323574</v>
      </c>
      <c r="D51" s="223"/>
      <c r="E51" s="223"/>
      <c r="F51" s="255"/>
      <c r="G51" s="225" t="s">
        <v>1560</v>
      </c>
    </row>
    <row r="52" spans="1:7" s="199" customFormat="1" ht="16.5" thickBot="1">
      <c r="A52" s="256" t="s">
        <v>1561</v>
      </c>
      <c r="B52" s="257"/>
      <c r="C52" s="258">
        <f ca="1">C31+C51</f>
        <v>362324</v>
      </c>
      <c r="D52" s="257"/>
      <c r="E52" s="257"/>
      <c r="F52" s="257"/>
      <c r="G52" s="259"/>
    </row>
    <row r="55" spans="1:7" ht="15">
      <c r="B55" s="261" t="s">
        <v>1562</v>
      </c>
      <c r="C55" s="262"/>
    </row>
    <row r="56" spans="1:7">
      <c r="B56" s="264" t="s">
        <v>802</v>
      </c>
      <c r="C56" s="266">
        <f ca="1">1-C57</f>
        <v>0.10699999999999998</v>
      </c>
    </row>
    <row r="57" spans="1:7">
      <c r="B57" s="264" t="s">
        <v>803</v>
      </c>
      <c r="C57" s="265">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6</v>
      </c>
      <c r="C2" s="267" t="s">
        <v>1595</v>
      </c>
      <c r="D2" s="267"/>
      <c r="E2" s="2567"/>
      <c r="F2" s="2567"/>
      <c r="G2" s="2567"/>
      <c r="H2" s="2567"/>
      <c r="I2" s="2567"/>
      <c r="J2" s="2567"/>
      <c r="K2" s="2567"/>
    </row>
    <row r="3" spans="1:33" ht="18" customHeight="1" thickBot="1">
      <c r="A3" s="194" t="s">
        <v>1464</v>
      </c>
      <c r="B3" s="195">
        <f ca="1">ROUND(B2*10000/IF(C1="",'数据-汇总表'!E3,INDIRECT("'数据-取费表'!K"&amp;$K$1)),0)</f>
        <v>809</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74.16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74.16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-5.2809999999999997</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v>
      </c>
      <c r="D20" s="795">
        <f ca="1">IF(C1="",'数据-汇总表'!E6,IF(INDIRECT("'数据-取费表'!c"&amp;$K$1)="住宅",INDIRECT("'数据-取费表'!s"&amp;$K$1),INDIRECT("'数据-取费表'!k"&amp;$K$1)+INDIRECT("'数据-取费表'!s"&amp;$K$1)))</f>
        <v>74.16</v>
      </c>
      <c r="E20" s="21">
        <f>'数据-取费表'!B28</f>
        <v>200</v>
      </c>
      <c r="F20" s="755"/>
      <c r="G20" s="12"/>
      <c r="H20" s="760"/>
      <c r="I20" s="760"/>
      <c r="J20" s="760"/>
      <c r="K20" s="761"/>
    </row>
    <row r="21" spans="1:33" s="754" customFormat="1" ht="13.5" customHeight="1">
      <c r="A21" s="743" t="s">
        <v>357</v>
      </c>
      <c r="B21" s="764" t="s">
        <v>1628</v>
      </c>
      <c r="C21" s="765">
        <f ca="1">C16+C17+C18</f>
        <v>-5.2809999999999997</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3.1300000000000001E-2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5" t="s">
        <v>694</v>
      </c>
      <c r="C6" s="1010">
        <f ca="1">ROUND(F6*F8*F7*(1-F9)/10000,0)</f>
        <v>0</v>
      </c>
      <c r="D6" s="146" t="s">
        <v>2109</v>
      </c>
      <c r="E6" s="293" t="s">
        <v>696</v>
      </c>
      <c r="F6" s="294">
        <f ca="1">INDIRECT("'数据-取费表'!u"&amp;$G$1)</f>
        <v>0</v>
      </c>
      <c r="G6" s="1291"/>
      <c r="H6" s="1005" t="s">
        <v>398</v>
      </c>
      <c r="I6" s="3375" t="s">
        <v>694</v>
      </c>
      <c r="J6" s="292">
        <f ca="1">ROUND(M6*M8*M7*(1-M9)/10000,0)</f>
        <v>0</v>
      </c>
      <c r="K6" s="146" t="s">
        <v>2108</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0</v>
      </c>
      <c r="G7" s="1291"/>
      <c r="H7" s="295"/>
      <c r="I7" s="3376"/>
      <c r="J7" s="297"/>
      <c r="K7" s="298"/>
      <c r="L7" s="293" t="s">
        <v>697</v>
      </c>
      <c r="M7" s="294">
        <f ca="1">F7</f>
        <v>0</v>
      </c>
    </row>
    <row r="8" spans="1:37" ht="18" customHeight="1">
      <c r="A8" s="295"/>
      <c r="B8" s="3376"/>
      <c r="C8" s="297"/>
      <c r="D8" s="298"/>
      <c r="E8" s="293" t="s">
        <v>698</v>
      </c>
      <c r="F8" s="294">
        <f ca="1">INDIRECT("'数据-取费表'!ai"&amp;$G$1)</f>
        <v>0</v>
      </c>
      <c r="G8" s="1291"/>
      <c r="H8" s="295"/>
      <c r="I8" s="3376"/>
      <c r="J8" s="297"/>
      <c r="K8" s="298"/>
      <c r="L8" s="293" t="s">
        <v>698</v>
      </c>
      <c r="M8" s="294">
        <f ca="1">INDIRECT("'数据-取费表'!ai"&amp;$G$1)</f>
        <v>0</v>
      </c>
    </row>
    <row r="9" spans="1:37" ht="18" customHeight="1">
      <c r="A9" s="295"/>
      <c r="B9" s="3377"/>
      <c r="C9" s="297"/>
      <c r="D9" s="298"/>
      <c r="E9" s="293" t="s">
        <v>699</v>
      </c>
      <c r="F9" s="303">
        <f ca="1">INDIRECT("'数据-取费表'!w"&amp;$G$1)</f>
        <v>0</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3325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ROUND(C29*F36,2)</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1">
        <f ca="1">ROUND(C13*F37,2)</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3" t="s">
        <v>837</v>
      </c>
      <c r="L53" s="3374"/>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85" zoomScaleNormal="70" zoomScaleSheetLayoutView="85" workbookViewId="0">
      <selection activeCell="J79" sqref="J7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673</v>
      </c>
      <c r="E1" s="3124"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313.63010000000003</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42291</v>
      </c>
      <c r="C3" s="343" t="s">
        <v>1768</v>
      </c>
      <c r="D3" s="342">
        <f>IF(D1="",'数据-汇总表'!E3,SUMIF('数据-汇总表'!$C19:$C33,D1,'数据-汇总表'!$E19:$E33))</f>
        <v>74.16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79" t="s">
        <v>1772</v>
      </c>
      <c r="AC4" s="3393" t="s">
        <v>1773</v>
      </c>
    </row>
    <row r="5" spans="1:29" ht="15">
      <c r="A5" s="347"/>
      <c r="B5" s="348"/>
      <c r="C5" s="3419" t="s">
        <v>1673</v>
      </c>
      <c r="D5" s="3415"/>
      <c r="E5" s="3422" t="s">
        <v>3467</v>
      </c>
      <c r="F5" s="3423"/>
      <c r="G5" s="3414" t="s">
        <v>3467</v>
      </c>
      <c r="H5" s="3415"/>
      <c r="I5" s="3414" t="s">
        <v>3468</v>
      </c>
      <c r="J5" s="3415"/>
      <c r="K5" s="536"/>
      <c r="L5" s="2486"/>
      <c r="M5" s="2487"/>
      <c r="N5" s="2487"/>
      <c r="O5" s="2487"/>
      <c r="P5" s="3402"/>
      <c r="Q5" s="3403"/>
      <c r="R5" s="3408"/>
      <c r="S5" s="3409"/>
      <c r="T5" s="3408"/>
      <c r="U5" s="3409"/>
      <c r="V5" s="3379"/>
      <c r="W5" s="3379"/>
      <c r="X5" s="1264"/>
      <c r="Y5" s="3408"/>
      <c r="Z5" s="3409"/>
      <c r="AA5" s="3394"/>
      <c r="AB5" s="3379"/>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79"/>
      <c r="AC6" s="3395"/>
    </row>
    <row r="7" spans="1:29" s="102" customFormat="1" ht="15.75" thickBot="1">
      <c r="A7" s="351" t="s">
        <v>1679</v>
      </c>
      <c r="B7" s="352"/>
      <c r="C7" s="353">
        <f>'数据-取费表'!B2</f>
        <v>45950</v>
      </c>
      <c r="D7" s="354">
        <v>100</v>
      </c>
      <c r="E7" s="355">
        <f>C7</f>
        <v>45950</v>
      </c>
      <c r="F7" s="356">
        <f>SUMIF(58:58,YEAR(E7)&amp;"-"&amp;MONTH(E7),59:59)</f>
        <v>100</v>
      </c>
      <c r="G7" s="355">
        <f>C7</f>
        <v>45950</v>
      </c>
      <c r="H7" s="354">
        <f>SUMIF(58:58,YEAR(G7)&amp;"-"&amp;MONTH(G7),59:59)</f>
        <v>100</v>
      </c>
      <c r="I7" s="355">
        <f>C7</f>
        <v>45950</v>
      </c>
      <c r="J7" s="354">
        <f>SUMIF(58:58,YEAR(I7)&amp;"-"&amp;MONTH(I7),59:59)</f>
        <v>100</v>
      </c>
      <c r="K7" s="38"/>
      <c r="L7" s="2488"/>
      <c r="M7" s="2439"/>
      <c r="N7" s="2439"/>
      <c r="O7" s="2439"/>
      <c r="P7" s="3416" t="s">
        <v>1680</v>
      </c>
      <c r="Q7" s="3418"/>
      <c r="R7" s="663" t="s">
        <v>14</v>
      </c>
      <c r="S7" s="664">
        <f t="shared" ref="S7:S15" si="0">F7</f>
        <v>100</v>
      </c>
      <c r="T7" s="663" t="s">
        <v>14</v>
      </c>
      <c r="U7" s="664">
        <f t="shared" ref="U7:U15" si="1">H7</f>
        <v>100</v>
      </c>
      <c r="V7" s="663" t="s">
        <v>14</v>
      </c>
      <c r="W7" s="664">
        <f t="shared" ref="W7:W15" si="2">J7</f>
        <v>100</v>
      </c>
      <c r="X7" s="665"/>
      <c r="Y7" s="3416" t="s">
        <v>1680</v>
      </c>
      <c r="Z7" s="3417"/>
      <c r="AA7" s="50">
        <f>D7/F7</f>
        <v>1</v>
      </c>
      <c r="AB7" s="50">
        <f>D7/H7</f>
        <v>1</v>
      </c>
      <c r="AC7" s="50">
        <f>D7/J7</f>
        <v>1</v>
      </c>
    </row>
    <row r="8" spans="1:29" s="102" customFormat="1" ht="15.75" thickBot="1">
      <c r="A8" s="351" t="s">
        <v>1681</v>
      </c>
      <c r="B8" s="352"/>
      <c r="C8" s="357" t="s">
        <v>3471</v>
      </c>
      <c r="D8" s="354">
        <v>100</v>
      </c>
      <c r="E8" s="357" t="s">
        <v>3472</v>
      </c>
      <c r="F8" s="356">
        <f>SUMIF(61:61,E8,62:62)-SUMIF(61:61,C8,62:62)+100</f>
        <v>105</v>
      </c>
      <c r="G8" s="357" t="s">
        <v>3472</v>
      </c>
      <c r="H8" s="354">
        <f>SUMIF(61:61,G8,62:62)-SUMIF(61:61,C8,62:62)+100</f>
        <v>105</v>
      </c>
      <c r="I8" s="357" t="s">
        <v>3472</v>
      </c>
      <c r="J8" s="354">
        <f>SUMIF(61:61,I8,62:62)-SUMIF(61:61,C8,62:62)+100</f>
        <v>105</v>
      </c>
      <c r="K8" s="38"/>
      <c r="L8" s="2488"/>
      <c r="M8" s="2439"/>
      <c r="N8" s="2439"/>
      <c r="O8" s="2439"/>
      <c r="P8" s="3416" t="s">
        <v>1683</v>
      </c>
      <c r="Q8" s="3417"/>
      <c r="R8" s="663" t="s">
        <v>14</v>
      </c>
      <c r="S8" s="664">
        <f t="shared" si="0"/>
        <v>105</v>
      </c>
      <c r="T8" s="663" t="s">
        <v>14</v>
      </c>
      <c r="U8" s="664">
        <f t="shared" si="1"/>
        <v>105</v>
      </c>
      <c r="V8" s="663" t="s">
        <v>14</v>
      </c>
      <c r="W8" s="664">
        <f t="shared" si="2"/>
        <v>105</v>
      </c>
      <c r="X8" s="665"/>
      <c r="Y8" s="3416" t="s">
        <v>1683</v>
      </c>
      <c r="Z8" s="3417"/>
      <c r="AA8" s="50">
        <f t="shared" ref="AA8:AA46" si="3">D8/F8</f>
        <v>0.95238095238095233</v>
      </c>
      <c r="AB8" s="50">
        <f t="shared" ref="AB8:AB46" si="4">D8/H8</f>
        <v>0.95238095238095233</v>
      </c>
      <c r="AC8" s="50">
        <f t="shared" ref="AC8:AC46" si="5">D8/J8</f>
        <v>0.95238095238095233</v>
      </c>
    </row>
    <row r="9" spans="1:29" s="102" customFormat="1">
      <c r="A9" s="358" t="s">
        <v>1684</v>
      </c>
      <c r="B9" s="60" t="s">
        <v>1685</v>
      </c>
      <c r="C9" s="3186" t="s">
        <v>3473</v>
      </c>
      <c r="D9" s="59">
        <v>100</v>
      </c>
      <c r="E9" s="360" t="s">
        <v>673</v>
      </c>
      <c r="F9" s="60">
        <f>SUMIF(63:63,E9,64:64)-SUMIF(63:63,C9,64:64)+100</f>
        <v>100</v>
      </c>
      <c r="G9" s="360" t="s">
        <v>673</v>
      </c>
      <c r="H9" s="59">
        <f>SUMIF(63:63,G9,64:64)-SUMIF(63:63,C9,64:64)+100</f>
        <v>100</v>
      </c>
      <c r="I9" s="360" t="s">
        <v>673</v>
      </c>
      <c r="J9" s="59">
        <f>SUMIF(63:63,I9,64:64)-SUMIF(63:63,C9,64:64)+100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383" t="s">
        <v>1691</v>
      </c>
      <c r="Q15" s="1262" t="str">
        <f t="shared" si="6"/>
        <v>商业繁华度</v>
      </c>
      <c r="R15" s="666" t="s">
        <v>14</v>
      </c>
      <c r="S15" s="667">
        <f t="shared" si="0"/>
        <v>100</v>
      </c>
      <c r="T15" s="666" t="s">
        <v>14</v>
      </c>
      <c r="U15" s="667">
        <f t="shared" si="1"/>
        <v>100</v>
      </c>
      <c r="V15" s="666" t="s">
        <v>14</v>
      </c>
      <c r="W15" s="667">
        <f t="shared" si="2"/>
        <v>100</v>
      </c>
      <c r="X15" s="1264"/>
      <c r="Y15" s="3385"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102</v>
      </c>
      <c r="K17" s="539">
        <v>2</v>
      </c>
      <c r="L17" s="2492"/>
      <c r="M17" s="2487"/>
      <c r="N17" s="2487"/>
      <c r="O17" s="2487"/>
      <c r="P17" s="3384"/>
      <c r="Q17" s="1262" t="str">
        <f>B17</f>
        <v>交通便捷度</v>
      </c>
      <c r="R17" s="666" t="s">
        <v>14</v>
      </c>
      <c r="S17" s="667">
        <f>F17</f>
        <v>100</v>
      </c>
      <c r="T17" s="666" t="s">
        <v>14</v>
      </c>
      <c r="U17" s="667">
        <f>H17</f>
        <v>100</v>
      </c>
      <c r="V17" s="666" t="s">
        <v>14</v>
      </c>
      <c r="W17" s="667">
        <f>J17</f>
        <v>102</v>
      </c>
      <c r="X17" s="1264"/>
      <c r="Y17" s="3386"/>
      <c r="Z17" s="1263" t="str">
        <f>Q17</f>
        <v>交通便捷度</v>
      </c>
      <c r="AA17" s="1263">
        <f t="shared" si="3"/>
        <v>1</v>
      </c>
      <c r="AB17" s="1263">
        <f t="shared" si="4"/>
        <v>1</v>
      </c>
      <c r="AC17" s="1263">
        <f t="shared" si="5"/>
        <v>0.98039215686274506</v>
      </c>
    </row>
    <row r="18" spans="1:29" ht="15">
      <c r="A18" s="366"/>
      <c r="B18" s="394"/>
      <c r="C18" s="1754" t="s">
        <v>3440</v>
      </c>
      <c r="D18" s="388"/>
      <c r="E18" s="1756" t="s">
        <v>3440</v>
      </c>
      <c r="F18" s="391"/>
      <c r="G18" s="1755" t="s">
        <v>3440</v>
      </c>
      <c r="H18" s="386"/>
      <c r="I18" s="1756" t="s">
        <v>3439</v>
      </c>
      <c r="J18" s="386"/>
      <c r="K18" s="540"/>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384"/>
      <c r="Q23" s="1262" t="str">
        <f>B23</f>
        <v>自然及人文环境</v>
      </c>
      <c r="R23" s="666" t="s">
        <v>14</v>
      </c>
      <c r="S23" s="667">
        <f>F23</f>
        <v>100</v>
      </c>
      <c r="T23" s="666" t="s">
        <v>14</v>
      </c>
      <c r="U23" s="667">
        <f>H23</f>
        <v>100</v>
      </c>
      <c r="V23" s="666" t="s">
        <v>14</v>
      </c>
      <c r="W23" s="667">
        <f>J23</f>
        <v>100</v>
      </c>
      <c r="X23" s="1264"/>
      <c r="Y23" s="3386"/>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384"/>
      <c r="Q25" s="1262" t="str">
        <f t="shared" ref="Q25:Q46" si="11">B25</f>
        <v>临街状况</v>
      </c>
      <c r="R25" s="666" t="s">
        <v>14</v>
      </c>
      <c r="S25" s="667">
        <f>F25</f>
        <v>100</v>
      </c>
      <c r="T25" s="666" t="s">
        <v>14</v>
      </c>
      <c r="U25" s="667">
        <f>H25</f>
        <v>100</v>
      </c>
      <c r="V25" s="666" t="s">
        <v>14</v>
      </c>
      <c r="W25" s="667">
        <f>J25</f>
        <v>100</v>
      </c>
      <c r="X25" s="1264"/>
      <c r="Y25" s="3386"/>
      <c r="Z25" s="1263" t="str">
        <f>Q25</f>
        <v>临街状况</v>
      </c>
      <c r="AA25" s="1263">
        <f t="shared" si="3"/>
        <v>1</v>
      </c>
      <c r="AB25" s="1263">
        <f t="shared" si="4"/>
        <v>1</v>
      </c>
      <c r="AC25" s="1263">
        <f t="shared" si="5"/>
        <v>1</v>
      </c>
    </row>
    <row r="26" spans="1:29" ht="15">
      <c r="A26" s="366"/>
      <c r="B26" s="1065" t="s">
        <v>1781</v>
      </c>
      <c r="C26" s="3187" t="s">
        <v>3479</v>
      </c>
      <c r="D26" s="373">
        <v>100</v>
      </c>
      <c r="E26" s="3187" t="s">
        <v>3478</v>
      </c>
      <c r="F26" s="399">
        <f>SUMIF(88:88,E26,89:89)-SUMIF(88:88,C26,89:89)+100</f>
        <v>115</v>
      </c>
      <c r="G26" s="3187" t="s">
        <v>3478</v>
      </c>
      <c r="H26" s="373">
        <f>SUMIF(88:88,G26,89:89)-SUMIF(88:88,C26,89:89)+100</f>
        <v>115</v>
      </c>
      <c r="I26" s="3187" t="s">
        <v>3478</v>
      </c>
      <c r="J26" s="373">
        <f>SUMIF(88:88,I26,89:89)-SUMIF(88:88,C26,89:89)+100</f>
        <v>115</v>
      </c>
      <c r="K26" s="538"/>
      <c r="L26" s="2492"/>
      <c r="M26" s="2487"/>
      <c r="N26" s="2487"/>
      <c r="O26" s="2487"/>
      <c r="P26" s="3384"/>
      <c r="Q26" s="1262" t="str">
        <f t="shared" si="11"/>
        <v>平面位置/可视性</v>
      </c>
      <c r="R26" s="666" t="s">
        <v>14</v>
      </c>
      <c r="S26" s="667">
        <f>F26</f>
        <v>115</v>
      </c>
      <c r="T26" s="666" t="s">
        <v>14</v>
      </c>
      <c r="U26" s="667">
        <f>H26</f>
        <v>115</v>
      </c>
      <c r="V26" s="666" t="s">
        <v>14</v>
      </c>
      <c r="W26" s="667">
        <f>J26</f>
        <v>115</v>
      </c>
      <c r="X26" s="1264"/>
      <c r="Y26" s="3386"/>
      <c r="Z26" s="1263" t="str">
        <f>Q26</f>
        <v>平面位置/可视性</v>
      </c>
      <c r="AA26" s="1263">
        <f t="shared" si="3"/>
        <v>0.86956521739130432</v>
      </c>
      <c r="AB26" s="1263">
        <f t="shared" si="4"/>
        <v>0.86956521739130432</v>
      </c>
      <c r="AC26" s="1263">
        <f t="shared" si="5"/>
        <v>0.86956521739130432</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384"/>
      <c r="Q27" s="529" t="str">
        <f t="shared" si="11"/>
        <v>人流量</v>
      </c>
      <c r="R27" s="663" t="s">
        <v>14</v>
      </c>
      <c r="S27" s="664">
        <f>F27</f>
        <v>100</v>
      </c>
      <c r="T27" s="663" t="s">
        <v>14</v>
      </c>
      <c r="U27" s="664">
        <f>H27</f>
        <v>100</v>
      </c>
      <c r="V27" s="663" t="s">
        <v>14</v>
      </c>
      <c r="W27" s="664">
        <f>J27</f>
        <v>100</v>
      </c>
      <c r="X27" s="665"/>
      <c r="Y27" s="3386"/>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38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6"/>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384"/>
      <c r="Q29" s="1262">
        <f t="shared" si="11"/>
        <v>111</v>
      </c>
      <c r="R29" s="666" t="s">
        <v>14</v>
      </c>
      <c r="S29" s="667">
        <f t="shared" si="12"/>
        <v>100</v>
      </c>
      <c r="T29" s="666" t="s">
        <v>14</v>
      </c>
      <c r="U29" s="667">
        <f t="shared" si="13"/>
        <v>100</v>
      </c>
      <c r="V29" s="666" t="s">
        <v>14</v>
      </c>
      <c r="W29" s="667">
        <f t="shared" si="14"/>
        <v>100</v>
      </c>
      <c r="X29" s="1264"/>
      <c r="Y29" s="3386"/>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387" t="s">
        <v>1696</v>
      </c>
      <c r="Q32" s="1262" t="str">
        <f t="shared" si="11"/>
        <v>商业类型</v>
      </c>
      <c r="R32" s="666" t="s">
        <v>14</v>
      </c>
      <c r="S32" s="667">
        <f t="shared" si="12"/>
        <v>100</v>
      </c>
      <c r="T32" s="666" t="s">
        <v>14</v>
      </c>
      <c r="U32" s="667">
        <f t="shared" si="13"/>
        <v>100</v>
      </c>
      <c r="V32" s="666" t="s">
        <v>14</v>
      </c>
      <c r="W32" s="667">
        <f t="shared" si="14"/>
        <v>100</v>
      </c>
      <c r="X32" s="1264"/>
      <c r="Y32" s="3390" t="s">
        <v>1696</v>
      </c>
      <c r="Z32" s="1263" t="str">
        <f t="shared" si="15"/>
        <v>商业类型</v>
      </c>
      <c r="AA32" s="1263">
        <f t="shared" si="3"/>
        <v>1</v>
      </c>
      <c r="AB32" s="1263">
        <f t="shared" si="4"/>
        <v>1</v>
      </c>
      <c r="AC32" s="1263">
        <f t="shared" si="5"/>
        <v>1</v>
      </c>
    </row>
    <row r="33" spans="1:29" s="407" customFormat="1" ht="15">
      <c r="A33" s="405"/>
      <c r="B33" s="363" t="s">
        <v>1697</v>
      </c>
      <c r="C33" s="406">
        <f>'数据-汇总表'!F19</f>
        <v>74.16</v>
      </c>
      <c r="D33" s="118">
        <v>100</v>
      </c>
      <c r="E33" s="368">
        <v>60.67</v>
      </c>
      <c r="F33" s="363">
        <f>LOOKUP(E33,103:103,104:104)-LOOKUP(C33,103:103,104:104)+100</f>
        <v>100</v>
      </c>
      <c r="G33" s="367">
        <v>132.02000000000001</v>
      </c>
      <c r="H33" s="118">
        <f>LOOKUP(G33,103:103,104:104)-LOOKUP(C33,103:103,104:104)+100</f>
        <v>100</v>
      </c>
      <c r="I33" s="367">
        <v>99.68</v>
      </c>
      <c r="J33" s="118">
        <f>LOOKUP(I33,103:103,104:104)-LOOKUP(C33,103:103,104:104)+100</f>
        <v>100</v>
      </c>
      <c r="K33" s="538"/>
      <c r="L33" s="2491"/>
      <c r="M33" s="2493"/>
      <c r="N33" s="2493"/>
      <c r="O33" s="2493"/>
      <c r="P33" s="3388"/>
      <c r="Q33" s="530" t="str">
        <f t="shared" si="11"/>
        <v>项目建筑规模</v>
      </c>
      <c r="R33" s="668" t="s">
        <v>14</v>
      </c>
      <c r="S33" s="669">
        <f t="shared" si="12"/>
        <v>100</v>
      </c>
      <c r="T33" s="668" t="s">
        <v>14</v>
      </c>
      <c r="U33" s="669">
        <f t="shared" si="13"/>
        <v>100</v>
      </c>
      <c r="V33" s="668" t="s">
        <v>14</v>
      </c>
      <c r="W33" s="669">
        <f t="shared" si="14"/>
        <v>100</v>
      </c>
      <c r="X33" s="670"/>
      <c r="Y33" s="3390"/>
      <c r="Z33" s="671" t="str">
        <f t="shared" si="15"/>
        <v>项目建筑规模</v>
      </c>
      <c r="AA33" s="1263">
        <f t="shared" si="3"/>
        <v>1</v>
      </c>
      <c r="AB33" s="1263">
        <f t="shared" si="4"/>
        <v>1</v>
      </c>
      <c r="AC33" s="1263">
        <f t="shared" si="5"/>
        <v>1</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388"/>
      <c r="Q34" s="1262" t="str">
        <f t="shared" si="11"/>
        <v>建筑结构</v>
      </c>
      <c r="R34" s="666" t="s">
        <v>14</v>
      </c>
      <c r="S34" s="667">
        <f t="shared" si="12"/>
        <v>100</v>
      </c>
      <c r="T34" s="666" t="s">
        <v>14</v>
      </c>
      <c r="U34" s="667">
        <f t="shared" si="13"/>
        <v>100</v>
      </c>
      <c r="V34" s="666" t="s">
        <v>14</v>
      </c>
      <c r="W34" s="667">
        <f t="shared" si="14"/>
        <v>100</v>
      </c>
      <c r="X34" s="1264"/>
      <c r="Y34" s="3390"/>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388"/>
      <c r="Q35" s="1262" t="str">
        <f t="shared" si="11"/>
        <v>公共部分装修</v>
      </c>
      <c r="R35" s="666" t="s">
        <v>14</v>
      </c>
      <c r="S35" s="667">
        <f t="shared" si="12"/>
        <v>100</v>
      </c>
      <c r="T35" s="666" t="s">
        <v>14</v>
      </c>
      <c r="U35" s="667">
        <f t="shared" si="13"/>
        <v>100</v>
      </c>
      <c r="V35" s="666" t="s">
        <v>14</v>
      </c>
      <c r="W35" s="667">
        <f t="shared" si="14"/>
        <v>100</v>
      </c>
      <c r="X35" s="1264"/>
      <c r="Y35" s="3390"/>
      <c r="Z35" s="1263" t="str">
        <f t="shared" si="15"/>
        <v>公共部分装修</v>
      </c>
      <c r="AA35" s="1263">
        <f t="shared" si="3"/>
        <v>1</v>
      </c>
      <c r="AB35" s="1263">
        <f t="shared" si="4"/>
        <v>1</v>
      </c>
      <c r="AC35" s="1263">
        <f t="shared" si="5"/>
        <v>1</v>
      </c>
    </row>
    <row r="36" spans="1:29" ht="15">
      <c r="A36" s="408"/>
      <c r="B36" s="363" t="s">
        <v>1786</v>
      </c>
      <c r="C36" s="410">
        <v>1</v>
      </c>
      <c r="D36" s="373">
        <v>100</v>
      </c>
      <c r="E36" s="410">
        <v>1</v>
      </c>
      <c r="F36" s="399">
        <f>LOOKUP(E36,110:110,111:111)-LOOKUP(C36,110:110,111:111)+100</f>
        <v>100</v>
      </c>
      <c r="G36" s="410">
        <v>1</v>
      </c>
      <c r="H36" s="399">
        <f>LOOKUP(G36,110:110,111:111)-LOOKUP(C36,110:110,111:111)+100</f>
        <v>100</v>
      </c>
      <c r="I36" s="410">
        <v>1</v>
      </c>
      <c r="J36" s="373">
        <f>LOOKUP(I36,110:110,111:111)-LOOKUP(C36,110:110,111:111)+100</f>
        <v>100</v>
      </c>
      <c r="K36" s="537"/>
      <c r="L36" s="2492"/>
      <c r="M36" s="2487"/>
      <c r="N36" s="2487"/>
      <c r="O36" s="2487"/>
      <c r="P36" s="3388"/>
      <c r="Q36" s="1262" t="str">
        <f t="shared" si="11"/>
        <v>成新度</v>
      </c>
      <c r="R36" s="666" t="s">
        <v>14</v>
      </c>
      <c r="S36" s="667">
        <f t="shared" si="12"/>
        <v>100</v>
      </c>
      <c r="T36" s="666" t="s">
        <v>14</v>
      </c>
      <c r="U36" s="667">
        <f t="shared" si="13"/>
        <v>100</v>
      </c>
      <c r="V36" s="666" t="s">
        <v>14</v>
      </c>
      <c r="W36" s="667">
        <f t="shared" si="14"/>
        <v>100</v>
      </c>
      <c r="X36" s="1264"/>
      <c r="Y36" s="3390"/>
      <c r="Z36" s="1263" t="str">
        <f t="shared" si="15"/>
        <v>成新度</v>
      </c>
      <c r="AA36" s="1263">
        <f t="shared" si="3"/>
        <v>1</v>
      </c>
      <c r="AB36" s="1263">
        <f t="shared" si="4"/>
        <v>1</v>
      </c>
      <c r="AC36" s="1263">
        <f t="shared" si="5"/>
        <v>1</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388"/>
      <c r="Q37" s="529" t="str">
        <f t="shared" si="11"/>
        <v>市政基础设施</v>
      </c>
      <c r="R37" s="663" t="s">
        <v>14</v>
      </c>
      <c r="S37" s="664">
        <f t="shared" si="12"/>
        <v>100</v>
      </c>
      <c r="T37" s="663" t="s">
        <v>14</v>
      </c>
      <c r="U37" s="664">
        <f t="shared" si="13"/>
        <v>100</v>
      </c>
      <c r="V37" s="663" t="s">
        <v>14</v>
      </c>
      <c r="W37" s="664">
        <f t="shared" si="14"/>
        <v>100</v>
      </c>
      <c r="X37" s="665"/>
      <c r="Y37" s="3390"/>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388" t="s">
        <v>1696</v>
      </c>
      <c r="Q38" s="1262" t="str">
        <f t="shared" si="11"/>
        <v>业态</v>
      </c>
      <c r="R38" s="666" t="s">
        <v>14</v>
      </c>
      <c r="S38" s="667">
        <f t="shared" si="12"/>
        <v>100</v>
      </c>
      <c r="T38" s="666" t="s">
        <v>14</v>
      </c>
      <c r="U38" s="667">
        <f t="shared" si="13"/>
        <v>100</v>
      </c>
      <c r="V38" s="666" t="s">
        <v>14</v>
      </c>
      <c r="W38" s="667">
        <f t="shared" si="14"/>
        <v>100</v>
      </c>
      <c r="X38" s="1264"/>
      <c r="Y38" s="3390"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388"/>
      <c r="Q39" s="1262" t="str">
        <f t="shared" si="11"/>
        <v>层高</v>
      </c>
      <c r="R39" s="666" t="s">
        <v>14</v>
      </c>
      <c r="S39" s="667">
        <f t="shared" si="12"/>
        <v>100</v>
      </c>
      <c r="T39" s="666" t="s">
        <v>14</v>
      </c>
      <c r="U39" s="667">
        <f t="shared" si="13"/>
        <v>100</v>
      </c>
      <c r="V39" s="666" t="s">
        <v>14</v>
      </c>
      <c r="W39" s="667">
        <f t="shared" si="14"/>
        <v>100</v>
      </c>
      <c r="X39" s="1264"/>
      <c r="Y39" s="3390"/>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388"/>
      <c r="Q40" s="1262" t="str">
        <f t="shared" si="11"/>
        <v>单套建筑面积</v>
      </c>
      <c r="R40" s="666" t="s">
        <v>14</v>
      </c>
      <c r="S40" s="667">
        <f t="shared" si="12"/>
        <v>100</v>
      </c>
      <c r="T40" s="666" t="s">
        <v>14</v>
      </c>
      <c r="U40" s="667">
        <f t="shared" si="13"/>
        <v>100</v>
      </c>
      <c r="V40" s="666" t="s">
        <v>14</v>
      </c>
      <c r="W40" s="667">
        <f t="shared" si="14"/>
        <v>100</v>
      </c>
      <c r="X40" s="1264"/>
      <c r="Y40" s="3390"/>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388"/>
      <c r="Q41" s="530" t="str">
        <f t="shared" si="11"/>
        <v>进深比</v>
      </c>
      <c r="R41" s="668" t="s">
        <v>14</v>
      </c>
      <c r="S41" s="669">
        <f t="shared" si="12"/>
        <v>100</v>
      </c>
      <c r="T41" s="668" t="s">
        <v>14</v>
      </c>
      <c r="U41" s="669">
        <f t="shared" si="13"/>
        <v>100</v>
      </c>
      <c r="V41" s="668" t="s">
        <v>14</v>
      </c>
      <c r="W41" s="669">
        <f t="shared" si="14"/>
        <v>100</v>
      </c>
      <c r="X41" s="670"/>
      <c r="Y41" s="3390"/>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388"/>
      <c r="Q42" s="1262" t="str">
        <f t="shared" si="11"/>
        <v>内部装修</v>
      </c>
      <c r="R42" s="666" t="s">
        <v>14</v>
      </c>
      <c r="S42" s="667">
        <f t="shared" si="12"/>
        <v>100</v>
      </c>
      <c r="T42" s="666" t="s">
        <v>14</v>
      </c>
      <c r="U42" s="667">
        <f t="shared" si="13"/>
        <v>100</v>
      </c>
      <c r="V42" s="666" t="s">
        <v>14</v>
      </c>
      <c r="W42" s="667">
        <f t="shared" si="14"/>
        <v>100</v>
      </c>
      <c r="X42" s="1264"/>
      <c r="Y42" s="3390"/>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388"/>
      <c r="Q43" s="1262" t="str">
        <f t="shared" si="11"/>
        <v>内部装修维护情况</v>
      </c>
      <c r="R43" s="666" t="s">
        <v>14</v>
      </c>
      <c r="S43" s="667">
        <f t="shared" si="12"/>
        <v>100</v>
      </c>
      <c r="T43" s="666" t="s">
        <v>14</v>
      </c>
      <c r="U43" s="667">
        <f t="shared" si="13"/>
        <v>100</v>
      </c>
      <c r="V43" s="666" t="s">
        <v>14</v>
      </c>
      <c r="W43" s="667">
        <f t="shared" si="14"/>
        <v>100</v>
      </c>
      <c r="X43" s="1264"/>
      <c r="Y43" s="3390"/>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388"/>
      <c r="Q44" s="529">
        <f t="shared" si="11"/>
        <v>111</v>
      </c>
      <c r="R44" s="663" t="s">
        <v>14</v>
      </c>
      <c r="S44" s="664">
        <f t="shared" si="12"/>
        <v>100</v>
      </c>
      <c r="T44" s="663" t="s">
        <v>14</v>
      </c>
      <c r="U44" s="664">
        <f t="shared" si="13"/>
        <v>100</v>
      </c>
      <c r="V44" s="663" t="s">
        <v>14</v>
      </c>
      <c r="W44" s="664">
        <f t="shared" si="14"/>
        <v>100</v>
      </c>
      <c r="X44" s="665"/>
      <c r="Y44" s="3390"/>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388"/>
      <c r="Q45" s="1262">
        <f t="shared" si="11"/>
        <v>111</v>
      </c>
      <c r="R45" s="666" t="s">
        <v>14</v>
      </c>
      <c r="S45" s="667">
        <f t="shared" si="12"/>
        <v>100</v>
      </c>
      <c r="T45" s="666" t="s">
        <v>14</v>
      </c>
      <c r="U45" s="667">
        <f t="shared" si="13"/>
        <v>100</v>
      </c>
      <c r="V45" s="666" t="s">
        <v>14</v>
      </c>
      <c r="W45" s="667">
        <f t="shared" si="14"/>
        <v>100</v>
      </c>
      <c r="X45" s="1264"/>
      <c r="Y45" s="3390"/>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389"/>
      <c r="Q46" s="1262">
        <f t="shared" si="11"/>
        <v>111</v>
      </c>
      <c r="R46" s="666" t="s">
        <v>14</v>
      </c>
      <c r="S46" s="667">
        <f t="shared" si="12"/>
        <v>100</v>
      </c>
      <c r="T46" s="666" t="s">
        <v>14</v>
      </c>
      <c r="U46" s="667">
        <f t="shared" si="13"/>
        <v>100</v>
      </c>
      <c r="V46" s="666" t="s">
        <v>14</v>
      </c>
      <c r="W46" s="667">
        <f t="shared" si="14"/>
        <v>100</v>
      </c>
      <c r="X46" s="1264"/>
      <c r="Y46" s="3391"/>
      <c r="Z46" s="1263">
        <f t="shared" si="15"/>
        <v>111</v>
      </c>
      <c r="AA46" s="1263">
        <f t="shared" si="3"/>
        <v>1</v>
      </c>
      <c r="AB46" s="1263">
        <f t="shared" si="4"/>
        <v>1</v>
      </c>
      <c r="AC46" s="1263">
        <f t="shared" si="5"/>
        <v>1</v>
      </c>
    </row>
    <row r="47" spans="1:29" ht="15">
      <c r="A47" s="415" t="s">
        <v>1708</v>
      </c>
      <c r="B47" s="416"/>
      <c r="C47" s="1080" t="s">
        <v>0</v>
      </c>
      <c r="D47" s="417"/>
      <c r="E47" s="418">
        <v>48130</v>
      </c>
      <c r="F47" s="419"/>
      <c r="G47" s="420">
        <v>48024</v>
      </c>
      <c r="H47" s="421"/>
      <c r="I47" s="418">
        <v>58187</v>
      </c>
      <c r="J47" s="421"/>
      <c r="K47" s="673"/>
      <c r="L47" s="2494"/>
      <c r="M47" s="2487"/>
      <c r="N47" s="2487"/>
      <c r="O47" s="2487"/>
      <c r="P47" s="3378" t="str">
        <f>A47</f>
        <v>成交单价（元/平方米）</v>
      </c>
      <c r="Q47" s="3378"/>
      <c r="R47" s="3379">
        <f>E47</f>
        <v>48130</v>
      </c>
      <c r="S47" s="3379"/>
      <c r="T47" s="3379">
        <f>G47</f>
        <v>48024</v>
      </c>
      <c r="U47" s="3379"/>
      <c r="V47" s="3379">
        <f>I47</f>
        <v>58187</v>
      </c>
      <c r="W47" s="3379"/>
      <c r="X47" s="384"/>
      <c r="Y47" s="672"/>
      <c r="Z47" s="384"/>
      <c r="AA47" s="384"/>
      <c r="AB47" s="384"/>
      <c r="AC47" s="384"/>
    </row>
    <row r="48" spans="1:29" ht="15.75" thickBot="1">
      <c r="A48" s="422" t="s">
        <v>1793</v>
      </c>
      <c r="B48" s="423"/>
      <c r="C48" s="1081">
        <f>R49</f>
        <v>42291</v>
      </c>
      <c r="D48" s="2140" t="s">
        <v>2138</v>
      </c>
      <c r="E48" s="1082">
        <f>R48</f>
        <v>39859</v>
      </c>
      <c r="F48" s="2141"/>
      <c r="G48" s="1081">
        <f>T48</f>
        <v>39771</v>
      </c>
      <c r="H48" s="2141"/>
      <c r="I48" s="1082">
        <f>V48</f>
        <v>47243</v>
      </c>
      <c r="J48" s="2141"/>
      <c r="K48" s="2143">
        <f>F48+H48+J48</f>
        <v>0</v>
      </c>
      <c r="L48" s="2494"/>
      <c r="M48" s="2487"/>
      <c r="N48" s="2487"/>
      <c r="O48" s="2487"/>
      <c r="P48" s="3378" t="str">
        <f>A48</f>
        <v>比较价值（元/平方米）</v>
      </c>
      <c r="Q48" s="3378"/>
      <c r="R48" s="3379">
        <f>IF(F1="售价",ROUND(PRODUCT(R47,AA7:AA46),0),ROUND(PRODUCT(R47,AA7:AA46),1))</f>
        <v>39859</v>
      </c>
      <c r="S48" s="3379"/>
      <c r="T48" s="3379">
        <f>IF(F1="售价",ROUND(PRODUCT(T47,AB7:AB46),0),ROUND(PRODUCT(T47,AB7:AB46),1))</f>
        <v>39771</v>
      </c>
      <c r="U48" s="3379"/>
      <c r="V48" s="3379">
        <f>IF(F1="售价",ROUND(PRODUCT(V47,AC7:AC46),0),ROUND(PRODUCT(V47,AC7:AC46),1))</f>
        <v>47243</v>
      </c>
      <c r="W48" s="3379"/>
      <c r="X48" s="384"/>
      <c r="Y48" s="384"/>
      <c r="Z48" s="384"/>
      <c r="AA48" s="384"/>
      <c r="AB48" s="384"/>
      <c r="AC48" s="384"/>
    </row>
    <row r="49" spans="1:29" ht="15.75" thickBot="1">
      <c r="A49" s="426" t="s">
        <v>1794</v>
      </c>
      <c r="B49" s="427"/>
      <c r="C49" s="350">
        <f>R49</f>
        <v>42291</v>
      </c>
      <c r="D49" s="350"/>
      <c r="E49" s="350"/>
      <c r="F49" s="350"/>
      <c r="G49" s="350"/>
      <c r="H49" s="350"/>
      <c r="I49" s="350"/>
      <c r="J49" s="350"/>
      <c r="K49" s="674"/>
      <c r="L49" s="2494"/>
      <c r="M49" s="2487"/>
      <c r="N49" s="2487"/>
      <c r="O49" s="2487"/>
      <c r="P49" s="3380" t="str">
        <f>A49</f>
        <v>估价对象XX用房的比较价值（楼面单价，元/平方米）</v>
      </c>
      <c r="Q49" s="3381"/>
      <c r="R49" s="3382">
        <f>IF(F1="售价",ROUND(IF(D48="简单平均",AVERAGE(R48:V48),R48*F48+T48*H48+V48*J48),0),ROUND(IF(D48="简单平均",AVERAGE(R48:V48),R48*F48+T48*H48+V48*J48),1))</f>
        <v>42291</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f>IF(E47&lt;E48,E48/E47-1,E47/E48-1)</f>
        <v>0.20750646027246034</v>
      </c>
      <c r="F52" s="434" t="str">
        <f>IF(OR(E52&gt;=0.3,E52&lt;=-0.3),"超过30%","")</f>
        <v/>
      </c>
      <c r="G52" s="433">
        <f>IF(G47&lt;G48,G48/G47-1,G47/G48-1)</f>
        <v>0.20751301199366368</v>
      </c>
      <c r="H52" s="434" t="str">
        <f>IF(OR(G52&gt;=0.3,G52&lt;=-0.3),"超过30%","")</f>
        <v/>
      </c>
      <c r="I52" s="433">
        <f>IF(I47&lt;I48,I48/I47-1,I47/I48-1)</f>
        <v>0.23165336663632718</v>
      </c>
      <c r="J52" s="434"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f>IF(E48&lt;G48,G48/E48-1,E48/G48-1)</f>
        <v>2.2126675215610181E-3</v>
      </c>
      <c r="F53" s="434" t="str">
        <f>IF(OR(E53&gt;=0.2,E53&lt;=-0.2),"超过20%","")</f>
        <v/>
      </c>
      <c r="G53" s="433">
        <f>IF(G48&lt;I48,I48/G48-1,G48/I48-1)</f>
        <v>0.18787558773981039</v>
      </c>
      <c r="H53" s="434" t="str">
        <f>IF(OR(G53&gt;=0.2,G53&lt;=-0.2),"超过20%","")</f>
        <v/>
      </c>
      <c r="I53" s="433">
        <f>IF(I48&lt;E48,E48/I48-1,I48/E48-1)</f>
        <v>0.1852530168845179</v>
      </c>
      <c r="J53" s="434"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f>IF(E47&lt;G47,G47/E47-1,E47/G47-1)</f>
        <v>2.2072297184740908E-3</v>
      </c>
      <c r="F54" s="434" t="str">
        <f>IF(OR(E54&gt;=0.3,E54&lt;=-0.3),"超过30%","")</f>
        <v/>
      </c>
      <c r="G54" s="433">
        <f>IF(G47&lt;I47,I47/G47-1,G47/I47-1)</f>
        <v>0.21162335498917217</v>
      </c>
      <c r="H54" s="434" t="str">
        <f>IF(OR(G54&gt;=0.3,G54&lt;=-0.3),"超过30%","")</f>
        <v/>
      </c>
      <c r="I54" s="433">
        <f>IF(I47&lt;E47,E47/I47-1,I47/E47-1)</f>
        <v>0.20895491377519226</v>
      </c>
      <c r="J54" s="434"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9"/>
      <c r="Q58" s="2510"/>
      <c r="R58" s="2510"/>
      <c r="S58" s="2510"/>
      <c r="T58" s="2510"/>
      <c r="U58" s="2510"/>
      <c r="V58" s="2510"/>
      <c r="W58" s="2510"/>
      <c r="X58" s="2510"/>
      <c r="Y58" s="2510"/>
      <c r="Z58" s="2510"/>
      <c r="AA58" s="2510"/>
      <c r="AB58" s="2510"/>
      <c r="AC58" s="2510"/>
    </row>
    <row r="59" spans="1:29" s="102"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2"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2" customFormat="1" ht="15">
      <c r="A61" s="454" t="s">
        <v>1681</v>
      </c>
      <c r="B61" s="443"/>
      <c r="C61" s="455" t="s">
        <v>1776</v>
      </c>
      <c r="D61" s="3179" t="s">
        <v>3432</v>
      </c>
      <c r="E61" s="31"/>
      <c r="F61" s="31"/>
      <c r="G61" s="31"/>
      <c r="H61" s="31"/>
      <c r="I61" s="31"/>
      <c r="J61" s="31"/>
      <c r="K61" s="31"/>
      <c r="L61" s="456"/>
      <c r="M61" s="457"/>
      <c r="N61" s="2520"/>
      <c r="O61" s="2520"/>
      <c r="P61" s="2512"/>
      <c r="Q61" s="2508"/>
      <c r="R61" s="2439"/>
      <c r="S61" s="2439"/>
      <c r="T61" s="2439"/>
      <c r="U61" s="2439"/>
      <c r="V61" s="2439"/>
      <c r="W61" s="2439"/>
      <c r="X61" s="2439"/>
      <c r="Y61" s="2439"/>
      <c r="Z61" s="2439"/>
      <c r="AA61" s="2439"/>
      <c r="AB61" s="2439"/>
      <c r="AC61" s="2439"/>
    </row>
    <row r="62" spans="1:29" s="102" customFormat="1" ht="15.75" thickBot="1">
      <c r="A62" s="454"/>
      <c r="B62" s="443"/>
      <c r="C62" s="444">
        <v>100</v>
      </c>
      <c r="D62" s="445">
        <v>105</v>
      </c>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t="str">
        <f>C9</f>
        <v>商业</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v>0</v>
      </c>
      <c r="D68" s="479">
        <v>1</v>
      </c>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1"/>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98</v>
      </c>
      <c r="E79" s="474">
        <f>D79-$K17</f>
        <v>96</v>
      </c>
      <c r="F79" s="474">
        <f>E79-$K17</f>
        <v>94</v>
      </c>
      <c r="G79" s="474">
        <f>F79-$K17</f>
        <v>92</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2" customFormat="1" ht="15.75" thickTop="1">
      <c r="A86" s="369"/>
      <c r="B86" s="468" t="s">
        <v>1804</v>
      </c>
      <c r="C86" s="484" t="s">
        <v>3433</v>
      </c>
      <c r="D86" s="484" t="s">
        <v>3434</v>
      </c>
      <c r="E86" s="484" t="s">
        <v>3435</v>
      </c>
      <c r="F86" s="484" t="s">
        <v>3436</v>
      </c>
      <c r="G86" s="484" t="s">
        <v>3437</v>
      </c>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69"/>
      <c r="B88" s="468" t="str">
        <f>B26</f>
        <v>平面位置/可视性</v>
      </c>
      <c r="C88" s="484" t="s">
        <v>3438</v>
      </c>
      <c r="D88" s="484" t="s">
        <v>3439</v>
      </c>
      <c r="E88" s="484" t="s">
        <v>3440</v>
      </c>
      <c r="F88" s="1779" t="s">
        <v>3441</v>
      </c>
      <c r="G88" s="484" t="s">
        <v>3442</v>
      </c>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2" customFormat="1" ht="15.75" thickBot="1">
      <c r="A89" s="369"/>
      <c r="B89" s="473"/>
      <c r="C89" s="3180">
        <v>100</v>
      </c>
      <c r="D89" s="3181">
        <v>95</v>
      </c>
      <c r="E89" s="3180">
        <v>90</v>
      </c>
      <c r="F89" s="3180">
        <v>85</v>
      </c>
      <c r="G89" s="3181">
        <v>80</v>
      </c>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3182" t="s">
        <v>3443</v>
      </c>
      <c r="D90" s="3182" t="s">
        <v>3444</v>
      </c>
      <c r="E90" s="3182" t="s">
        <v>3440</v>
      </c>
      <c r="F90" s="3182" t="s">
        <v>3445</v>
      </c>
      <c r="G90" s="3182" t="s">
        <v>3446</v>
      </c>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t="s">
        <v>3447</v>
      </c>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v>100</v>
      </c>
      <c r="D93" s="3183"/>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3182" t="s">
        <v>3448</v>
      </c>
      <c r="D94" s="3182" t="s">
        <v>3449</v>
      </c>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v>100</v>
      </c>
      <c r="D95" s="466">
        <v>105</v>
      </c>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3184" t="s">
        <v>3450</v>
      </c>
      <c r="D100" s="3184" t="s">
        <v>3451</v>
      </c>
      <c r="E100" s="3184" t="s">
        <v>3452</v>
      </c>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0(含)-100</v>
      </c>
      <c r="D102" s="508" t="str">
        <f t="shared" ref="D102:L102" si="23">D103&amp;"(含)"&amp;"-"&amp;E103</f>
        <v>100(含)-200</v>
      </c>
      <c r="E102" s="508" t="str">
        <f t="shared" si="23"/>
        <v>200(含)-300</v>
      </c>
      <c r="F102" s="508" t="str">
        <f t="shared" si="23"/>
        <v>300(含)-400</v>
      </c>
      <c r="G102" s="508" t="str">
        <f t="shared" si="23"/>
        <v>400(含)-500</v>
      </c>
      <c r="H102" s="508" t="str">
        <f t="shared" si="23"/>
        <v>500(含)-700</v>
      </c>
      <c r="I102" s="508" t="str">
        <f t="shared" si="23"/>
        <v>700(含)-1000</v>
      </c>
      <c r="J102" s="508" t="str">
        <f t="shared" si="23"/>
        <v>1000(含)-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v>0</v>
      </c>
      <c r="D103" s="6">
        <v>100</v>
      </c>
      <c r="E103" s="6">
        <v>200</v>
      </c>
      <c r="F103" s="6">
        <v>300</v>
      </c>
      <c r="G103" s="6">
        <v>400</v>
      </c>
      <c r="H103" s="6">
        <v>500</v>
      </c>
      <c r="I103" s="6">
        <v>700</v>
      </c>
      <c r="J103" s="523">
        <v>1000</v>
      </c>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v>100</v>
      </c>
      <c r="D104" s="466">
        <f>C104-$N$103</f>
        <v>100</v>
      </c>
      <c r="E104" s="466">
        <f t="shared" ref="E104:J104" si="24">D104-$N$103</f>
        <v>100</v>
      </c>
      <c r="F104" s="466">
        <f t="shared" si="24"/>
        <v>100</v>
      </c>
      <c r="G104" s="466">
        <f t="shared" si="24"/>
        <v>100</v>
      </c>
      <c r="H104" s="466">
        <f t="shared" si="24"/>
        <v>100</v>
      </c>
      <c r="I104" s="466">
        <f t="shared" si="24"/>
        <v>100</v>
      </c>
      <c r="J104" s="466">
        <f t="shared" si="24"/>
        <v>100</v>
      </c>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3182" t="s">
        <v>3453</v>
      </c>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5">C106-$K34</f>
        <v>100</v>
      </c>
      <c r="E106" s="474">
        <f t="shared" si="25"/>
        <v>100</v>
      </c>
      <c r="F106" s="474">
        <f t="shared" si="25"/>
        <v>100</v>
      </c>
      <c r="G106" s="474">
        <f t="shared" si="25"/>
        <v>100</v>
      </c>
      <c r="H106" s="474">
        <f t="shared" si="25"/>
        <v>100</v>
      </c>
      <c r="I106" s="474">
        <f t="shared" si="25"/>
        <v>100</v>
      </c>
      <c r="J106" s="474">
        <f t="shared" si="25"/>
        <v>100</v>
      </c>
      <c r="K106" s="474">
        <f t="shared" si="25"/>
        <v>100</v>
      </c>
      <c r="L106" s="474">
        <f t="shared" si="25"/>
        <v>100</v>
      </c>
      <c r="M106" s="475">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7">D111+$K36</f>
        <v>100</v>
      </c>
      <c r="F111" s="474">
        <f t="shared" si="27"/>
        <v>100</v>
      </c>
      <c r="G111" s="474">
        <f t="shared" si="27"/>
        <v>100</v>
      </c>
      <c r="H111" s="474">
        <f t="shared" si="27"/>
        <v>100</v>
      </c>
      <c r="I111" s="474">
        <f t="shared" si="27"/>
        <v>100</v>
      </c>
      <c r="J111" s="474">
        <f t="shared" si="27"/>
        <v>100</v>
      </c>
      <c r="K111" s="474">
        <f t="shared" si="27"/>
        <v>100</v>
      </c>
      <c r="L111" s="474">
        <f t="shared" si="27"/>
        <v>100</v>
      </c>
      <c r="M111" s="474">
        <f t="shared" si="27"/>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t="s">
        <v>3454</v>
      </c>
      <c r="D112" s="484" t="s">
        <v>3455</v>
      </c>
      <c r="E112" s="484" t="s">
        <v>3456</v>
      </c>
      <c r="F112" s="484" t="s">
        <v>3457</v>
      </c>
      <c r="G112" s="484" t="s">
        <v>3458</v>
      </c>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3182" t="s">
        <v>3459</v>
      </c>
      <c r="D114" s="3182" t="s">
        <v>3460</v>
      </c>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3182" t="s">
        <v>3461</v>
      </c>
      <c r="D116" s="3182" t="s">
        <v>3462</v>
      </c>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3185" t="s">
        <v>3463</v>
      </c>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3182" t="s">
        <v>3464</v>
      </c>
      <c r="D122" s="3182" t="s">
        <v>3465</v>
      </c>
      <c r="E122" s="3182" t="s">
        <v>3466</v>
      </c>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1">C123-$K42</f>
        <v>100</v>
      </c>
      <c r="E123" s="474">
        <f t="shared" si="31"/>
        <v>100</v>
      </c>
      <c r="F123" s="474">
        <f t="shared" si="31"/>
        <v>100</v>
      </c>
      <c r="G123" s="474">
        <f t="shared" si="31"/>
        <v>100</v>
      </c>
      <c r="H123" s="474">
        <f t="shared" si="31"/>
        <v>100</v>
      </c>
      <c r="I123" s="474">
        <f t="shared" si="31"/>
        <v>100</v>
      </c>
      <c r="J123" s="474">
        <f t="shared" si="31"/>
        <v>100</v>
      </c>
      <c r="K123" s="474">
        <f t="shared" si="31"/>
        <v>100</v>
      </c>
      <c r="L123" s="474">
        <f t="shared" si="31"/>
        <v>100</v>
      </c>
      <c r="M123" s="475">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1"/>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20" sqref="I2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17.21</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106.3425</v>
      </c>
      <c r="C2" s="1288" t="s">
        <v>879</v>
      </c>
      <c r="D2" s="1374">
        <f ca="1">C40+J29+L46</f>
        <v>1063425</v>
      </c>
      <c r="E2" s="1294" t="s">
        <v>880</v>
      </c>
      <c r="F2" s="1295"/>
      <c r="G2" s="2478"/>
      <c r="H2" s="2468"/>
      <c r="I2" s="2468"/>
      <c r="J2" s="2468"/>
      <c r="K2" s="2469"/>
      <c r="L2" s="2468"/>
      <c r="M2" s="2468"/>
    </row>
    <row r="3" spans="1:37" ht="18" customHeight="1" thickBot="1">
      <c r="A3" s="1296" t="s">
        <v>881</v>
      </c>
      <c r="B3" s="1297">
        <f ca="1">IF(ISERROR(D2/F43),0,ROUND(D2/F43,0))</f>
        <v>14340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97568</v>
      </c>
      <c r="D5" s="1272" t="s">
        <v>889</v>
      </c>
      <c r="E5" s="1007"/>
      <c r="F5" s="1008"/>
      <c r="G5" s="1291"/>
      <c r="H5" s="290">
        <v>1</v>
      </c>
      <c r="I5" s="291" t="s">
        <v>888</v>
      </c>
      <c r="J5" s="1006">
        <f ca="1">J6+J10+J12</f>
        <v>0</v>
      </c>
      <c r="K5" s="1272" t="s">
        <v>889</v>
      </c>
      <c r="L5" s="1007"/>
      <c r="M5" s="1008"/>
    </row>
    <row r="6" spans="1:37" ht="18" customHeight="1">
      <c r="A6" s="1005" t="s">
        <v>398</v>
      </c>
      <c r="B6" s="3375" t="s">
        <v>694</v>
      </c>
      <c r="C6" s="1010">
        <f ca="1">ROUND(F6*F8*F7*(1-F9),0)</f>
        <v>97446</v>
      </c>
      <c r="D6" s="146" t="s">
        <v>2106</v>
      </c>
      <c r="E6" s="293" t="s">
        <v>696</v>
      </c>
      <c r="F6" s="294">
        <f ca="1">INDIRECT("'数据-取费表'!u"&amp;$G$1)</f>
        <v>4</v>
      </c>
      <c r="G6" s="1291"/>
      <c r="H6" s="1005" t="s">
        <v>398</v>
      </c>
      <c r="I6" s="3375" t="s">
        <v>694</v>
      </c>
      <c r="J6" s="292">
        <f ca="1">ROUND(M6*M8*M7*(1-M9),0)</f>
        <v>0</v>
      </c>
      <c r="K6" s="1283" t="s">
        <v>2107</v>
      </c>
      <c r="L6" s="293" t="s">
        <v>696</v>
      </c>
      <c r="M6" s="294">
        <f ca="1">INDIRECT("'数据-取费表'!z"&amp;$G$1)</f>
        <v>0</v>
      </c>
    </row>
    <row r="7" spans="1:37" ht="18" customHeight="1">
      <c r="A7" s="1009"/>
      <c r="B7" s="3376"/>
      <c r="C7" s="1011"/>
      <c r="D7" s="298"/>
      <c r="E7" s="1012" t="s">
        <v>697</v>
      </c>
      <c r="F7" s="294">
        <f ca="1">IF(INDIRECT("'数据-取费表'!ah"&amp;$G$1)="",INDIRECT("'数据-取费表'!k"&amp;$G$1),INDIRECT("'数据-取费表'!ah"&amp;$G$1))</f>
        <v>74.16</v>
      </c>
      <c r="G7" s="1291"/>
      <c r="H7" s="295"/>
      <c r="I7" s="3376"/>
      <c r="J7" s="297"/>
      <c r="K7" s="298"/>
      <c r="L7" s="293" t="s">
        <v>697</v>
      </c>
      <c r="M7" s="294">
        <f ca="1">F7</f>
        <v>74.16</v>
      </c>
    </row>
    <row r="8" spans="1:37" ht="18" customHeight="1">
      <c r="A8" s="295"/>
      <c r="B8" s="3376"/>
      <c r="C8" s="297"/>
      <c r="D8" s="298"/>
      <c r="E8" s="293" t="s">
        <v>698</v>
      </c>
      <c r="F8" s="294">
        <f ca="1">INDIRECT("'数据-取费表'!ai"&amp;$G$1)</f>
        <v>365</v>
      </c>
      <c r="G8" s="1291"/>
      <c r="H8" s="295"/>
      <c r="I8" s="3376"/>
      <c r="J8" s="297"/>
      <c r="K8" s="298"/>
      <c r="L8" s="293" t="s">
        <v>698</v>
      </c>
      <c r="M8" s="294">
        <f ca="1">INDIRECT("'数据-取费表'!ai"&amp;$G$1)</f>
        <v>365</v>
      </c>
    </row>
    <row r="9" spans="1:37" ht="18" customHeight="1">
      <c r="A9" s="295"/>
      <c r="B9" s="3377"/>
      <c r="C9" s="297"/>
      <c r="D9" s="298"/>
      <c r="E9" s="293" t="s">
        <v>699</v>
      </c>
      <c r="F9" s="303">
        <f ca="1">INDIRECT("'数据-取费表'!w"&amp;$G$1)</f>
        <v>0.1</v>
      </c>
      <c r="G9" s="1291"/>
      <c r="H9" s="295"/>
      <c r="I9" s="3377"/>
      <c r="J9" s="297"/>
      <c r="K9" s="298"/>
      <c r="L9" s="304" t="s">
        <v>699</v>
      </c>
      <c r="M9" s="305">
        <f ca="1">INDIRECT("'数据-取费表'!ab"&amp;$G$1)</f>
        <v>0</v>
      </c>
    </row>
    <row r="10" spans="1:37" ht="18" customHeight="1">
      <c r="A10" s="1005" t="s">
        <v>402</v>
      </c>
      <c r="B10" s="1273" t="s">
        <v>700</v>
      </c>
      <c r="C10" s="307">
        <f ca="1">ROUND(IF(F10="押一",C6/12*F11,IF(F10="押二",C6/12*2*F11,IF(F10="押三",C6/12*3*F11,C11*F11))),0)</f>
        <v>122</v>
      </c>
      <c r="D10" s="149" t="s">
        <v>2116</v>
      </c>
      <c r="E10" s="304" t="s">
        <v>701</v>
      </c>
      <c r="F10" s="1052" t="s">
        <v>3474</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323574</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296640</v>
      </c>
      <c r="D14" s="1256" t="s">
        <v>708</v>
      </c>
      <c r="E14" s="1254"/>
      <c r="F14" s="310"/>
      <c r="G14" s="1291"/>
      <c r="H14" s="927" t="s">
        <v>398</v>
      </c>
      <c r="I14" s="293" t="s">
        <v>709</v>
      </c>
      <c r="J14" s="21">
        <f ca="1">C29</f>
        <v>414839</v>
      </c>
      <c r="K14" s="12"/>
      <c r="L14" s="758"/>
      <c r="M14" s="759"/>
    </row>
    <row r="15" spans="1:37" s="1303" customFormat="1" ht="18" customHeight="1" thickBot="1">
      <c r="A15" s="927" t="s">
        <v>399</v>
      </c>
      <c r="B15" s="293" t="s">
        <v>710</v>
      </c>
      <c r="C15" s="21">
        <f ca="1">ROUND(C14*F15,0)</f>
        <v>8899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2074</v>
      </c>
      <c r="K16" s="1023" t="s">
        <v>715</v>
      </c>
      <c r="L16" s="1024"/>
      <c r="M16" s="1008"/>
    </row>
    <row r="17" spans="1:37" s="1303" customFormat="1" ht="18" customHeight="1">
      <c r="A17" s="927" t="s">
        <v>681</v>
      </c>
      <c r="B17" s="293" t="s">
        <v>716</v>
      </c>
      <c r="C17" s="21">
        <f ca="1">ROUND(F17*(F43+INDIRECT("'数据-取费表'!S"&amp;$G$1)),0)</f>
        <v>14832</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5933</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326304</v>
      </c>
      <c r="D19" s="122" t="s">
        <v>726</v>
      </c>
      <c r="E19" s="1268"/>
      <c r="F19" s="23"/>
      <c r="G19" s="1291"/>
      <c r="H19" s="927" t="s">
        <v>399</v>
      </c>
      <c r="I19" s="293" t="s">
        <v>727</v>
      </c>
      <c r="J19" s="21">
        <f ca="1">IF(K19="按租金收入计税",ROUND(J6*M19/(1+'数据-取费表'!C42),0),ROUND(C29*M19*0.7,0))</f>
        <v>0</v>
      </c>
      <c r="K19" s="1277" t="s">
        <v>3325</v>
      </c>
      <c r="L19" s="293" t="s">
        <v>712</v>
      </c>
      <c r="M19" s="313">
        <f>IF(K19="按租金收入计税",'数据-取费表'!B51,'数据-取费表'!B50)</f>
        <v>0.12</v>
      </c>
    </row>
    <row r="20" spans="1:37" s="1303" customFormat="1" ht="18" customHeight="1">
      <c r="A20" s="927" t="s">
        <v>402</v>
      </c>
      <c r="B20" s="293" t="s">
        <v>728</v>
      </c>
      <c r="C20" s="21">
        <f ca="1">ROUND(C19*F20,0)</f>
        <v>6526</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2074</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10417</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5.9999999999999995E-4</v>
      </c>
      <c r="D24" s="137" t="str">
        <f>IF(F23&lt;=1,"销售费用×利率×(建设周期÷2)","销售费用×((1+利率)^(建设周期÷2)-1)")</f>
        <v>销售费用×((1+利率)^(建设周期÷2)-1)</v>
      </c>
      <c r="E24" s="293" t="s">
        <v>747</v>
      </c>
      <c r="F24" s="321">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-2074</v>
      </c>
      <c r="K25" s="1031" t="s">
        <v>753</v>
      </c>
      <c r="L25" s="1032"/>
      <c r="M25" s="1033"/>
    </row>
    <row r="26" spans="1:37" ht="18" customHeight="1">
      <c r="A26" s="927" t="s">
        <v>397</v>
      </c>
      <c r="B26" s="293" t="s">
        <v>754</v>
      </c>
      <c r="C26" s="21">
        <f ca="1">ROUND((C19+C20)*F26,0)</f>
        <v>39940</v>
      </c>
      <c r="D26" s="314" t="s">
        <v>755</v>
      </c>
      <c r="E26" s="304" t="s">
        <v>756</v>
      </c>
      <c r="F26" s="303">
        <f ca="1">INDIRECT("'数据-取费表'!q"&amp;$G$1)</f>
        <v>0.12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2.3999999999999998E-3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414839</v>
      </c>
      <c r="D29" s="1028"/>
      <c r="E29" s="1026"/>
      <c r="F29" s="1029"/>
      <c r="G29" s="1302"/>
      <c r="H29" s="324" t="s">
        <v>396</v>
      </c>
      <c r="I29" s="325" t="s">
        <v>768</v>
      </c>
      <c r="J29" s="326">
        <f ca="1">ROUND(J26/(1+F40)^F41,0)</f>
        <v>0</v>
      </c>
      <c r="K29" s="327" t="s">
        <v>769</v>
      </c>
      <c r="L29" s="328"/>
      <c r="M29" s="329">
        <f ca="1">INDIRECT("'数据-取费表'!k"&amp;$G$1)</f>
        <v>74.16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19708</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16334</v>
      </c>
      <c r="D31" s="1256" t="s">
        <v>720</v>
      </c>
      <c r="E31" s="1255" t="s">
        <v>770</v>
      </c>
      <c r="F31" s="2138">
        <f ca="1">IF(项目基本情况!B11="企业","——",IF(M47="住宅",IF(F6*F7*F8/12/(1+'数据-取费表'!F30)&gt;100000,4%,2.5%),IF(F6*F7*F8/12/(1+'数据-取费表'!F30)&gt;100000,12%,7%)))</f>
        <v>7.0000000000000007E-2</v>
      </c>
      <c r="G31" s="1291"/>
      <c r="H31" s="2569" t="s">
        <v>2297</v>
      </c>
      <c r="I31" s="1304"/>
      <c r="J31" s="1305"/>
      <c r="K31" s="120"/>
      <c r="L31" s="2471"/>
      <c r="M31" s="2472"/>
    </row>
    <row r="32" spans="1:37" ht="18" customHeight="1">
      <c r="A32" s="927" t="s">
        <v>397</v>
      </c>
      <c r="B32" s="293" t="s">
        <v>723</v>
      </c>
      <c r="C32" s="21">
        <f ca="1">IF(项目基本情况!B11="自然人","——",ROUND(C6*F32/(1+'数据-取费表'!C42),0))</f>
        <v>5197</v>
      </c>
      <c r="D32" s="1255" t="s">
        <v>724</v>
      </c>
      <c r="E32" s="293" t="s">
        <v>712</v>
      </c>
      <c r="F32" s="321">
        <f>'数据-取费表'!B41</f>
        <v>5.6000000000000001E-2</v>
      </c>
      <c r="G32" s="1291"/>
      <c r="H32" s="2470"/>
      <c r="I32" s="1304"/>
      <c r="J32" s="1305"/>
      <c r="K32" s="120"/>
      <c r="L32" s="2471"/>
      <c r="M32" s="2472"/>
    </row>
    <row r="33" spans="1:18" ht="18" customHeight="1">
      <c r="A33" s="927" t="s">
        <v>399</v>
      </c>
      <c r="B33" s="293" t="s">
        <v>727</v>
      </c>
      <c r="C33" s="21">
        <f ca="1">IF(项目基本情况!B11="自然人","——",IF(D33="按租金收入计税",ROUND(C6*F33/(1+'数据-取费表'!C42),0),IF(D33="按房产原值计税",ROUND(C29*F33*0.7,0),INDIRECT("'数据-取费表'!Aj"&amp;$G$1))))</f>
        <v>11137</v>
      </c>
      <c r="D33" s="1277" t="s">
        <v>3325</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2">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6"/>
      <c r="D35" s="318"/>
      <c r="E35" s="293" t="s">
        <v>736</v>
      </c>
      <c r="F35" s="294">
        <f ca="1">INDIRECT("'数据-取费表'!r"&amp;$G$1)</f>
        <v>0</v>
      </c>
      <c r="G35" s="1291"/>
      <c r="H35" s="2470"/>
      <c r="I35" s="1304"/>
      <c r="J35" s="1305"/>
      <c r="K35" s="2474"/>
      <c r="L35" s="2473"/>
      <c r="M35" s="2473"/>
    </row>
    <row r="36" spans="1:18" ht="18" customHeight="1">
      <c r="A36" s="1038" t="s">
        <v>402</v>
      </c>
      <c r="B36" s="293" t="s">
        <v>738</v>
      </c>
      <c r="C36" s="21">
        <f ca="1">ROUND(C29*F36,0)</f>
        <v>2074</v>
      </c>
      <c r="D36" s="1255" t="s">
        <v>771</v>
      </c>
      <c r="E36" s="293" t="s">
        <v>712</v>
      </c>
      <c r="F36" s="319">
        <f ca="1">INDIRECT("'数据-取费表'!Ak"&amp;$G$1)</f>
        <v>5.0000000000000001E-3</v>
      </c>
      <c r="G36" s="1291"/>
      <c r="H36" s="2473"/>
      <c r="I36" s="1304"/>
      <c r="J36" s="1305"/>
      <c r="K36" s="2330"/>
      <c r="L36" s="2473"/>
      <c r="M36" s="2473"/>
    </row>
    <row r="37" spans="1:18" ht="18" customHeight="1">
      <c r="A37" s="927" t="s">
        <v>437</v>
      </c>
      <c r="B37" s="293" t="s">
        <v>742</v>
      </c>
      <c r="C37" s="21">
        <f ca="1">ROUND(C13*F37,0)</f>
        <v>324</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ROUND(C5*F38,0)</f>
        <v>976</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77860</v>
      </c>
      <c r="D39" s="1031" t="s">
        <v>773</v>
      </c>
      <c r="E39" s="1032"/>
      <c r="F39" s="1033"/>
      <c r="G39" s="1291"/>
      <c r="H39" s="2473"/>
      <c r="I39" s="1304"/>
      <c r="J39" s="1305"/>
      <c r="K39" s="2471"/>
      <c r="L39" s="2473"/>
      <c r="M39" s="2473"/>
    </row>
    <row r="40" spans="1:18" ht="18" customHeight="1">
      <c r="A40" s="290" t="s">
        <v>395</v>
      </c>
      <c r="B40" s="291" t="s">
        <v>774</v>
      </c>
      <c r="C40" s="292">
        <f ca="1">ROUND(C39*(1-((1+F42)/(1+F40))^F41)/(F40-F42),0)</f>
        <v>1015628</v>
      </c>
      <c r="D40" s="315" t="s">
        <v>758</v>
      </c>
      <c r="E40" s="293" t="s">
        <v>759</v>
      </c>
      <c r="F40" s="303">
        <f ca="1">INDIRECT("'数据-取费表'!I"&amp;$G$1)</f>
        <v>5.5E-2</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17.21</v>
      </c>
      <c r="G41" s="1291"/>
      <c r="H41" s="120"/>
      <c r="I41" s="1304"/>
      <c r="J41" s="1305"/>
      <c r="K41" s="2330"/>
      <c r="L41" s="120"/>
      <c r="M41" s="120"/>
    </row>
    <row r="42" spans="1:18" ht="18" customHeight="1">
      <c r="A42" s="299"/>
      <c r="B42" s="300"/>
      <c r="C42" s="301"/>
      <c r="D42" s="318"/>
      <c r="E42" s="293" t="s">
        <v>766</v>
      </c>
      <c r="F42" s="303">
        <f ca="1">INDIRECT("'数据-取费表'!v"&amp;$G$1)</f>
        <v>2.5000000000000001E-2</v>
      </c>
      <c r="G42" s="1291"/>
      <c r="H42" s="120"/>
      <c r="I42" s="1304"/>
      <c r="J42" s="1305"/>
      <c r="K42" s="2330"/>
      <c r="L42" s="120"/>
      <c r="M42" s="120"/>
    </row>
    <row r="43" spans="1:18" ht="18" customHeight="1" thickBot="1">
      <c r="A43" s="324" t="s">
        <v>396</v>
      </c>
      <c r="B43" s="325" t="s">
        <v>776</v>
      </c>
      <c r="C43" s="326">
        <f ca="1">ROUND(C40/F43,0)</f>
        <v>13695</v>
      </c>
      <c r="D43" s="327" t="s">
        <v>777</v>
      </c>
      <c r="E43" s="328" t="s">
        <v>778</v>
      </c>
      <c r="F43" s="329">
        <f ca="1">INDIRECT("'数据-取费表'!k"&amp;$G$1)</f>
        <v>74.16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3341</v>
      </c>
      <c r="B45" s="1306"/>
      <c r="C45" s="1375">
        <f ca="1">ROUND((C68-C40)/10000,4)</f>
        <v>-104.1878</v>
      </c>
      <c r="D45" s="3130" t="s">
        <v>3342</v>
      </c>
      <c r="E45" s="1306"/>
      <c r="F45" s="1306"/>
      <c r="O45" s="1309" t="s">
        <v>808</v>
      </c>
      <c r="P45" s="1365"/>
      <c r="Q45" s="1365"/>
      <c r="R45" s="1365"/>
    </row>
    <row r="46" spans="1:18" s="1291" customFormat="1" ht="13.5" thickBot="1">
      <c r="A46" s="1310" t="s">
        <v>809</v>
      </c>
      <c r="C46" s="1311">
        <f ca="1">ROUND(C45,0)</f>
        <v>-104</v>
      </c>
      <c r="D46" s="1312" t="str">
        <f>C2</f>
        <v>万元</v>
      </c>
      <c r="I46" s="1313" t="s">
        <v>810</v>
      </c>
      <c r="J46" s="1314"/>
      <c r="K46" s="1315"/>
      <c r="L46" s="1316">
        <f ca="1">IF(M47="住宅",0,IF(L48&gt;J51,L60,J60))</f>
        <v>47797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3475</v>
      </c>
      <c r="K47" s="1322" t="s">
        <v>816</v>
      </c>
      <c r="L47" s="1323">
        <f ca="1">INDIRECT("'数据-取费表'!d"&amp;$G$1)</f>
        <v>40</v>
      </c>
      <c r="M47" s="1287" t="str">
        <f>IF(ISNUMBER(FIND("住宅",C1)),"住宅","非住宅")</f>
        <v>非住宅</v>
      </c>
      <c r="O47" s="1324" t="s">
        <v>403</v>
      </c>
      <c r="P47" s="1325" t="s">
        <v>817</v>
      </c>
      <c r="Q47" s="1326">
        <f ca="1">C40+J29</f>
        <v>1015628</v>
      </c>
      <c r="R47" s="1326" t="s">
        <v>818</v>
      </c>
    </row>
    <row r="48" spans="1:18" s="1291" customFormat="1" ht="28.5" thickBot="1">
      <c r="A48" s="1046" t="s">
        <v>438</v>
      </c>
      <c r="B48" s="291" t="s">
        <v>692</v>
      </c>
      <c r="C48" s="1267">
        <f ca="1">C49+C53+C55</f>
        <v>0</v>
      </c>
      <c r="D48" s="1048"/>
      <c r="E48" s="1049"/>
      <c r="F48" s="907"/>
      <c r="G48" s="680"/>
      <c r="H48" s="681"/>
      <c r="I48" s="1327" t="s">
        <v>819</v>
      </c>
      <c r="J48" s="1328" t="s">
        <v>3476</v>
      </c>
      <c r="K48" s="1329" t="s">
        <v>820</v>
      </c>
      <c r="L48" s="1330">
        <f ca="1">INDIRECT("'数据-取费表'!f"&amp;$G$1)</f>
        <v>17.21</v>
      </c>
      <c r="O48" s="1324" t="s">
        <v>404</v>
      </c>
      <c r="P48" s="1325" t="s">
        <v>821</v>
      </c>
      <c r="Q48" s="1326">
        <f ca="1">J60</f>
        <v>47797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'数据-取费表'!N17</f>
        <v>2004</v>
      </c>
      <c r="K49" s="1329" t="s">
        <v>824</v>
      </c>
      <c r="L49" s="1332"/>
      <c r="O49" s="1333" t="s">
        <v>405</v>
      </c>
      <c r="P49" s="1325" t="s">
        <v>825</v>
      </c>
      <c r="Q49" s="1326">
        <f ca="1">C29</f>
        <v>414839</v>
      </c>
      <c r="R49" s="1326" t="s">
        <v>818</v>
      </c>
    </row>
    <row r="50" spans="1:18" s="1291" customFormat="1" ht="13.5" thickBot="1">
      <c r="A50" s="921"/>
      <c r="B50" s="924"/>
      <c r="C50" s="925"/>
      <c r="D50" s="898"/>
      <c r="E50" s="992" t="s">
        <v>697</v>
      </c>
      <c r="F50" s="993">
        <f ca="1">F7</f>
        <v>74.16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39</v>
      </c>
      <c r="K51" s="1338" t="s">
        <v>830</v>
      </c>
      <c r="L51" s="1339">
        <f ca="1">ROUND(-PV(INDIRECT("'数据-取费表'!h"&amp;$G$1),J51,(C39-C13*C76),0),0)</f>
        <v>939508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17.21</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17.21</v>
      </c>
      <c r="K53" s="3373" t="s">
        <v>837</v>
      </c>
      <c r="L53" s="3374"/>
      <c r="O53" s="1324" t="s">
        <v>409</v>
      </c>
      <c r="P53" s="1325" t="s">
        <v>838</v>
      </c>
      <c r="Q53" s="1326">
        <f ca="1">Q47+Q48</f>
        <v>1063425</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0.36299999999999999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323574</v>
      </c>
      <c r="D56" s="1351"/>
      <c r="E56" s="1352"/>
      <c r="F56" s="1344"/>
      <c r="I56" s="1353" t="s">
        <v>842</v>
      </c>
      <c r="J56" s="1354" t="s">
        <v>3477</v>
      </c>
      <c r="K56" s="1327" t="s">
        <v>843</v>
      </c>
      <c r="L56" s="1330" t="str">
        <f ca="1">IF(L48&lt;J51,"——",L48-J51)</f>
        <v>——</v>
      </c>
      <c r="O56" s="1324" t="s">
        <v>403</v>
      </c>
      <c r="P56" s="1325" t="s">
        <v>817</v>
      </c>
      <c r="Q56" s="1326">
        <f ca="1">C40+J29</f>
        <v>1015628</v>
      </c>
      <c r="R56" s="1326" t="s">
        <v>818</v>
      </c>
    </row>
    <row r="57" spans="1:18" s="1291" customFormat="1" ht="24.75" thickBot="1">
      <c r="A57" s="1355"/>
      <c r="B57" s="895" t="s">
        <v>767</v>
      </c>
      <c r="C57" s="229">
        <f ca="1">C29</f>
        <v>414839</v>
      </c>
      <c r="D57" s="1356"/>
      <c r="E57" s="1357"/>
      <c r="F57" s="1358"/>
      <c r="I57" s="1359" t="s">
        <v>844</v>
      </c>
      <c r="J57" s="1360">
        <f ca="1">IF(OR(M47="住宅",J51&lt;L48,J56="是"),"——",J51-L48)</f>
        <v>21.79</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2398</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165936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47797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f ca="1">Q56+Q57</f>
        <v>1015628</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2074</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324</v>
      </c>
      <c r="D65" s="909" t="s">
        <v>743</v>
      </c>
      <c r="E65" s="895" t="s">
        <v>744</v>
      </c>
      <c r="F65" s="320">
        <f t="shared" ca="1" si="0"/>
        <v>1E-3</v>
      </c>
      <c r="I65" s="1366" t="s">
        <v>867</v>
      </c>
      <c r="J65" s="609">
        <v>40</v>
      </c>
      <c r="K65" s="609">
        <v>30</v>
      </c>
      <c r="L65" s="609">
        <v>50</v>
      </c>
      <c r="M65" s="1368">
        <v>0.02</v>
      </c>
      <c r="O65" s="1324" t="s">
        <v>403</v>
      </c>
      <c r="P65" s="1325" t="s">
        <v>868</v>
      </c>
      <c r="Q65" s="1326">
        <f ca="1">C40+J29</f>
        <v>1015628</v>
      </c>
      <c r="R65" s="1326" t="s">
        <v>818</v>
      </c>
    </row>
    <row r="66" spans="1:18" s="1291" customFormat="1" ht="16.5"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-2398</v>
      </c>
      <c r="D67" s="908" t="s">
        <v>753</v>
      </c>
      <c r="E67" s="913"/>
      <c r="F67" s="914"/>
      <c r="O67" s="1333" t="s">
        <v>405</v>
      </c>
      <c r="P67" s="1325" t="s">
        <v>850</v>
      </c>
      <c r="Q67" s="1369">
        <f ca="1">L51</f>
        <v>939508</v>
      </c>
      <c r="R67" s="1326" t="s">
        <v>870</v>
      </c>
    </row>
    <row r="68" spans="1:18" s="1291" customFormat="1" ht="16.5" thickBot="1">
      <c r="A68" s="892" t="s">
        <v>395</v>
      </c>
      <c r="B68" s="893" t="s">
        <v>774</v>
      </c>
      <c r="C68" s="292">
        <f ca="1">ROUND(C67*(1-((1+F70)/(1+F68))^F69)/(F68-F70),0)</f>
        <v>-26250</v>
      </c>
      <c r="D68" s="910" t="s">
        <v>758</v>
      </c>
      <c r="E68" s="895" t="s">
        <v>759</v>
      </c>
      <c r="F68" s="303">
        <f ca="1">F40</f>
        <v>5.5E-2</v>
      </c>
      <c r="O68" s="1333" t="s">
        <v>406</v>
      </c>
      <c r="P68" s="1370" t="s">
        <v>871</v>
      </c>
      <c r="Q68" s="1326">
        <f ca="1">ROUND(Q69-Q70*Q71,0)</f>
        <v>55210</v>
      </c>
      <c r="R68" s="1326" t="s">
        <v>414</v>
      </c>
    </row>
    <row r="69" spans="1:18" s="1291" customFormat="1" ht="13.5" thickBot="1">
      <c r="A69" s="896"/>
      <c r="B69" s="897"/>
      <c r="C69" s="297"/>
      <c r="D69" s="915" t="s">
        <v>762</v>
      </c>
      <c r="E69" s="895" t="s">
        <v>763</v>
      </c>
      <c r="F69" s="323">
        <f ca="1">F41</f>
        <v>17.21</v>
      </c>
      <c r="O69" s="1333" t="s">
        <v>411</v>
      </c>
      <c r="P69" s="1370" t="s">
        <v>872</v>
      </c>
      <c r="Q69" s="1326">
        <f ca="1">C39</f>
        <v>77860</v>
      </c>
      <c r="R69" s="1326" t="s">
        <v>818</v>
      </c>
    </row>
    <row r="70" spans="1:18" s="1291" customFormat="1" ht="13.5" thickBot="1">
      <c r="A70" s="899"/>
      <c r="B70" s="900"/>
      <c r="C70" s="301"/>
      <c r="D70" s="911"/>
      <c r="E70" s="895" t="s">
        <v>766</v>
      </c>
      <c r="F70" s="990"/>
      <c r="O70" s="1333" t="s">
        <v>412</v>
      </c>
      <c r="P70" s="1370" t="s">
        <v>873</v>
      </c>
      <c r="Q70" s="1326">
        <f ca="1">C13</f>
        <v>323574</v>
      </c>
      <c r="R70" s="1326" t="s">
        <v>818</v>
      </c>
    </row>
    <row r="71" spans="1:18" s="1291" customFormat="1" ht="13.5" thickBot="1">
      <c r="A71" s="916" t="s">
        <v>396</v>
      </c>
      <c r="B71" s="917" t="s">
        <v>776</v>
      </c>
      <c r="C71" s="326">
        <f ca="1">ROUND(C68/F71,0)</f>
        <v>-354</v>
      </c>
      <c r="D71" s="918" t="s">
        <v>777</v>
      </c>
      <c r="E71" s="919" t="s">
        <v>778</v>
      </c>
      <c r="F71" s="329">
        <f ca="1">F43</f>
        <v>74.16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22650</v>
      </c>
      <c r="D75" s="1291"/>
      <c r="E75" s="1291"/>
      <c r="F75" s="1291"/>
      <c r="K75" s="1308"/>
      <c r="L75" s="1291"/>
      <c r="O75" s="1324" t="s">
        <v>409</v>
      </c>
      <c r="P75" s="1325" t="s">
        <v>838</v>
      </c>
      <c r="Q75" s="1326">
        <f ca="1">Q65+Q66</f>
        <v>1015628</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0.70900000000000007</v>
      </c>
    </row>
    <row r="80" spans="1:18">
      <c r="B80" s="330" t="s">
        <v>800</v>
      </c>
      <c r="C80" s="265">
        <f ca="1">ROUND(C75/C39,3)</f>
        <v>0.29099999999999998</v>
      </c>
    </row>
    <row r="81" spans="2:3">
      <c r="B81" s="261" t="s">
        <v>801</v>
      </c>
      <c r="C81" s="229"/>
    </row>
    <row r="82" spans="2:3">
      <c r="B82" s="264" t="s">
        <v>802</v>
      </c>
      <c r="C82" s="266">
        <f ca="1">1-C83</f>
        <v>0.68100000000000005</v>
      </c>
    </row>
    <row r="83" spans="2:3">
      <c r="B83" s="264" t="s">
        <v>803</v>
      </c>
      <c r="C83" s="265">
        <f ca="1">ROUND(C13/C40,3)</f>
        <v>0.31900000000000001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2" t="s">
        <v>2306</v>
      </c>
      <c r="B2" s="2594" t="e">
        <f>IF(D2="——",C40,C40+E2)</f>
        <v>#DIV/0!</v>
      </c>
      <c r="C2" s="2595" t="s">
        <v>2307</v>
      </c>
      <c r="D2" s="3138" t="s">
        <v>3348</v>
      </c>
      <c r="E2" s="3139"/>
      <c r="F2" s="2597"/>
      <c r="G2" s="2598"/>
      <c r="H2" s="2599"/>
      <c r="I2" s="2600"/>
      <c r="J2" s="3430" t="s">
        <v>2308</v>
      </c>
      <c r="K2" s="3431"/>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32" t="s">
        <v>2318</v>
      </c>
      <c r="K3" s="3433"/>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32" t="s">
        <v>2320</v>
      </c>
      <c r="K4" s="3433"/>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8" t="s">
        <v>2324</v>
      </c>
      <c r="B6" s="3439"/>
      <c r="C6" s="3440"/>
      <c r="D6" s="2621"/>
      <c r="E6" s="2622"/>
      <c r="F6" s="2623"/>
      <c r="G6" s="2624"/>
      <c r="H6" s="2599"/>
      <c r="I6" s="2600"/>
      <c r="J6" s="3424">
        <v>1</v>
      </c>
      <c r="K6" s="3425"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4"/>
      <c r="K7" s="3426"/>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41" t="s">
        <v>2338</v>
      </c>
      <c r="C8" s="3442"/>
      <c r="D8" s="2640" t="s">
        <v>2339</v>
      </c>
      <c r="E8" s="2641" t="s">
        <v>2340</v>
      </c>
      <c r="F8" s="2642" t="s">
        <v>2341</v>
      </c>
      <c r="G8" s="2643"/>
      <c r="H8" s="2599"/>
      <c r="I8" s="2600"/>
      <c r="J8" s="3424"/>
      <c r="K8" s="3426"/>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41" t="s">
        <v>2344</v>
      </c>
      <c r="C9" s="3442"/>
      <c r="D9" s="2640">
        <f>ROUND(D6*E9,0)</f>
        <v>0</v>
      </c>
      <c r="E9" s="2644"/>
      <c r="F9" s="2645" t="s">
        <v>2345</v>
      </c>
      <c r="G9" s="2624"/>
      <c r="H9" s="2599"/>
      <c r="I9" s="2600"/>
      <c r="J9" s="3424"/>
      <c r="K9" s="3426"/>
      <c r="L9" s="2634" t="s">
        <v>2346</v>
      </c>
      <c r="M9" s="2635"/>
      <c r="N9" s="2611"/>
      <c r="O9" s="2636"/>
      <c r="P9" s="2636"/>
      <c r="Q9" s="2637">
        <v>365</v>
      </c>
      <c r="R9" s="2638">
        <f t="shared" si="0"/>
        <v>0</v>
      </c>
      <c r="S9" s="2592"/>
      <c r="T9" s="2592"/>
      <c r="U9" s="2592"/>
      <c r="V9" s="2600"/>
    </row>
    <row r="10" spans="1:22" s="2604" customFormat="1" ht="13.15" customHeight="1">
      <c r="A10" s="2639">
        <v>2</v>
      </c>
      <c r="B10" s="3441" t="s">
        <v>2347</v>
      </c>
      <c r="C10" s="3442"/>
      <c r="D10" s="2640">
        <f>ROUND(D6*E10,0)</f>
        <v>0</v>
      </c>
      <c r="E10" s="2644"/>
      <c r="F10" s="2645" t="s">
        <v>2348</v>
      </c>
      <c r="G10" s="2624"/>
      <c r="H10" s="2599"/>
      <c r="I10" s="2600"/>
      <c r="J10" s="3424"/>
      <c r="K10" s="3426"/>
      <c r="L10" s="2634" t="s">
        <v>2349</v>
      </c>
      <c r="M10" s="2635"/>
      <c r="N10" s="2611"/>
      <c r="O10" s="2636"/>
      <c r="P10" s="2636"/>
      <c r="Q10" s="2637">
        <v>365</v>
      </c>
      <c r="R10" s="2638">
        <f t="shared" si="0"/>
        <v>0</v>
      </c>
      <c r="S10" s="2592"/>
      <c r="T10" s="2592"/>
      <c r="U10" s="2592"/>
      <c r="V10" s="2600"/>
    </row>
    <row r="11" spans="1:22" s="2604" customFormat="1" ht="13.15" customHeight="1">
      <c r="A11" s="2639">
        <v>3</v>
      </c>
      <c r="B11" s="3441" t="s">
        <v>2350</v>
      </c>
      <c r="C11" s="3442"/>
      <c r="D11" s="2640">
        <f>D12+D14+D15+D16</f>
        <v>0</v>
      </c>
      <c r="E11" s="2646" t="e">
        <f>D11/D6</f>
        <v>#DIV/0!</v>
      </c>
      <c r="F11" s="2642"/>
      <c r="G11" s="2643"/>
      <c r="H11" s="2599"/>
      <c r="I11" s="2600"/>
      <c r="J11" s="3424"/>
      <c r="K11" s="3426"/>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4" t="s">
        <v>2353</v>
      </c>
      <c r="C12" s="3435"/>
      <c r="D12" s="2648">
        <f>ROUND(D13*1.2%*(1-30%),0)</f>
        <v>0</v>
      </c>
      <c r="E12" s="2649">
        <v>1.2E-2</v>
      </c>
      <c r="F12" s="2642" t="s">
        <v>2354</v>
      </c>
      <c r="G12" s="2643"/>
      <c r="H12" s="2599"/>
      <c r="I12" s="2600"/>
      <c r="J12" s="3424"/>
      <c r="K12" s="3426"/>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4"/>
      <c r="K13" s="3426"/>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4" t="s">
        <v>2359</v>
      </c>
      <c r="C14" s="3435"/>
      <c r="D14" s="2648">
        <f>ROUND(E14*B5/10000,0)</f>
        <v>0</v>
      </c>
      <c r="E14" s="2637"/>
      <c r="F14" s="2642" t="s">
        <v>2360</v>
      </c>
      <c r="G14" s="2643"/>
      <c r="H14" s="2599"/>
      <c r="I14" s="2600"/>
      <c r="J14" s="3424"/>
      <c r="K14" s="3427"/>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4" t="s">
        <v>2363</v>
      </c>
      <c r="C15" s="3435"/>
      <c r="D15" s="2648">
        <f>ROUND(D6*E15,0)</f>
        <v>0</v>
      </c>
      <c r="E15" s="2649">
        <v>5.5E-2</v>
      </c>
      <c r="F15" s="2642" t="s">
        <v>2364</v>
      </c>
      <c r="G15" s="2624"/>
      <c r="H15" s="2599"/>
      <c r="I15" s="2600"/>
      <c r="J15" s="3424">
        <v>2</v>
      </c>
      <c r="K15" s="3425"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4" t="s">
        <v>2372</v>
      </c>
      <c r="C16" s="3435"/>
      <c r="D16" s="2659">
        <f>D6*E16</f>
        <v>0</v>
      </c>
      <c r="E16" s="2660"/>
      <c r="F16" s="2645" t="s">
        <v>2373</v>
      </c>
      <c r="G16" s="2624"/>
      <c r="H16" s="2599"/>
      <c r="I16" s="2600"/>
      <c r="J16" s="3424"/>
      <c r="K16" s="3426"/>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6" t="s">
        <v>2375</v>
      </c>
      <c r="C17" s="3437"/>
      <c r="D17" s="2662">
        <f>ROUND(D6*E17,0)</f>
        <v>0</v>
      </c>
      <c r="E17" s="2663"/>
      <c r="F17" s="2664" t="s">
        <v>2376</v>
      </c>
      <c r="G17" s="2624"/>
      <c r="H17" s="2599"/>
      <c r="I17" s="2600"/>
      <c r="J17" s="3424"/>
      <c r="K17" s="3426"/>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4"/>
      <c r="K18" s="3426"/>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4"/>
      <c r="K19" s="3427"/>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4">
        <v>3</v>
      </c>
      <c r="K20" s="3425"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4"/>
      <c r="K21" s="3426"/>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4"/>
      <c r="K22" s="3426"/>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4"/>
      <c r="K23" s="3426"/>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4"/>
      <c r="K24" s="3427"/>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8">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30" t="s">
        <v>2308</v>
      </c>
      <c r="K32" s="3431"/>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32" t="s">
        <v>2318</v>
      </c>
      <c r="K33" s="3433"/>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32" t="s">
        <v>2320</v>
      </c>
      <c r="K34" s="343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4">
        <v>1</v>
      </c>
      <c r="K36" s="3425"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4"/>
      <c r="K37" s="3426"/>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4"/>
      <c r="K38" s="3426"/>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4"/>
      <c r="K39" s="3426"/>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4"/>
      <c r="K40" s="3427"/>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8">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106.3425</v>
      </c>
      <c r="C2" s="1728" t="s">
        <v>1651</v>
      </c>
      <c r="D2" s="1729" t="s">
        <v>1652</v>
      </c>
      <c r="E2" s="2392">
        <f>SUM(E6:E13)</f>
        <v>74.16</v>
      </c>
      <c r="F2" s="2479"/>
      <c r="G2" s="458"/>
      <c r="H2" s="458"/>
      <c r="I2" s="458"/>
      <c r="J2" s="458"/>
      <c r="K2" s="458"/>
      <c r="L2" s="458"/>
      <c r="M2" s="458"/>
      <c r="N2" s="458"/>
      <c r="O2" s="458"/>
      <c r="P2" s="458"/>
      <c r="Q2" s="458"/>
      <c r="R2" s="458"/>
      <c r="S2" s="458"/>
    </row>
    <row r="3" spans="1:22" ht="15.75">
      <c r="A3" s="1727" t="s">
        <v>686</v>
      </c>
      <c r="B3" s="2386">
        <f ca="1">ROUND(B2*10000/E2,0)</f>
        <v>14340</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43" t="s">
        <v>1654</v>
      </c>
      <c r="C5" s="3444"/>
      <c r="D5" s="2480"/>
      <c r="E5" s="1730" t="s">
        <v>1655</v>
      </c>
      <c r="F5" s="128" t="s">
        <v>1656</v>
      </c>
      <c r="G5" s="458"/>
      <c r="H5" s="458"/>
      <c r="I5" s="458"/>
      <c r="J5" s="458"/>
      <c r="K5" s="458"/>
      <c r="L5" s="458"/>
      <c r="M5" s="458"/>
      <c r="N5" s="458"/>
      <c r="O5" s="458"/>
      <c r="P5" s="458"/>
      <c r="Q5" s="458"/>
      <c r="R5" s="458"/>
      <c r="S5" s="458"/>
    </row>
    <row r="6" spans="1:22">
      <c r="A6" s="2389" t="str">
        <f>'数据-取费表'!AN6</f>
        <v>收益法 (元)</v>
      </c>
      <c r="B6" s="2387">
        <f ca="1">IF(F6="是",'数据-取费表'!AO6,0)</f>
        <v>106.3425</v>
      </c>
      <c r="C6" s="1728" t="s">
        <v>1651</v>
      </c>
      <c r="D6" s="2479"/>
      <c r="E6" s="2391">
        <f>IF(OR(A6=0,F6="否"),0,'数据-取费表'!K6+'数据-取费表'!S6)</f>
        <v>74.16</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74.16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96" t="s">
        <v>1667</v>
      </c>
      <c r="D4" s="3397"/>
      <c r="E4" s="3398" t="s">
        <v>1668</v>
      </c>
      <c r="F4" s="3399"/>
      <c r="G4" s="3396" t="s">
        <v>1669</v>
      </c>
      <c r="H4" s="3397"/>
      <c r="I4" s="3396" t="s">
        <v>1670</v>
      </c>
      <c r="J4" s="3397"/>
      <c r="K4" s="1743" t="s">
        <v>1671</v>
      </c>
      <c r="L4" s="2486"/>
      <c r="M4" s="2487"/>
      <c r="N4" s="2487"/>
      <c r="O4" s="2487"/>
      <c r="P4" s="3400" t="s">
        <v>1672</v>
      </c>
      <c r="Q4" s="3401"/>
      <c r="R4" s="3406" t="s">
        <v>1668</v>
      </c>
      <c r="S4" s="3407"/>
      <c r="T4" s="3406" t="s">
        <v>1669</v>
      </c>
      <c r="U4" s="3407"/>
      <c r="V4" s="3379" t="s">
        <v>1670</v>
      </c>
      <c r="W4" s="3379"/>
      <c r="X4" s="1264"/>
      <c r="Y4" s="3406" t="s">
        <v>1672</v>
      </c>
      <c r="Z4" s="3407"/>
      <c r="AA4" s="3393" t="s">
        <v>1668</v>
      </c>
      <c r="AB4" s="3393" t="s">
        <v>1669</v>
      </c>
      <c r="AC4" s="3393" t="s">
        <v>1670</v>
      </c>
    </row>
    <row r="5" spans="1:29" ht="15">
      <c r="A5" s="347"/>
      <c r="B5" s="348"/>
      <c r="C5" s="3419" t="s">
        <v>1673</v>
      </c>
      <c r="D5" s="3415"/>
      <c r="E5" s="3445" t="s">
        <v>1674</v>
      </c>
      <c r="F5" s="3423"/>
      <c r="G5" s="3419" t="s">
        <v>1675</v>
      </c>
      <c r="H5" s="3415"/>
      <c r="I5" s="3419" t="s">
        <v>1676</v>
      </c>
      <c r="J5" s="3415"/>
      <c r="K5" s="1744"/>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1744"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416" t="s">
        <v>1680</v>
      </c>
      <c r="Q7" s="3418"/>
      <c r="R7" s="663" t="s">
        <v>20</v>
      </c>
      <c r="S7" s="664">
        <f t="shared" ref="S7:S15" si="0">F7</f>
        <v>0</v>
      </c>
      <c r="T7" s="663" t="s">
        <v>20</v>
      </c>
      <c r="U7" s="664">
        <f t="shared" ref="U7:U15" si="1">H7</f>
        <v>0</v>
      </c>
      <c r="V7" s="663" t="s">
        <v>20</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416" t="s">
        <v>1683</v>
      </c>
      <c r="Q8" s="3417"/>
      <c r="R8" s="663" t="s">
        <v>20</v>
      </c>
      <c r="S8" s="664">
        <f t="shared" si="0"/>
        <v>100</v>
      </c>
      <c r="T8" s="663" t="s">
        <v>20</v>
      </c>
      <c r="U8" s="664">
        <f t="shared" si="1"/>
        <v>100</v>
      </c>
      <c r="V8" s="663" t="s">
        <v>20</v>
      </c>
      <c r="W8" s="664">
        <f t="shared" si="2"/>
        <v>100</v>
      </c>
      <c r="X8" s="665"/>
      <c r="Y8" s="3416" t="s">
        <v>1683</v>
      </c>
      <c r="Z8" s="3417"/>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92"/>
      <c r="Q11" s="529" t="str">
        <f t="shared" si="6"/>
        <v>容积率</v>
      </c>
      <c r="R11" s="663" t="s">
        <v>18</v>
      </c>
      <c r="S11" s="664" t="e">
        <f t="shared" si="0"/>
        <v>#N/A</v>
      </c>
      <c r="T11" s="663" t="s">
        <v>18</v>
      </c>
      <c r="U11" s="664" t="e">
        <f t="shared" si="1"/>
        <v>#N/A</v>
      </c>
      <c r="V11" s="663" t="s">
        <v>18</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92"/>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92"/>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92"/>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383" t="s">
        <v>1691</v>
      </c>
      <c r="Q15" s="1262" t="str">
        <f t="shared" si="6"/>
        <v>居住社区成熟度</v>
      </c>
      <c r="R15" s="666" t="s">
        <v>18</v>
      </c>
      <c r="S15" s="667">
        <f t="shared" si="0"/>
        <v>100</v>
      </c>
      <c r="T15" s="666" t="s">
        <v>18</v>
      </c>
      <c r="U15" s="667">
        <f t="shared" si="1"/>
        <v>100</v>
      </c>
      <c r="V15" s="666" t="s">
        <v>18</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384"/>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384"/>
      <c r="Q17" s="1262" t="str">
        <f>B17</f>
        <v>交通便捷度</v>
      </c>
      <c r="R17" s="666" t="s">
        <v>18</v>
      </c>
      <c r="S17" s="667">
        <f>F17</f>
        <v>100</v>
      </c>
      <c r="T17" s="666" t="s">
        <v>18</v>
      </c>
      <c r="U17" s="667">
        <f>H17</f>
        <v>100</v>
      </c>
      <c r="V17" s="666" t="s">
        <v>18</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384"/>
      <c r="Q18" s="1262"/>
      <c r="R18" s="666"/>
      <c r="S18" s="667"/>
      <c r="T18" s="666"/>
      <c r="U18" s="667"/>
      <c r="V18" s="666"/>
      <c r="W18" s="667"/>
      <c r="X18" s="1264"/>
      <c r="Y18" s="3386"/>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384"/>
      <c r="Q19" s="1262" t="str">
        <f>B19</f>
        <v>公共配套设施</v>
      </c>
      <c r="R19" s="666" t="s">
        <v>18</v>
      </c>
      <c r="S19" s="667">
        <f>F19</f>
        <v>100</v>
      </c>
      <c r="T19" s="666" t="s">
        <v>18</v>
      </c>
      <c r="U19" s="667">
        <f>H19</f>
        <v>100</v>
      </c>
      <c r="V19" s="666" t="s">
        <v>18</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384"/>
      <c r="Q20" s="1262"/>
      <c r="R20" s="666"/>
      <c r="S20" s="667"/>
      <c r="T20" s="666"/>
      <c r="U20" s="667"/>
      <c r="V20" s="666"/>
      <c r="W20" s="667"/>
      <c r="X20" s="1264"/>
      <c r="Y20" s="3386"/>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384"/>
      <c r="Q22" s="1262"/>
      <c r="R22" s="666"/>
      <c r="S22" s="667"/>
      <c r="T22" s="666"/>
      <c r="U22" s="667"/>
      <c r="V22" s="666"/>
      <c r="W22" s="667"/>
      <c r="X22" s="1264"/>
      <c r="Y22" s="3386"/>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384"/>
      <c r="Q23" s="1262" t="str">
        <f>B23</f>
        <v>自然及人文环境</v>
      </c>
      <c r="R23" s="666" t="s">
        <v>18</v>
      </c>
      <c r="S23" s="667">
        <f>F23</f>
        <v>100</v>
      </c>
      <c r="T23" s="666" t="s">
        <v>18</v>
      </c>
      <c r="U23" s="667">
        <f>H23</f>
        <v>100</v>
      </c>
      <c r="V23" s="666" t="s">
        <v>18</v>
      </c>
      <c r="W23" s="667">
        <f>J23</f>
        <v>100</v>
      </c>
      <c r="X23" s="1264"/>
      <c r="Y23" s="3386"/>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384"/>
      <c r="Q24" s="1262"/>
      <c r="R24" s="666"/>
      <c r="S24" s="667"/>
      <c r="T24" s="666"/>
      <c r="U24" s="667"/>
      <c r="V24" s="666"/>
      <c r="W24" s="667"/>
      <c r="X24" s="1264"/>
      <c r="Y24" s="3386"/>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38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384"/>
      <c r="Q26" s="1262" t="str">
        <f t="shared" si="11"/>
        <v>朝向</v>
      </c>
      <c r="R26" s="666" t="s">
        <v>18</v>
      </c>
      <c r="S26" s="667">
        <f t="shared" si="12"/>
        <v>100</v>
      </c>
      <c r="T26" s="666" t="s">
        <v>18</v>
      </c>
      <c r="U26" s="667">
        <f t="shared" si="13"/>
        <v>100</v>
      </c>
      <c r="V26" s="666" t="s">
        <v>18</v>
      </c>
      <c r="W26" s="667">
        <f t="shared" si="14"/>
        <v>100</v>
      </c>
      <c r="X26" s="1264"/>
      <c r="Y26" s="3386"/>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384"/>
      <c r="Q27" s="529">
        <f t="shared" si="11"/>
        <v>111</v>
      </c>
      <c r="R27" s="663" t="s">
        <v>18</v>
      </c>
      <c r="S27" s="664">
        <f t="shared" si="12"/>
        <v>100</v>
      </c>
      <c r="T27" s="663" t="s">
        <v>18</v>
      </c>
      <c r="U27" s="664">
        <f t="shared" si="13"/>
        <v>100</v>
      </c>
      <c r="V27" s="663" t="s">
        <v>18</v>
      </c>
      <c r="W27" s="664">
        <f t="shared" si="14"/>
        <v>100</v>
      </c>
      <c r="X27" s="665"/>
      <c r="Y27" s="3386"/>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384"/>
      <c r="Q28" s="1262">
        <f t="shared" si="11"/>
        <v>111</v>
      </c>
      <c r="R28" s="666" t="s">
        <v>18</v>
      </c>
      <c r="S28" s="667">
        <f t="shared" si="12"/>
        <v>100</v>
      </c>
      <c r="T28" s="666" t="s">
        <v>18</v>
      </c>
      <c r="U28" s="667">
        <f t="shared" si="13"/>
        <v>100</v>
      </c>
      <c r="V28" s="666" t="s">
        <v>18</v>
      </c>
      <c r="W28" s="667">
        <f t="shared" si="14"/>
        <v>100</v>
      </c>
      <c r="X28" s="1264"/>
      <c r="Y28" s="3386"/>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384"/>
      <c r="Q29" s="1262">
        <f t="shared" si="11"/>
        <v>111</v>
      </c>
      <c r="R29" s="666" t="s">
        <v>18</v>
      </c>
      <c r="S29" s="667">
        <f t="shared" si="12"/>
        <v>100</v>
      </c>
      <c r="T29" s="666" t="s">
        <v>18</v>
      </c>
      <c r="U29" s="667">
        <f t="shared" si="13"/>
        <v>100</v>
      </c>
      <c r="V29" s="666" t="s">
        <v>18</v>
      </c>
      <c r="W29" s="667">
        <f t="shared" si="14"/>
        <v>100</v>
      </c>
      <c r="X29" s="1264"/>
      <c r="Y29" s="3386"/>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384"/>
      <c r="Q30" s="1262">
        <f t="shared" si="11"/>
        <v>111</v>
      </c>
      <c r="R30" s="666" t="s">
        <v>18</v>
      </c>
      <c r="S30" s="667">
        <f t="shared" si="12"/>
        <v>100</v>
      </c>
      <c r="T30" s="666" t="s">
        <v>18</v>
      </c>
      <c r="U30" s="667">
        <f t="shared" si="13"/>
        <v>100</v>
      </c>
      <c r="V30" s="666" t="s">
        <v>18</v>
      </c>
      <c r="W30" s="667">
        <f t="shared" si="14"/>
        <v>100</v>
      </c>
      <c r="X30" s="1264"/>
      <c r="Y30" s="3386"/>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384"/>
      <c r="Q31" s="1262">
        <f t="shared" si="11"/>
        <v>111</v>
      </c>
      <c r="R31" s="666" t="s">
        <v>18</v>
      </c>
      <c r="S31" s="667">
        <f t="shared" si="12"/>
        <v>100</v>
      </c>
      <c r="T31" s="666" t="s">
        <v>18</v>
      </c>
      <c r="U31" s="667">
        <f t="shared" si="13"/>
        <v>100</v>
      </c>
      <c r="V31" s="666" t="s">
        <v>18</v>
      </c>
      <c r="W31" s="667">
        <f t="shared" si="14"/>
        <v>100</v>
      </c>
      <c r="X31" s="1264"/>
      <c r="Y31" s="3386"/>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387" t="s">
        <v>1696</v>
      </c>
      <c r="Q32" s="1262" t="str">
        <f t="shared" si="11"/>
        <v>建筑类型</v>
      </c>
      <c r="R32" s="666" t="s">
        <v>18</v>
      </c>
      <c r="S32" s="667">
        <f t="shared" si="12"/>
        <v>100</v>
      </c>
      <c r="T32" s="666" t="s">
        <v>18</v>
      </c>
      <c r="U32" s="667">
        <f t="shared" si="13"/>
        <v>100</v>
      </c>
      <c r="V32" s="666" t="s">
        <v>18</v>
      </c>
      <c r="W32" s="667">
        <f t="shared" si="14"/>
        <v>100</v>
      </c>
      <c r="X32" s="1264"/>
      <c r="Y32" s="3390"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388"/>
      <c r="Q33" s="530" t="str">
        <f t="shared" si="11"/>
        <v>项目建筑规模</v>
      </c>
      <c r="R33" s="668" t="s">
        <v>18</v>
      </c>
      <c r="S33" s="669" t="e">
        <f t="shared" si="12"/>
        <v>#N/A</v>
      </c>
      <c r="T33" s="668" t="s">
        <v>18</v>
      </c>
      <c r="U33" s="669" t="e">
        <f t="shared" si="13"/>
        <v>#N/A</v>
      </c>
      <c r="V33" s="668" t="s">
        <v>18</v>
      </c>
      <c r="W33" s="669" t="e">
        <f t="shared" si="14"/>
        <v>#N/A</v>
      </c>
      <c r="X33" s="670"/>
      <c r="Y33" s="3390"/>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388"/>
      <c r="Q34" s="1262" t="str">
        <f t="shared" si="11"/>
        <v>建筑结构</v>
      </c>
      <c r="R34" s="666" t="s">
        <v>18</v>
      </c>
      <c r="S34" s="667">
        <f t="shared" si="12"/>
        <v>100</v>
      </c>
      <c r="T34" s="666" t="s">
        <v>18</v>
      </c>
      <c r="U34" s="667">
        <f t="shared" si="13"/>
        <v>100</v>
      </c>
      <c r="V34" s="666" t="s">
        <v>18</v>
      </c>
      <c r="W34" s="667">
        <f t="shared" si="14"/>
        <v>100</v>
      </c>
      <c r="X34" s="1264"/>
      <c r="Y34" s="3390"/>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388"/>
      <c r="Q35" s="1262" t="str">
        <f t="shared" si="11"/>
        <v>建筑品质</v>
      </c>
      <c r="R35" s="666" t="s">
        <v>18</v>
      </c>
      <c r="S35" s="667">
        <f t="shared" si="12"/>
        <v>100</v>
      </c>
      <c r="T35" s="666" t="s">
        <v>18</v>
      </c>
      <c r="U35" s="667">
        <f t="shared" si="13"/>
        <v>100</v>
      </c>
      <c r="V35" s="666" t="s">
        <v>18</v>
      </c>
      <c r="W35" s="667">
        <f t="shared" si="14"/>
        <v>100</v>
      </c>
      <c r="X35" s="1264"/>
      <c r="Y35" s="3390"/>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388"/>
      <c r="Q36" s="1262" t="str">
        <f t="shared" si="11"/>
        <v>公共部分装修</v>
      </c>
      <c r="R36" s="666" t="s">
        <v>18</v>
      </c>
      <c r="S36" s="667">
        <f t="shared" si="12"/>
        <v>100</v>
      </c>
      <c r="T36" s="666" t="s">
        <v>18</v>
      </c>
      <c r="U36" s="667">
        <f t="shared" si="13"/>
        <v>100</v>
      </c>
      <c r="V36" s="666" t="s">
        <v>18</v>
      </c>
      <c r="W36" s="667">
        <f t="shared" si="14"/>
        <v>100</v>
      </c>
      <c r="X36" s="1264"/>
      <c r="Y36" s="3390"/>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388"/>
      <c r="Q37" s="529" t="str">
        <f t="shared" si="11"/>
        <v>成新度</v>
      </c>
      <c r="R37" s="663" t="s">
        <v>18</v>
      </c>
      <c r="S37" s="664" t="e">
        <f t="shared" si="12"/>
        <v>#N/A</v>
      </c>
      <c r="T37" s="663" t="s">
        <v>18</v>
      </c>
      <c r="U37" s="664" t="e">
        <f t="shared" si="13"/>
        <v>#N/A</v>
      </c>
      <c r="V37" s="663" t="s">
        <v>18</v>
      </c>
      <c r="W37" s="664" t="e">
        <f t="shared" si="14"/>
        <v>#N/A</v>
      </c>
      <c r="X37" s="665"/>
      <c r="Y37" s="3390"/>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388" t="s">
        <v>1696</v>
      </c>
      <c r="Q38" s="1262" t="str">
        <f t="shared" si="11"/>
        <v>物业管理</v>
      </c>
      <c r="R38" s="666" t="s">
        <v>18</v>
      </c>
      <c r="S38" s="667">
        <f t="shared" si="12"/>
        <v>100</v>
      </c>
      <c r="T38" s="666" t="s">
        <v>18</v>
      </c>
      <c r="U38" s="667">
        <f t="shared" si="13"/>
        <v>100</v>
      </c>
      <c r="V38" s="666" t="s">
        <v>18</v>
      </c>
      <c r="W38" s="667">
        <f t="shared" si="14"/>
        <v>100</v>
      </c>
      <c r="X38" s="1264"/>
      <c r="Y38" s="3390"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388"/>
      <c r="Q39" s="1262" t="str">
        <f t="shared" si="11"/>
        <v>市政基础设施</v>
      </c>
      <c r="R39" s="666" t="s">
        <v>18</v>
      </c>
      <c r="S39" s="667">
        <f t="shared" si="12"/>
        <v>100</v>
      </c>
      <c r="T39" s="666" t="s">
        <v>18</v>
      </c>
      <c r="U39" s="667">
        <f t="shared" si="13"/>
        <v>100</v>
      </c>
      <c r="V39" s="666" t="s">
        <v>18</v>
      </c>
      <c r="W39" s="667">
        <f t="shared" si="14"/>
        <v>100</v>
      </c>
      <c r="X39" s="1264"/>
      <c r="Y39" s="3390"/>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388"/>
      <c r="Q40" s="1262" t="str">
        <f t="shared" si="11"/>
        <v>房型</v>
      </c>
      <c r="R40" s="666" t="s">
        <v>18</v>
      </c>
      <c r="S40" s="667">
        <f t="shared" si="12"/>
        <v>100</v>
      </c>
      <c r="T40" s="666" t="s">
        <v>18</v>
      </c>
      <c r="U40" s="667">
        <f t="shared" si="13"/>
        <v>100</v>
      </c>
      <c r="V40" s="666" t="s">
        <v>18</v>
      </c>
      <c r="W40" s="667">
        <f t="shared" si="14"/>
        <v>100</v>
      </c>
      <c r="X40" s="1264"/>
      <c r="Y40" s="3390"/>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388"/>
      <c r="Q41" s="530" t="str">
        <f t="shared" si="11"/>
        <v>单套/主力户型建筑面积</v>
      </c>
      <c r="R41" s="668" t="s">
        <v>18</v>
      </c>
      <c r="S41" s="669">
        <f t="shared" si="12"/>
        <v>100</v>
      </c>
      <c r="T41" s="668" t="s">
        <v>18</v>
      </c>
      <c r="U41" s="669">
        <f t="shared" si="13"/>
        <v>100</v>
      </c>
      <c r="V41" s="668" t="s">
        <v>18</v>
      </c>
      <c r="W41" s="669">
        <f t="shared" si="14"/>
        <v>100</v>
      </c>
      <c r="X41" s="670"/>
      <c r="Y41" s="3390"/>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388"/>
      <c r="Q42" s="1262" t="str">
        <f t="shared" si="11"/>
        <v>内部装修</v>
      </c>
      <c r="R42" s="666" t="s">
        <v>18</v>
      </c>
      <c r="S42" s="667">
        <f t="shared" si="12"/>
        <v>100</v>
      </c>
      <c r="T42" s="666" t="s">
        <v>18</v>
      </c>
      <c r="U42" s="667">
        <f t="shared" si="13"/>
        <v>100</v>
      </c>
      <c r="V42" s="666" t="s">
        <v>18</v>
      </c>
      <c r="W42" s="667">
        <f t="shared" si="14"/>
        <v>100</v>
      </c>
      <c r="X42" s="1264"/>
      <c r="Y42" s="3390"/>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388"/>
      <c r="Q43" s="1262" t="str">
        <f t="shared" si="11"/>
        <v>内部装修维护情况</v>
      </c>
      <c r="R43" s="666" t="s">
        <v>18</v>
      </c>
      <c r="S43" s="667">
        <f t="shared" si="12"/>
        <v>100</v>
      </c>
      <c r="T43" s="666" t="s">
        <v>18</v>
      </c>
      <c r="U43" s="667">
        <f t="shared" si="13"/>
        <v>100</v>
      </c>
      <c r="V43" s="666" t="s">
        <v>18</v>
      </c>
      <c r="W43" s="667">
        <f t="shared" si="14"/>
        <v>100</v>
      </c>
      <c r="X43" s="1264"/>
      <c r="Y43" s="3390"/>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388"/>
      <c r="Q44" s="529">
        <f t="shared" si="11"/>
        <v>111</v>
      </c>
      <c r="R44" s="663" t="s">
        <v>18</v>
      </c>
      <c r="S44" s="664">
        <f t="shared" si="12"/>
        <v>100</v>
      </c>
      <c r="T44" s="663" t="s">
        <v>18</v>
      </c>
      <c r="U44" s="664">
        <f t="shared" si="13"/>
        <v>100</v>
      </c>
      <c r="V44" s="663" t="s">
        <v>18</v>
      </c>
      <c r="W44" s="664">
        <f t="shared" si="14"/>
        <v>100</v>
      </c>
      <c r="X44" s="665"/>
      <c r="Y44" s="3390"/>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388"/>
      <c r="Q45" s="1262">
        <f t="shared" si="11"/>
        <v>111</v>
      </c>
      <c r="R45" s="666" t="s">
        <v>18</v>
      </c>
      <c r="S45" s="667">
        <f t="shared" si="12"/>
        <v>100</v>
      </c>
      <c r="T45" s="666" t="s">
        <v>18</v>
      </c>
      <c r="U45" s="667">
        <f t="shared" si="13"/>
        <v>100</v>
      </c>
      <c r="V45" s="666" t="s">
        <v>18</v>
      </c>
      <c r="W45" s="667">
        <f t="shared" si="14"/>
        <v>100</v>
      </c>
      <c r="X45" s="1264"/>
      <c r="Y45" s="3390"/>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389"/>
      <c r="Q46" s="1262">
        <f t="shared" si="11"/>
        <v>111</v>
      </c>
      <c r="R46" s="666" t="s">
        <v>17</v>
      </c>
      <c r="S46" s="667">
        <f t="shared" si="12"/>
        <v>100</v>
      </c>
      <c r="T46" s="666" t="s">
        <v>17</v>
      </c>
      <c r="U46" s="667">
        <f t="shared" si="13"/>
        <v>100</v>
      </c>
      <c r="V46" s="666" t="s">
        <v>17</v>
      </c>
      <c r="W46" s="667">
        <f t="shared" si="14"/>
        <v>100</v>
      </c>
      <c r="X46" s="1264"/>
      <c r="Y46" s="3391"/>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78" t="str">
        <f>A47</f>
        <v>成交单价（元/平方米）</v>
      </c>
      <c r="Q47" s="3378"/>
      <c r="R47" s="3379">
        <f>E47</f>
        <v>0</v>
      </c>
      <c r="S47" s="3379"/>
      <c r="T47" s="3379">
        <f>G47</f>
        <v>0</v>
      </c>
      <c r="U47" s="3379"/>
      <c r="V47" s="3379">
        <f>I47</f>
        <v>0</v>
      </c>
      <c r="W47" s="3379"/>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估价对象为房地产，为所有。根据《国有土地使用证》[]，估价对象（分摊）出让国有建设用地使用权面积为0平方米，建筑面积为74.16平方米。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估价对象为房地产,属开发建设的，该项目尚在开发建设中。根据《国有土地使用证》[]，估价对象（分摊）出让国有建设用地使用权面积为0平方米，规划建筑面积为74.16平方米。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2025年10月20日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74.16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52" t="s">
        <v>1775</v>
      </c>
      <c r="Q4" s="3453"/>
      <c r="R4" s="3456" t="s">
        <v>1771</v>
      </c>
      <c r="S4" s="3457"/>
      <c r="T4" s="3456" t="s">
        <v>1772</v>
      </c>
      <c r="U4" s="3457"/>
      <c r="V4" s="3458" t="s">
        <v>1773</v>
      </c>
      <c r="W4" s="3458"/>
      <c r="X4" s="1808"/>
      <c r="Y4" s="3456" t="s">
        <v>1775</v>
      </c>
      <c r="Z4" s="3457"/>
      <c r="AA4" s="3460" t="s">
        <v>1771</v>
      </c>
      <c r="AB4" s="3460" t="s">
        <v>1772</v>
      </c>
      <c r="AC4" s="3449" t="s">
        <v>1773</v>
      </c>
    </row>
    <row r="5" spans="1:29" ht="15">
      <c r="A5" s="347"/>
      <c r="B5" s="348"/>
      <c r="C5" s="3419" t="s">
        <v>1673</v>
      </c>
      <c r="D5" s="3415"/>
      <c r="E5" s="3445" t="s">
        <v>1674</v>
      </c>
      <c r="F5" s="3423"/>
      <c r="G5" s="3419" t="s">
        <v>1675</v>
      </c>
      <c r="H5" s="3415"/>
      <c r="I5" s="3419" t="s">
        <v>1676</v>
      </c>
      <c r="J5" s="3415"/>
      <c r="K5" s="536"/>
      <c r="L5" s="2486"/>
      <c r="M5" s="2487"/>
      <c r="N5" s="2487"/>
      <c r="O5" s="2487"/>
      <c r="P5" s="3454"/>
      <c r="Q5" s="3403"/>
      <c r="R5" s="3408"/>
      <c r="S5" s="3409"/>
      <c r="T5" s="3408"/>
      <c r="U5" s="3409"/>
      <c r="V5" s="3379"/>
      <c r="W5" s="3379"/>
      <c r="X5" s="1264"/>
      <c r="Y5" s="3408"/>
      <c r="Z5" s="3409"/>
      <c r="AA5" s="3394"/>
      <c r="AB5" s="3394"/>
      <c r="AC5" s="3450"/>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55"/>
      <c r="Q6" s="3405"/>
      <c r="R6" s="3408"/>
      <c r="S6" s="3409"/>
      <c r="T6" s="3410"/>
      <c r="U6" s="3411"/>
      <c r="V6" s="3379"/>
      <c r="W6" s="3379"/>
      <c r="X6" s="1264"/>
      <c r="Y6" s="3410"/>
      <c r="Z6" s="3411"/>
      <c r="AA6" s="3395"/>
      <c r="AB6" s="3395"/>
      <c r="AC6" s="3451"/>
    </row>
    <row r="7" spans="1:29" s="102" customFormat="1" ht="15.75" thickBot="1">
      <c r="A7" s="351" t="s">
        <v>1679</v>
      </c>
      <c r="B7" s="352"/>
      <c r="C7" s="353">
        <f>'数据-取费表'!B2</f>
        <v>45950</v>
      </c>
      <c r="D7" s="354">
        <v>100</v>
      </c>
      <c r="E7" s="355"/>
      <c r="F7" s="356">
        <f>SUMIF(59:59,YEAR(E7)&amp;"-"&amp;MONTH(E7),60:60)</f>
        <v>0</v>
      </c>
      <c r="G7" s="355"/>
      <c r="H7" s="354">
        <f>SUMIF(59:59,YEAR(G7)&amp;"-"&amp;MONTH(G7),60:60)</f>
        <v>0</v>
      </c>
      <c r="I7" s="355"/>
      <c r="J7" s="354">
        <f>SUMIF(59:59,YEAR(I7)&amp;"-"&amp;MONTH(I7),60:60)</f>
        <v>0</v>
      </c>
      <c r="K7" s="38"/>
      <c r="L7" s="2488"/>
      <c r="M7" s="2439"/>
      <c r="N7" s="2439"/>
      <c r="O7" s="2439"/>
      <c r="P7" s="3459"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8"/>
      <c r="M8" s="2439"/>
      <c r="N8" s="2439"/>
      <c r="O8" s="2439"/>
      <c r="P8" s="3459" t="s">
        <v>1683</v>
      </c>
      <c r="Q8" s="3417"/>
      <c r="R8" s="663" t="s">
        <v>14</v>
      </c>
      <c r="S8" s="664">
        <f t="shared" si="0"/>
        <v>100</v>
      </c>
      <c r="T8" s="663" t="s">
        <v>14</v>
      </c>
      <c r="U8" s="664">
        <f t="shared" si="1"/>
        <v>100</v>
      </c>
      <c r="V8" s="663" t="s">
        <v>14</v>
      </c>
      <c r="W8" s="664">
        <f t="shared" si="2"/>
        <v>100</v>
      </c>
      <c r="X8" s="665"/>
      <c r="Y8" s="3416" t="s">
        <v>1683</v>
      </c>
      <c r="Z8" s="3417"/>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8"/>
      <c r="M9" s="2439"/>
      <c r="N9" s="2439"/>
      <c r="O9" s="2439"/>
      <c r="P9" s="339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8"/>
      <c r="L10" s="2489"/>
      <c r="M10" s="2490"/>
      <c r="N10" s="2490"/>
      <c r="O10" s="2490"/>
      <c r="P10" s="339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9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9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9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9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383" t="s">
        <v>1691</v>
      </c>
      <c r="Q15" s="1262" t="str">
        <f t="shared" si="6"/>
        <v>办公集聚程度</v>
      </c>
      <c r="R15" s="666" t="s">
        <v>14</v>
      </c>
      <c r="S15" s="667">
        <f t="shared" si="0"/>
        <v>100</v>
      </c>
      <c r="T15" s="666" t="s">
        <v>14</v>
      </c>
      <c r="U15" s="667">
        <f t="shared" si="1"/>
        <v>100</v>
      </c>
      <c r="V15" s="666" t="s">
        <v>14</v>
      </c>
      <c r="W15" s="667">
        <f t="shared" si="2"/>
        <v>100</v>
      </c>
      <c r="X15" s="1264"/>
      <c r="Y15" s="3385"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384"/>
      <c r="Q16" s="1262"/>
      <c r="R16" s="666"/>
      <c r="S16" s="667"/>
      <c r="T16" s="666"/>
      <c r="U16" s="667"/>
      <c r="V16" s="666"/>
      <c r="W16" s="667"/>
      <c r="X16" s="1264"/>
      <c r="Y16" s="3386"/>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384"/>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384"/>
      <c r="Q18" s="1262"/>
      <c r="R18" s="666"/>
      <c r="S18" s="667"/>
      <c r="T18" s="666"/>
      <c r="U18" s="667"/>
      <c r="V18" s="666"/>
      <c r="W18" s="667"/>
      <c r="X18" s="1264"/>
      <c r="Y18" s="3386"/>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384"/>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384"/>
      <c r="Q20" s="1262"/>
      <c r="R20" s="666"/>
      <c r="S20" s="667"/>
      <c r="T20" s="666"/>
      <c r="U20" s="667"/>
      <c r="V20" s="666"/>
      <c r="W20" s="667"/>
      <c r="X20" s="1264"/>
      <c r="Y20" s="3386"/>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384"/>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384"/>
      <c r="Q22" s="1262"/>
      <c r="R22" s="666"/>
      <c r="S22" s="667"/>
      <c r="T22" s="666"/>
      <c r="U22" s="667"/>
      <c r="V22" s="666"/>
      <c r="W22" s="667"/>
      <c r="X22" s="1264"/>
      <c r="Y22" s="3386"/>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384"/>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384"/>
      <c r="Q24" s="1262"/>
      <c r="R24" s="666"/>
      <c r="S24" s="667"/>
      <c r="T24" s="666"/>
      <c r="U24" s="667"/>
      <c r="V24" s="666"/>
      <c r="W24" s="667"/>
      <c r="X24" s="1264"/>
      <c r="Y24" s="3386"/>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384"/>
      <c r="Q25" s="1262" t="str">
        <f>B25</f>
        <v>毗邻道路的类型与等级</v>
      </c>
      <c r="R25" s="666" t="s">
        <v>14</v>
      </c>
      <c r="S25" s="667">
        <f>F25</f>
        <v>100</v>
      </c>
      <c r="T25" s="666" t="s">
        <v>14</v>
      </c>
      <c r="U25" s="667">
        <f>H25</f>
        <v>100</v>
      </c>
      <c r="V25" s="666" t="s">
        <v>14</v>
      </c>
      <c r="W25" s="667">
        <f>J25</f>
        <v>100</v>
      </c>
      <c r="X25" s="1264"/>
      <c r="Y25" s="3386"/>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384"/>
      <c r="Q26" s="1262"/>
      <c r="R26" s="666"/>
      <c r="S26" s="667"/>
      <c r="T26" s="666"/>
      <c r="U26" s="667"/>
      <c r="V26" s="666"/>
      <c r="W26" s="667"/>
      <c r="X26" s="1264"/>
      <c r="Y26" s="3386"/>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384"/>
      <c r="Q27" s="1262" t="str">
        <f t="shared" ref="Q27:Q47" si="11">B27</f>
        <v>楼层</v>
      </c>
      <c r="R27" s="666" t="s">
        <v>14</v>
      </c>
      <c r="S27" s="667">
        <f>F27</f>
        <v>100</v>
      </c>
      <c r="T27" s="666" t="s">
        <v>14</v>
      </c>
      <c r="U27" s="667">
        <f>H27</f>
        <v>100</v>
      </c>
      <c r="V27" s="666" t="s">
        <v>14</v>
      </c>
      <c r="W27" s="667">
        <f>J27</f>
        <v>100</v>
      </c>
      <c r="X27" s="1264"/>
      <c r="Y27" s="3386"/>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384"/>
      <c r="Q28" s="529" t="str">
        <f t="shared" si="11"/>
        <v>朝向</v>
      </c>
      <c r="R28" s="663" t="s">
        <v>14</v>
      </c>
      <c r="S28" s="664">
        <f>F28</f>
        <v>100</v>
      </c>
      <c r="T28" s="663" t="s">
        <v>14</v>
      </c>
      <c r="U28" s="664">
        <f>H28</f>
        <v>100</v>
      </c>
      <c r="V28" s="663" t="s">
        <v>14</v>
      </c>
      <c r="W28" s="664">
        <f>J28</f>
        <v>100</v>
      </c>
      <c r="X28" s="665"/>
      <c r="Y28" s="3386"/>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384"/>
      <c r="Q29" s="1262">
        <f t="shared" si="11"/>
        <v>111</v>
      </c>
      <c r="R29" s="666" t="s">
        <v>14</v>
      </c>
      <c r="S29" s="667">
        <f t="shared" ref="S29:S47" si="12">F29</f>
        <v>100</v>
      </c>
      <c r="T29" s="666" t="s">
        <v>14</v>
      </c>
      <c r="U29" s="667">
        <f t="shared" ref="U29:U47" si="13">H29</f>
        <v>100</v>
      </c>
      <c r="V29" s="666" t="s">
        <v>14</v>
      </c>
      <c r="W29" s="667">
        <f t="shared" ref="W29:W47" si="14">J29</f>
        <v>100</v>
      </c>
      <c r="X29" s="1264"/>
      <c r="Y29" s="3386"/>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384"/>
      <c r="Q30" s="1262">
        <f t="shared" si="11"/>
        <v>111</v>
      </c>
      <c r="R30" s="666" t="s">
        <v>14</v>
      </c>
      <c r="S30" s="667">
        <f t="shared" si="12"/>
        <v>100</v>
      </c>
      <c r="T30" s="666" t="s">
        <v>14</v>
      </c>
      <c r="U30" s="667">
        <f t="shared" si="13"/>
        <v>100</v>
      </c>
      <c r="V30" s="666" t="s">
        <v>14</v>
      </c>
      <c r="W30" s="667">
        <f t="shared" si="14"/>
        <v>100</v>
      </c>
      <c r="X30" s="1264"/>
      <c r="Y30" s="3386"/>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384"/>
      <c r="Q31" s="1262">
        <f t="shared" si="11"/>
        <v>111</v>
      </c>
      <c r="R31" s="666" t="s">
        <v>14</v>
      </c>
      <c r="S31" s="667">
        <f t="shared" si="12"/>
        <v>100</v>
      </c>
      <c r="T31" s="666" t="s">
        <v>14</v>
      </c>
      <c r="U31" s="667">
        <f t="shared" si="13"/>
        <v>100</v>
      </c>
      <c r="V31" s="666" t="s">
        <v>14</v>
      </c>
      <c r="W31" s="667">
        <f t="shared" si="14"/>
        <v>100</v>
      </c>
      <c r="X31" s="1264"/>
      <c r="Y31" s="3386"/>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384"/>
      <c r="Q32" s="1262">
        <f t="shared" si="11"/>
        <v>111</v>
      </c>
      <c r="R32" s="666" t="s">
        <v>14</v>
      </c>
      <c r="S32" s="667">
        <f t="shared" si="12"/>
        <v>100</v>
      </c>
      <c r="T32" s="666" t="s">
        <v>14</v>
      </c>
      <c r="U32" s="667">
        <f t="shared" si="13"/>
        <v>100</v>
      </c>
      <c r="V32" s="666" t="s">
        <v>14</v>
      </c>
      <c r="W32" s="667">
        <f t="shared" si="14"/>
        <v>100</v>
      </c>
      <c r="X32" s="1264"/>
      <c r="Y32" s="3386"/>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387" t="s">
        <v>1696</v>
      </c>
      <c r="Q33" s="1262" t="str">
        <f t="shared" si="11"/>
        <v>建筑类型</v>
      </c>
      <c r="R33" s="666" t="s">
        <v>14</v>
      </c>
      <c r="S33" s="667">
        <f t="shared" si="12"/>
        <v>100</v>
      </c>
      <c r="T33" s="666" t="s">
        <v>14</v>
      </c>
      <c r="U33" s="667">
        <f t="shared" si="13"/>
        <v>100</v>
      </c>
      <c r="V33" s="666" t="s">
        <v>14</v>
      </c>
      <c r="W33" s="667">
        <f t="shared" si="14"/>
        <v>100</v>
      </c>
      <c r="X33" s="1264"/>
      <c r="Y33" s="3390"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388"/>
      <c r="Q34" s="530" t="str">
        <f t="shared" si="11"/>
        <v>项目建筑规模</v>
      </c>
      <c r="R34" s="668" t="s">
        <v>14</v>
      </c>
      <c r="S34" s="669" t="e">
        <f t="shared" si="12"/>
        <v>#N/A</v>
      </c>
      <c r="T34" s="668" t="s">
        <v>14</v>
      </c>
      <c r="U34" s="669" t="e">
        <f t="shared" si="13"/>
        <v>#N/A</v>
      </c>
      <c r="V34" s="668" t="s">
        <v>14</v>
      </c>
      <c r="W34" s="669" t="e">
        <f t="shared" si="14"/>
        <v>#N/A</v>
      </c>
      <c r="X34" s="670"/>
      <c r="Y34" s="3390"/>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388"/>
      <c r="Q35" s="1262" t="str">
        <f t="shared" si="11"/>
        <v>建筑结构</v>
      </c>
      <c r="R35" s="666" t="s">
        <v>14</v>
      </c>
      <c r="S35" s="667">
        <f t="shared" si="12"/>
        <v>100</v>
      </c>
      <c r="T35" s="666" t="s">
        <v>14</v>
      </c>
      <c r="U35" s="667">
        <f t="shared" si="13"/>
        <v>100</v>
      </c>
      <c r="V35" s="666" t="s">
        <v>14</v>
      </c>
      <c r="W35" s="667">
        <f t="shared" si="14"/>
        <v>100</v>
      </c>
      <c r="X35" s="1264"/>
      <c r="Y35" s="3390"/>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388"/>
      <c r="Q36" s="1262" t="str">
        <f t="shared" si="11"/>
        <v>公共部分装修</v>
      </c>
      <c r="R36" s="666" t="s">
        <v>14</v>
      </c>
      <c r="S36" s="667">
        <f t="shared" si="12"/>
        <v>100</v>
      </c>
      <c r="T36" s="666" t="s">
        <v>14</v>
      </c>
      <c r="U36" s="667">
        <f t="shared" si="13"/>
        <v>100</v>
      </c>
      <c r="V36" s="666" t="s">
        <v>14</v>
      </c>
      <c r="W36" s="667">
        <f t="shared" si="14"/>
        <v>100</v>
      </c>
      <c r="X36" s="1264"/>
      <c r="Y36" s="3390"/>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388"/>
      <c r="Q37" s="1262" t="str">
        <f t="shared" si="11"/>
        <v>成新度</v>
      </c>
      <c r="R37" s="666" t="s">
        <v>14</v>
      </c>
      <c r="S37" s="667" t="e">
        <f t="shared" si="12"/>
        <v>#N/A</v>
      </c>
      <c r="T37" s="666" t="s">
        <v>14</v>
      </c>
      <c r="U37" s="667" t="e">
        <f t="shared" si="13"/>
        <v>#N/A</v>
      </c>
      <c r="V37" s="666" t="s">
        <v>14</v>
      </c>
      <c r="W37" s="667" t="e">
        <f t="shared" si="14"/>
        <v>#N/A</v>
      </c>
      <c r="X37" s="1264"/>
      <c r="Y37" s="3390"/>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388"/>
      <c r="Q38" s="529" t="str">
        <f t="shared" si="11"/>
        <v>写字楼等级</v>
      </c>
      <c r="R38" s="663" t="s">
        <v>14</v>
      </c>
      <c r="S38" s="664">
        <f t="shared" si="12"/>
        <v>100</v>
      </c>
      <c r="T38" s="663" t="s">
        <v>14</v>
      </c>
      <c r="U38" s="664">
        <f t="shared" si="13"/>
        <v>100</v>
      </c>
      <c r="V38" s="663" t="s">
        <v>14</v>
      </c>
      <c r="W38" s="664">
        <f t="shared" si="14"/>
        <v>100</v>
      </c>
      <c r="X38" s="665"/>
      <c r="Y38" s="3390"/>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388" t="s">
        <v>1696</v>
      </c>
      <c r="Q39" s="1262" t="str">
        <f t="shared" si="11"/>
        <v>物业管理</v>
      </c>
      <c r="R39" s="666" t="s">
        <v>14</v>
      </c>
      <c r="S39" s="667">
        <f t="shared" si="12"/>
        <v>100</v>
      </c>
      <c r="T39" s="666" t="s">
        <v>14</v>
      </c>
      <c r="U39" s="667">
        <f t="shared" si="13"/>
        <v>100</v>
      </c>
      <c r="V39" s="666" t="s">
        <v>14</v>
      </c>
      <c r="W39" s="667">
        <f t="shared" si="14"/>
        <v>100</v>
      </c>
      <c r="X39" s="1264"/>
      <c r="Y39" s="3390"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388"/>
      <c r="Q40" s="1262" t="str">
        <f t="shared" si="11"/>
        <v>市政基础设施</v>
      </c>
      <c r="R40" s="666" t="s">
        <v>14</v>
      </c>
      <c r="S40" s="667">
        <f t="shared" si="12"/>
        <v>100</v>
      </c>
      <c r="T40" s="666" t="s">
        <v>14</v>
      </c>
      <c r="U40" s="667">
        <f t="shared" si="13"/>
        <v>100</v>
      </c>
      <c r="V40" s="666" t="s">
        <v>14</v>
      </c>
      <c r="W40" s="667">
        <f t="shared" si="14"/>
        <v>100</v>
      </c>
      <c r="X40" s="1264"/>
      <c r="Y40" s="3390"/>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388"/>
      <c r="Q41" s="1262" t="str">
        <f t="shared" si="11"/>
        <v>层高</v>
      </c>
      <c r="R41" s="666" t="s">
        <v>14</v>
      </c>
      <c r="S41" s="667">
        <f t="shared" si="12"/>
        <v>100</v>
      </c>
      <c r="T41" s="666" t="s">
        <v>14</v>
      </c>
      <c r="U41" s="667">
        <f t="shared" si="13"/>
        <v>100</v>
      </c>
      <c r="V41" s="666" t="s">
        <v>14</v>
      </c>
      <c r="W41" s="667">
        <f t="shared" si="14"/>
        <v>100</v>
      </c>
      <c r="X41" s="1264"/>
      <c r="Y41" s="3390"/>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388"/>
      <c r="Q42" s="530" t="str">
        <f t="shared" si="11"/>
        <v>单套建筑面积</v>
      </c>
      <c r="R42" s="668" t="s">
        <v>14</v>
      </c>
      <c r="S42" s="669">
        <f t="shared" si="12"/>
        <v>100</v>
      </c>
      <c r="T42" s="668" t="s">
        <v>14</v>
      </c>
      <c r="U42" s="669">
        <f t="shared" si="13"/>
        <v>100</v>
      </c>
      <c r="V42" s="668" t="s">
        <v>14</v>
      </c>
      <c r="W42" s="669">
        <f t="shared" si="14"/>
        <v>100</v>
      </c>
      <c r="X42" s="670"/>
      <c r="Y42" s="3390"/>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388"/>
      <c r="Q43" s="1262" t="str">
        <f t="shared" si="11"/>
        <v>内部装修</v>
      </c>
      <c r="R43" s="666" t="s">
        <v>14</v>
      </c>
      <c r="S43" s="667">
        <f t="shared" si="12"/>
        <v>100</v>
      </c>
      <c r="T43" s="666" t="s">
        <v>14</v>
      </c>
      <c r="U43" s="667">
        <f t="shared" si="13"/>
        <v>100</v>
      </c>
      <c r="V43" s="666" t="s">
        <v>14</v>
      </c>
      <c r="W43" s="667">
        <f t="shared" si="14"/>
        <v>100</v>
      </c>
      <c r="X43" s="1264"/>
      <c r="Y43" s="3390"/>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388"/>
      <c r="Q44" s="1262" t="str">
        <f t="shared" si="11"/>
        <v>内部装修维护情况</v>
      </c>
      <c r="R44" s="666" t="s">
        <v>14</v>
      </c>
      <c r="S44" s="667">
        <f t="shared" si="12"/>
        <v>100</v>
      </c>
      <c r="T44" s="666" t="s">
        <v>14</v>
      </c>
      <c r="U44" s="667">
        <f t="shared" si="13"/>
        <v>100</v>
      </c>
      <c r="V44" s="666" t="s">
        <v>14</v>
      </c>
      <c r="W44" s="667">
        <f t="shared" si="14"/>
        <v>100</v>
      </c>
      <c r="X44" s="1264"/>
      <c r="Y44" s="3390"/>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388"/>
      <c r="Q45" s="529">
        <f t="shared" si="11"/>
        <v>111</v>
      </c>
      <c r="R45" s="663" t="s">
        <v>14</v>
      </c>
      <c r="S45" s="664">
        <f t="shared" si="12"/>
        <v>100</v>
      </c>
      <c r="T45" s="663" t="s">
        <v>14</v>
      </c>
      <c r="U45" s="664">
        <f t="shared" si="13"/>
        <v>100</v>
      </c>
      <c r="V45" s="663" t="s">
        <v>14</v>
      </c>
      <c r="W45" s="664">
        <f t="shared" si="14"/>
        <v>100</v>
      </c>
      <c r="X45" s="665"/>
      <c r="Y45" s="3390"/>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388"/>
      <c r="Q46" s="1262">
        <f t="shared" si="11"/>
        <v>111</v>
      </c>
      <c r="R46" s="666" t="s">
        <v>14</v>
      </c>
      <c r="S46" s="667">
        <f t="shared" si="12"/>
        <v>100</v>
      </c>
      <c r="T46" s="666" t="s">
        <v>14</v>
      </c>
      <c r="U46" s="667">
        <f t="shared" si="13"/>
        <v>100</v>
      </c>
      <c r="V46" s="666" t="s">
        <v>14</v>
      </c>
      <c r="W46" s="667">
        <f t="shared" si="14"/>
        <v>100</v>
      </c>
      <c r="X46" s="1264"/>
      <c r="Y46" s="3390"/>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389"/>
      <c r="Q47" s="1262">
        <f t="shared" si="11"/>
        <v>111</v>
      </c>
      <c r="R47" s="666" t="s">
        <v>14</v>
      </c>
      <c r="S47" s="667">
        <f t="shared" si="12"/>
        <v>100</v>
      </c>
      <c r="T47" s="666" t="s">
        <v>14</v>
      </c>
      <c r="U47" s="667">
        <f t="shared" si="13"/>
        <v>100</v>
      </c>
      <c r="V47" s="666" t="s">
        <v>14</v>
      </c>
      <c r="W47" s="667">
        <f t="shared" si="14"/>
        <v>100</v>
      </c>
      <c r="X47" s="1264"/>
      <c r="Y47" s="3391"/>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92" t="str">
        <f>A48</f>
        <v>成交单价（元/平方米）</v>
      </c>
      <c r="Q48" s="3378"/>
      <c r="R48" s="3379">
        <f>E48</f>
        <v>0</v>
      </c>
      <c r="S48" s="3379"/>
      <c r="T48" s="3379">
        <f>G48</f>
        <v>0</v>
      </c>
      <c r="U48" s="3379"/>
      <c r="V48" s="3379">
        <f>I48</f>
        <v>0</v>
      </c>
      <c r="W48" s="3379"/>
      <c r="X48" s="384"/>
      <c r="Y48" s="672"/>
      <c r="Z48" s="384"/>
      <c r="AA48" s="384"/>
      <c r="AB48" s="384"/>
      <c r="AC48" s="554"/>
    </row>
    <row r="49" spans="1:29" ht="15.75" thickBot="1">
      <c r="A49" s="422" t="s">
        <v>1793</v>
      </c>
      <c r="B49" s="423"/>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92"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7"/>
      <c r="Q59" s="2510"/>
      <c r="R59" s="2510"/>
      <c r="S59" s="2510"/>
      <c r="T59" s="2510"/>
      <c r="U59" s="2510"/>
      <c r="V59" s="2510"/>
      <c r="W59" s="2510"/>
      <c r="X59" s="2510"/>
      <c r="Y59" s="2510"/>
      <c r="Z59" s="2510"/>
      <c r="AA59" s="2510"/>
      <c r="AB59" s="2510"/>
      <c r="AC59" s="2510"/>
    </row>
    <row r="60" spans="1:29" s="102"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2"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2" customFormat="1" ht="15">
      <c r="A62" s="454" t="s">
        <v>1681</v>
      </c>
      <c r="B62" s="443"/>
      <c r="C62" s="455" t="s">
        <v>1776</v>
      </c>
      <c r="D62" s="31"/>
      <c r="E62" s="31"/>
      <c r="F62" s="31"/>
      <c r="G62" s="31"/>
      <c r="H62" s="31"/>
      <c r="I62" s="31"/>
      <c r="J62" s="31"/>
      <c r="K62" s="31"/>
      <c r="L62" s="456"/>
      <c r="M62" s="457"/>
      <c r="N62" s="2520"/>
      <c r="O62" s="2520"/>
      <c r="P62" s="2529"/>
      <c r="Q62" s="2508"/>
      <c r="R62" s="2439"/>
      <c r="S62" s="2439"/>
      <c r="T62" s="2439"/>
      <c r="U62" s="2439"/>
      <c r="V62" s="2439"/>
      <c r="W62" s="2439"/>
      <c r="X62" s="2439"/>
      <c r="Y62" s="2439"/>
      <c r="Z62" s="2439"/>
      <c r="AA62" s="2439"/>
      <c r="AB62" s="2439"/>
      <c r="AC62" s="2439"/>
    </row>
    <row r="63" spans="1:29" s="102"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1"/>
      <c r="D75" s="31"/>
      <c r="E75" s="31"/>
      <c r="F75" s="31"/>
      <c r="G75" s="31"/>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2"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1"/>
      <c r="D99" s="31"/>
      <c r="E99" s="31"/>
      <c r="F99" s="31"/>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1"/>
      <c r="D131" s="31"/>
      <c r="E131" s="31"/>
      <c r="F131" s="31"/>
      <c r="G131" s="516"/>
      <c r="H131" s="516"/>
      <c r="I131" s="516"/>
      <c r="J131" s="516"/>
      <c r="K131" s="31"/>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74.16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859"/>
      <c r="M4" s="860"/>
      <c r="N4" s="860"/>
      <c r="O4" s="860"/>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859"/>
      <c r="M5" s="860"/>
      <c r="N5" s="860"/>
      <c r="O5" s="860"/>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859"/>
      <c r="M6" s="860"/>
      <c r="N6" s="860"/>
      <c r="O6" s="860"/>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SUMIF(52:52,YEAR(E7)&amp;"-"&amp;MONTH(E7),53:53)</f>
        <v>0</v>
      </c>
      <c r="G7" s="355"/>
      <c r="H7" s="354">
        <f>SUMIF(52:52,YEAR(G7)&amp;"-"&amp;MONTH(G7),53:53)</f>
        <v>0</v>
      </c>
      <c r="I7" s="355"/>
      <c r="J7" s="354">
        <f>SUMIF(52:52,YEAR(I7)&amp;"-"&amp;MONTH(I7),53:53)</f>
        <v>0</v>
      </c>
      <c r="K7" s="38"/>
      <c r="L7" s="861"/>
      <c r="M7" s="862"/>
      <c r="N7" s="862"/>
      <c r="O7" s="862"/>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6" t="s">
        <v>1683</v>
      </c>
      <c r="Q8" s="3417"/>
      <c r="R8" s="663" t="s">
        <v>14</v>
      </c>
      <c r="S8" s="664">
        <f t="shared" si="0"/>
        <v>100</v>
      </c>
      <c r="T8" s="663" t="s">
        <v>14</v>
      </c>
      <c r="U8" s="664">
        <f t="shared" si="1"/>
        <v>100</v>
      </c>
      <c r="V8" s="663" t="s">
        <v>14</v>
      </c>
      <c r="W8" s="664">
        <f t="shared" si="2"/>
        <v>100</v>
      </c>
      <c r="X8" s="665"/>
      <c r="Y8" s="3416" t="s">
        <v>1683</v>
      </c>
      <c r="Z8" s="341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8"/>
      <c r="L10" s="864"/>
      <c r="M10" s="865"/>
      <c r="N10" s="865"/>
      <c r="O10" s="866"/>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8"/>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6"/>
      <c r="Q16" s="1262"/>
      <c r="R16" s="666"/>
      <c r="S16" s="667"/>
      <c r="T16" s="666"/>
      <c r="U16" s="667"/>
      <c r="V16" s="666"/>
      <c r="W16" s="667"/>
      <c r="X16" s="1264"/>
      <c r="Y16" s="3386"/>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6"/>
      <c r="Q18" s="1262"/>
      <c r="R18" s="666"/>
      <c r="S18" s="667"/>
      <c r="T18" s="666"/>
      <c r="U18" s="667"/>
      <c r="V18" s="666"/>
      <c r="W18" s="667"/>
      <c r="X18" s="1264"/>
      <c r="Y18" s="3386"/>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6"/>
      <c r="Q19" s="1262" t="str">
        <f>B19</f>
        <v>公共配套设施</v>
      </c>
      <c r="R19" s="666" t="s">
        <v>14</v>
      </c>
      <c r="S19" s="667">
        <f>F19</f>
        <v>100</v>
      </c>
      <c r="T19" s="666" t="s">
        <v>14</v>
      </c>
      <c r="U19" s="667">
        <f>H19</f>
        <v>100</v>
      </c>
      <c r="V19" s="666" t="s">
        <v>14</v>
      </c>
      <c r="W19" s="667">
        <f>J19</f>
        <v>100</v>
      </c>
      <c r="X19" s="1264"/>
      <c r="Y19" s="3386"/>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6"/>
      <c r="Q20" s="1262"/>
      <c r="R20" s="666"/>
      <c r="S20" s="667"/>
      <c r="T20" s="666"/>
      <c r="U20" s="667"/>
      <c r="V20" s="666"/>
      <c r="W20" s="667"/>
      <c r="X20" s="1264"/>
      <c r="Y20" s="3386"/>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6"/>
      <c r="Q21" s="1262" t="str">
        <f>B21</f>
        <v>基础设施水平</v>
      </c>
      <c r="R21" s="666" t="s">
        <v>14</v>
      </c>
      <c r="S21" s="667">
        <f>F21</f>
        <v>100</v>
      </c>
      <c r="T21" s="666" t="s">
        <v>14</v>
      </c>
      <c r="U21" s="667">
        <f>H21</f>
        <v>100</v>
      </c>
      <c r="V21" s="666" t="s">
        <v>14</v>
      </c>
      <c r="W21" s="667">
        <f>J21</f>
        <v>100</v>
      </c>
      <c r="X21" s="1264"/>
      <c r="Y21" s="3386"/>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6"/>
      <c r="Q22" s="1262"/>
      <c r="R22" s="666"/>
      <c r="S22" s="667"/>
      <c r="T22" s="666"/>
      <c r="U22" s="667"/>
      <c r="V22" s="666"/>
      <c r="W22" s="667"/>
      <c r="X22" s="1264"/>
      <c r="Y22" s="3386"/>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6"/>
      <c r="Q23" s="1262" t="str">
        <f>B23</f>
        <v>环境质量</v>
      </c>
      <c r="R23" s="666" t="s">
        <v>14</v>
      </c>
      <c r="S23" s="667">
        <f>F23</f>
        <v>100</v>
      </c>
      <c r="T23" s="666" t="s">
        <v>14</v>
      </c>
      <c r="U23" s="667">
        <f>H23</f>
        <v>100</v>
      </c>
      <c r="V23" s="666" t="s">
        <v>14</v>
      </c>
      <c r="W23" s="667">
        <f>J23</f>
        <v>100</v>
      </c>
      <c r="X23" s="1264"/>
      <c r="Y23" s="3386"/>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6"/>
      <c r="Q24" s="1262"/>
      <c r="R24" s="666"/>
      <c r="S24" s="667"/>
      <c r="T24" s="666"/>
      <c r="U24" s="667"/>
      <c r="V24" s="666"/>
      <c r="W24" s="667"/>
      <c r="X24" s="1264"/>
      <c r="Y24" s="3386"/>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6"/>
      <c r="Q25" s="1262">
        <f>B25</f>
        <v>111</v>
      </c>
      <c r="R25" s="666" t="s">
        <v>14</v>
      </c>
      <c r="S25" s="667">
        <f>F25</f>
        <v>100</v>
      </c>
      <c r="T25" s="666" t="s">
        <v>14</v>
      </c>
      <c r="U25" s="667">
        <f>H25</f>
        <v>100</v>
      </c>
      <c r="V25" s="666" t="s">
        <v>14</v>
      </c>
      <c r="W25" s="667">
        <f>J25</f>
        <v>100</v>
      </c>
      <c r="X25" s="1264"/>
      <c r="Y25" s="3386"/>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6"/>
      <c r="Q26" s="1262">
        <f t="shared" ref="Q26:Q40" si="11">B26</f>
        <v>111</v>
      </c>
      <c r="R26" s="666" t="s">
        <v>14</v>
      </c>
      <c r="S26" s="667">
        <f>F26</f>
        <v>100</v>
      </c>
      <c r="T26" s="666" t="s">
        <v>14</v>
      </c>
      <c r="U26" s="667">
        <f>H26</f>
        <v>100</v>
      </c>
      <c r="V26" s="666" t="s">
        <v>14</v>
      </c>
      <c r="W26" s="667">
        <f>J26</f>
        <v>100</v>
      </c>
      <c r="X26" s="1264"/>
      <c r="Y26" s="3386"/>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6"/>
      <c r="Q27" s="529">
        <f t="shared" si="11"/>
        <v>111</v>
      </c>
      <c r="R27" s="663" t="s">
        <v>14</v>
      </c>
      <c r="S27" s="664">
        <f>F27</f>
        <v>100</v>
      </c>
      <c r="T27" s="663" t="s">
        <v>14</v>
      </c>
      <c r="U27" s="664">
        <f>H27</f>
        <v>100</v>
      </c>
      <c r="V27" s="663" t="s">
        <v>14</v>
      </c>
      <c r="W27" s="664">
        <f>J27</f>
        <v>100</v>
      </c>
      <c r="X27" s="665"/>
      <c r="Y27" s="3386"/>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6"/>
      <c r="Q28" s="1262">
        <f t="shared" si="11"/>
        <v>111</v>
      </c>
      <c r="R28" s="666" t="s">
        <v>14</v>
      </c>
      <c r="S28" s="667">
        <f t="shared" ref="S28:S40" si="12">F28</f>
        <v>100</v>
      </c>
      <c r="T28" s="666" t="s">
        <v>14</v>
      </c>
      <c r="U28" s="667">
        <f t="shared" ref="U28:U40" si="13">H28</f>
        <v>100</v>
      </c>
      <c r="V28" s="666" t="s">
        <v>14</v>
      </c>
      <c r="W28" s="667">
        <f t="shared" ref="W28:W40" si="14">J28</f>
        <v>100</v>
      </c>
      <c r="X28" s="1264"/>
      <c r="Y28" s="3386"/>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390"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0"/>
      <c r="Q30" s="530" t="str">
        <f t="shared" si="11"/>
        <v>项目建筑规模</v>
      </c>
      <c r="R30" s="668" t="s">
        <v>14</v>
      </c>
      <c r="S30" s="669" t="e">
        <f t="shared" si="12"/>
        <v>#N/A</v>
      </c>
      <c r="T30" s="668" t="s">
        <v>14</v>
      </c>
      <c r="U30" s="669" t="e">
        <f t="shared" si="13"/>
        <v>#N/A</v>
      </c>
      <c r="V30" s="668" t="s">
        <v>14</v>
      </c>
      <c r="W30" s="669" t="e">
        <f t="shared" si="14"/>
        <v>#N/A</v>
      </c>
      <c r="X30" s="670"/>
      <c r="Y30" s="3390"/>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0"/>
      <c r="Q31" s="1262" t="str">
        <f t="shared" si="11"/>
        <v>建筑结构</v>
      </c>
      <c r="R31" s="666" t="s">
        <v>14</v>
      </c>
      <c r="S31" s="667">
        <f t="shared" si="12"/>
        <v>100</v>
      </c>
      <c r="T31" s="666" t="s">
        <v>14</v>
      </c>
      <c r="U31" s="667">
        <f t="shared" si="13"/>
        <v>100</v>
      </c>
      <c r="V31" s="666" t="s">
        <v>14</v>
      </c>
      <c r="W31" s="667">
        <f t="shared" si="14"/>
        <v>100</v>
      </c>
      <c r="X31" s="1264"/>
      <c r="Y31" s="3390"/>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0"/>
      <c r="Q32" s="1262" t="str">
        <f t="shared" si="11"/>
        <v>公共部分装修</v>
      </c>
      <c r="R32" s="666" t="s">
        <v>14</v>
      </c>
      <c r="S32" s="667">
        <f t="shared" si="12"/>
        <v>100</v>
      </c>
      <c r="T32" s="666" t="s">
        <v>14</v>
      </c>
      <c r="U32" s="667">
        <f t="shared" si="13"/>
        <v>100</v>
      </c>
      <c r="V32" s="666" t="s">
        <v>14</v>
      </c>
      <c r="W32" s="667">
        <f t="shared" si="14"/>
        <v>100</v>
      </c>
      <c r="X32" s="1264"/>
      <c r="Y32" s="3390"/>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0"/>
      <c r="Q33" s="1262" t="str">
        <f t="shared" si="11"/>
        <v>成新度</v>
      </c>
      <c r="R33" s="666" t="s">
        <v>14</v>
      </c>
      <c r="S33" s="667" t="e">
        <f t="shared" si="12"/>
        <v>#N/A</v>
      </c>
      <c r="T33" s="666" t="s">
        <v>14</v>
      </c>
      <c r="U33" s="667" t="e">
        <f t="shared" si="13"/>
        <v>#N/A</v>
      </c>
      <c r="V33" s="666" t="s">
        <v>14</v>
      </c>
      <c r="W33" s="667" t="e">
        <f t="shared" si="14"/>
        <v>#N/A</v>
      </c>
      <c r="X33" s="1264"/>
      <c r="Y33" s="3390"/>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0"/>
      <c r="Q34" s="529" t="str">
        <f t="shared" si="11"/>
        <v>物业管理</v>
      </c>
      <c r="R34" s="663" t="s">
        <v>14</v>
      </c>
      <c r="S34" s="664">
        <f t="shared" si="12"/>
        <v>100</v>
      </c>
      <c r="T34" s="663" t="s">
        <v>14</v>
      </c>
      <c r="U34" s="664">
        <f t="shared" si="13"/>
        <v>100</v>
      </c>
      <c r="V34" s="663" t="s">
        <v>14</v>
      </c>
      <c r="W34" s="664">
        <f t="shared" si="14"/>
        <v>100</v>
      </c>
      <c r="X34" s="665"/>
      <c r="Y34" s="339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0" t="s">
        <v>1696</v>
      </c>
      <c r="Q35" s="1262" t="str">
        <f t="shared" si="11"/>
        <v>市政基础设施</v>
      </c>
      <c r="R35" s="666" t="s">
        <v>14</v>
      </c>
      <c r="S35" s="667">
        <f t="shared" si="12"/>
        <v>100</v>
      </c>
      <c r="T35" s="666" t="s">
        <v>14</v>
      </c>
      <c r="U35" s="667">
        <f t="shared" si="13"/>
        <v>100</v>
      </c>
      <c r="V35" s="666" t="s">
        <v>14</v>
      </c>
      <c r="W35" s="667">
        <f t="shared" si="14"/>
        <v>100</v>
      </c>
      <c r="X35" s="1264"/>
      <c r="Y35" s="3390"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0"/>
      <c r="Q36" s="1262" t="str">
        <f t="shared" si="11"/>
        <v>内部装修</v>
      </c>
      <c r="R36" s="666" t="s">
        <v>14</v>
      </c>
      <c r="S36" s="667">
        <f t="shared" si="12"/>
        <v>100</v>
      </c>
      <c r="T36" s="666" t="s">
        <v>14</v>
      </c>
      <c r="U36" s="667">
        <f t="shared" si="13"/>
        <v>100</v>
      </c>
      <c r="V36" s="666" t="s">
        <v>14</v>
      </c>
      <c r="W36" s="667">
        <f t="shared" si="14"/>
        <v>100</v>
      </c>
      <c r="X36" s="1264"/>
      <c r="Y36" s="3390"/>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0"/>
      <c r="Q37" s="1262" t="str">
        <f t="shared" si="11"/>
        <v>内部装修状况</v>
      </c>
      <c r="R37" s="666" t="s">
        <v>14</v>
      </c>
      <c r="S37" s="667">
        <f t="shared" si="12"/>
        <v>100</v>
      </c>
      <c r="T37" s="666" t="s">
        <v>14</v>
      </c>
      <c r="U37" s="667">
        <f t="shared" si="13"/>
        <v>100</v>
      </c>
      <c r="V37" s="666" t="s">
        <v>14</v>
      </c>
      <c r="W37" s="667">
        <f t="shared" si="14"/>
        <v>100</v>
      </c>
      <c r="X37" s="1264"/>
      <c r="Y37" s="3390"/>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0"/>
      <c r="Q38" s="530">
        <f t="shared" si="11"/>
        <v>111</v>
      </c>
      <c r="R38" s="668" t="s">
        <v>14</v>
      </c>
      <c r="S38" s="669">
        <f t="shared" si="12"/>
        <v>100</v>
      </c>
      <c r="T38" s="668" t="s">
        <v>14</v>
      </c>
      <c r="U38" s="669">
        <f t="shared" si="13"/>
        <v>100</v>
      </c>
      <c r="V38" s="668" t="s">
        <v>14</v>
      </c>
      <c r="W38" s="669">
        <f t="shared" si="14"/>
        <v>100</v>
      </c>
      <c r="X38" s="670"/>
      <c r="Y38" s="3390"/>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0"/>
      <c r="Q39" s="1262">
        <f t="shared" si="11"/>
        <v>111</v>
      </c>
      <c r="R39" s="666" t="s">
        <v>14</v>
      </c>
      <c r="S39" s="667">
        <f t="shared" si="12"/>
        <v>100</v>
      </c>
      <c r="T39" s="666" t="s">
        <v>14</v>
      </c>
      <c r="U39" s="667">
        <f t="shared" si="13"/>
        <v>100</v>
      </c>
      <c r="V39" s="666" t="s">
        <v>14</v>
      </c>
      <c r="W39" s="667">
        <f t="shared" si="14"/>
        <v>100</v>
      </c>
      <c r="X39" s="1264"/>
      <c r="Y39" s="3390"/>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1"/>
      <c r="Q40" s="1262">
        <f t="shared" si="11"/>
        <v>111</v>
      </c>
      <c r="R40" s="666" t="s">
        <v>14</v>
      </c>
      <c r="S40" s="667">
        <f t="shared" si="12"/>
        <v>100</v>
      </c>
      <c r="T40" s="666" t="s">
        <v>14</v>
      </c>
      <c r="U40" s="667">
        <f t="shared" si="13"/>
        <v>100</v>
      </c>
      <c r="V40" s="666" t="s">
        <v>14</v>
      </c>
      <c r="W40" s="667">
        <f t="shared" si="14"/>
        <v>100</v>
      </c>
      <c r="X40" s="1264"/>
      <c r="Y40" s="3391"/>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78" t="str">
        <f>A41</f>
        <v>成交单价（元/平方米）</v>
      </c>
      <c r="Q41" s="3378"/>
      <c r="R41" s="3379">
        <f>E41</f>
        <v>0</v>
      </c>
      <c r="S41" s="3379"/>
      <c r="T41" s="3379">
        <f>G41</f>
        <v>0</v>
      </c>
      <c r="U41" s="3379"/>
      <c r="V41" s="3379">
        <f>I41</f>
        <v>0</v>
      </c>
      <c r="W41" s="3379"/>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8"/>
      <c r="O54" s="2539"/>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SUMIF(48:48,YEAR(E7)&amp;"-"&amp;MONTH(E7),49:49)</f>
        <v>0</v>
      </c>
      <c r="G7" s="355"/>
      <c r="H7" s="354">
        <f>SUMIF(48:48,YEAR(G7)&amp;"-"&amp;MONTH(G7),49:49)</f>
        <v>0</v>
      </c>
      <c r="I7" s="355"/>
      <c r="J7" s="354">
        <f>SUMIF(48:48,YEAR(I7)&amp;"-"&amp;MONTH(I7),49:49)</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8"/>
      <c r="M9" s="2439"/>
      <c r="N9" s="2439"/>
      <c r="O9" s="2439"/>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8"/>
      <c r="L10" s="2489"/>
      <c r="M10" s="2490"/>
      <c r="N10" s="2490"/>
      <c r="O10" s="2490"/>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86"/>
      <c r="Q15" s="1262"/>
      <c r="R15" s="666"/>
      <c r="S15" s="667"/>
      <c r="T15" s="666"/>
      <c r="U15" s="667"/>
      <c r="V15" s="666"/>
      <c r="W15" s="667"/>
      <c r="X15" s="1264"/>
      <c r="Y15" s="3386"/>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86"/>
      <c r="Q17" s="1262"/>
      <c r="R17" s="666"/>
      <c r="S17" s="667"/>
      <c r="T17" s="666"/>
      <c r="U17" s="667"/>
      <c r="V17" s="666"/>
      <c r="W17" s="667"/>
      <c r="X17" s="1264"/>
      <c r="Y17" s="3386"/>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86"/>
      <c r="Q19" s="1262"/>
      <c r="R19" s="666"/>
      <c r="S19" s="667"/>
      <c r="T19" s="666"/>
      <c r="U19" s="667"/>
      <c r="V19" s="666"/>
      <c r="W19" s="667"/>
      <c r="X19" s="1264"/>
      <c r="Y19" s="3386"/>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86"/>
      <c r="Q21" s="1262"/>
      <c r="R21" s="666"/>
      <c r="S21" s="667"/>
      <c r="T21" s="666"/>
      <c r="U21" s="667"/>
      <c r="V21" s="666"/>
      <c r="W21" s="667"/>
      <c r="X21" s="1264"/>
      <c r="Y21" s="3386"/>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86"/>
      <c r="Q24" s="1262">
        <f t="shared" ref="Q24:Q36"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90"/>
      <c r="Q27" s="530" t="str">
        <f t="shared" si="11"/>
        <v>项目停车位配比</v>
      </c>
      <c r="R27" s="668" t="s">
        <v>14</v>
      </c>
      <c r="S27" s="669">
        <f t="shared" si="12"/>
        <v>100</v>
      </c>
      <c r="T27" s="668" t="s">
        <v>14</v>
      </c>
      <c r="U27" s="669">
        <f t="shared" si="13"/>
        <v>100</v>
      </c>
      <c r="V27" s="668" t="s">
        <v>14</v>
      </c>
      <c r="W27" s="669">
        <f t="shared" si="14"/>
        <v>100</v>
      </c>
      <c r="X27" s="670"/>
      <c r="Y27" s="3390"/>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90"/>
      <c r="Q28" s="1262" t="str">
        <f t="shared" si="11"/>
        <v>公共部分装修</v>
      </c>
      <c r="R28" s="666" t="s">
        <v>14</v>
      </c>
      <c r="S28" s="667">
        <f t="shared" si="12"/>
        <v>100</v>
      </c>
      <c r="T28" s="666" t="s">
        <v>14</v>
      </c>
      <c r="U28" s="667">
        <f t="shared" si="13"/>
        <v>100</v>
      </c>
      <c r="V28" s="666" t="s">
        <v>14</v>
      </c>
      <c r="W28" s="667">
        <f t="shared" si="14"/>
        <v>100</v>
      </c>
      <c r="X28" s="1264"/>
      <c r="Y28" s="3390"/>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90"/>
      <c r="Q29" s="1262" t="str">
        <f t="shared" si="11"/>
        <v>成新率</v>
      </c>
      <c r="R29" s="666" t="s">
        <v>14</v>
      </c>
      <c r="S29" s="667" t="e">
        <f t="shared" si="12"/>
        <v>#N/A</v>
      </c>
      <c r="T29" s="666" t="s">
        <v>14</v>
      </c>
      <c r="U29" s="667" t="e">
        <f t="shared" si="13"/>
        <v>#N/A</v>
      </c>
      <c r="V29" s="666" t="s">
        <v>14</v>
      </c>
      <c r="W29" s="667" t="e">
        <f t="shared" si="14"/>
        <v>#N/A</v>
      </c>
      <c r="X29" s="1264"/>
      <c r="Y29" s="3390"/>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90"/>
      <c r="Q30" s="1262" t="str">
        <f t="shared" si="11"/>
        <v>物业等级</v>
      </c>
      <c r="R30" s="666" t="s">
        <v>14</v>
      </c>
      <c r="S30" s="667">
        <f t="shared" si="12"/>
        <v>100</v>
      </c>
      <c r="T30" s="666" t="s">
        <v>14</v>
      </c>
      <c r="U30" s="667">
        <f t="shared" si="13"/>
        <v>100</v>
      </c>
      <c r="V30" s="666" t="s">
        <v>14</v>
      </c>
      <c r="W30" s="667">
        <f t="shared" si="14"/>
        <v>100</v>
      </c>
      <c r="X30" s="1264"/>
      <c r="Y30" s="3390"/>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90"/>
      <c r="Q31" s="529" t="str">
        <f t="shared" si="11"/>
        <v>停车位面积</v>
      </c>
      <c r="R31" s="663" t="s">
        <v>14</v>
      </c>
      <c r="S31" s="664" t="e">
        <f t="shared" si="12"/>
        <v>#N/A</v>
      </c>
      <c r="T31" s="663" t="s">
        <v>14</v>
      </c>
      <c r="U31" s="664" t="e">
        <f t="shared" si="13"/>
        <v>#N/A</v>
      </c>
      <c r="V31" s="663" t="s">
        <v>14</v>
      </c>
      <c r="W31" s="664" t="e">
        <f t="shared" si="14"/>
        <v>#N/A</v>
      </c>
      <c r="X31" s="665"/>
      <c r="Y31" s="3390"/>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90" t="s">
        <v>1696</v>
      </c>
      <c r="Q32" s="1262" t="str">
        <f t="shared" si="11"/>
        <v>车位类型</v>
      </c>
      <c r="R32" s="666" t="s">
        <v>14</v>
      </c>
      <c r="S32" s="667">
        <f t="shared" si="12"/>
        <v>100</v>
      </c>
      <c r="T32" s="666" t="s">
        <v>14</v>
      </c>
      <c r="U32" s="667">
        <f t="shared" si="13"/>
        <v>100</v>
      </c>
      <c r="V32" s="666" t="s">
        <v>14</v>
      </c>
      <c r="W32" s="667">
        <f t="shared" si="14"/>
        <v>100</v>
      </c>
      <c r="X32" s="1264"/>
      <c r="Y32" s="3390"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90"/>
      <c r="Q33" s="1262" t="str">
        <f t="shared" si="11"/>
        <v>是否直接入户</v>
      </c>
      <c r="R33" s="666" t="s">
        <v>14</v>
      </c>
      <c r="S33" s="667">
        <f t="shared" si="12"/>
        <v>100</v>
      </c>
      <c r="T33" s="666" t="s">
        <v>14</v>
      </c>
      <c r="U33" s="667">
        <f t="shared" si="13"/>
        <v>100</v>
      </c>
      <c r="V33" s="666" t="s">
        <v>14</v>
      </c>
      <c r="W33" s="667">
        <f t="shared" si="14"/>
        <v>100</v>
      </c>
      <c r="X33" s="1264"/>
      <c r="Y33" s="3390"/>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90"/>
      <c r="Q35" s="530">
        <f t="shared" si="11"/>
        <v>111</v>
      </c>
      <c r="R35" s="668" t="s">
        <v>14</v>
      </c>
      <c r="S35" s="669">
        <f t="shared" si="12"/>
        <v>100</v>
      </c>
      <c r="T35" s="668" t="s">
        <v>14</v>
      </c>
      <c r="U35" s="669">
        <f t="shared" si="13"/>
        <v>100</v>
      </c>
      <c r="V35" s="668" t="s">
        <v>14</v>
      </c>
      <c r="W35" s="669">
        <f t="shared" si="14"/>
        <v>100</v>
      </c>
      <c r="X35" s="670"/>
      <c r="Y35" s="3390"/>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90"/>
      <c r="Q36" s="1262">
        <f t="shared" si="11"/>
        <v>111</v>
      </c>
      <c r="R36" s="666" t="s">
        <v>14</v>
      </c>
      <c r="S36" s="667">
        <f t="shared" si="12"/>
        <v>100</v>
      </c>
      <c r="T36" s="666" t="s">
        <v>14</v>
      </c>
      <c r="U36" s="667">
        <f t="shared" si="13"/>
        <v>100</v>
      </c>
      <c r="V36" s="666" t="s">
        <v>14</v>
      </c>
      <c r="W36" s="667">
        <f t="shared" si="14"/>
        <v>100</v>
      </c>
      <c r="X36" s="1264"/>
      <c r="Y36" s="3390"/>
      <c r="Z36" s="1263">
        <f t="shared" si="15"/>
        <v>111</v>
      </c>
      <c r="AA36" s="1263">
        <f t="shared" si="3"/>
        <v>1</v>
      </c>
      <c r="AB36" s="1263">
        <f t="shared" si="4"/>
        <v>1</v>
      </c>
      <c r="AC36" s="1263">
        <f t="shared" si="5"/>
        <v>1</v>
      </c>
    </row>
    <row r="37" spans="1:29" ht="15">
      <c r="A37" s="415" t="s">
        <v>1844</v>
      </c>
      <c r="B37" s="1820" t="s">
        <v>3343</v>
      </c>
      <c r="C37" s="1080" t="s">
        <v>0</v>
      </c>
      <c r="D37" s="417"/>
      <c r="E37" s="418"/>
      <c r="F37" s="419"/>
      <c r="G37" s="420"/>
      <c r="H37" s="421"/>
      <c r="I37" s="418"/>
      <c r="J37" s="421"/>
      <c r="K37" s="544"/>
      <c r="L37" s="2494"/>
      <c r="M37" s="2487"/>
      <c r="N37" s="2487"/>
      <c r="O37" s="2487"/>
      <c r="P37" s="3378" t="str">
        <f>A37</f>
        <v>成交单价</v>
      </c>
      <c r="Q37" s="3378"/>
      <c r="R37" s="3379">
        <f>E37</f>
        <v>0</v>
      </c>
      <c r="S37" s="3379"/>
      <c r="T37" s="3379">
        <f>G37</f>
        <v>0</v>
      </c>
      <c r="U37" s="3379"/>
      <c r="V37" s="3379">
        <f>I37</f>
        <v>0</v>
      </c>
      <c r="W37" s="3379"/>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80" t="str">
        <f>A39</f>
        <v>估价对象XX用房的比较价值（楼面单价，元/平方米）</v>
      </c>
      <c r="Q39" s="3381"/>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7"/>
      <c r="Q48" s="2510"/>
      <c r="R48" s="2510"/>
      <c r="S48" s="2510"/>
      <c r="T48" s="2510"/>
      <c r="U48" s="2510"/>
      <c r="V48" s="2510"/>
      <c r="W48" s="2510"/>
      <c r="X48" s="2510"/>
      <c r="Y48" s="2510"/>
      <c r="Z48" s="2510"/>
      <c r="AA48" s="2510"/>
      <c r="AB48" s="2510"/>
      <c r="AC48" s="2510"/>
    </row>
    <row r="49" spans="1:29" s="102"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2"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2" customFormat="1" ht="15">
      <c r="A51" s="454" t="s">
        <v>1681</v>
      </c>
      <c r="B51" s="443"/>
      <c r="C51" s="455" t="s">
        <v>1776</v>
      </c>
      <c r="D51" s="31"/>
      <c r="E51" s="31"/>
      <c r="F51" s="31"/>
      <c r="G51" s="31"/>
      <c r="H51" s="31"/>
      <c r="I51" s="31"/>
      <c r="J51" s="31"/>
      <c r="K51" s="31"/>
      <c r="L51" s="456"/>
      <c r="M51" s="457"/>
      <c r="N51" s="2520"/>
      <c r="O51" s="2520"/>
      <c r="P51" s="2529"/>
      <c r="Q51" s="2508"/>
      <c r="R51" s="2439"/>
      <c r="S51" s="2439"/>
      <c r="T51" s="2439"/>
      <c r="U51" s="2439"/>
      <c r="V51" s="2439"/>
      <c r="W51" s="2439"/>
      <c r="X51" s="2439"/>
      <c r="Y51" s="2439"/>
      <c r="Z51" s="2439"/>
      <c r="AA51" s="2439"/>
      <c r="AB51" s="2439"/>
      <c r="AC51" s="2439"/>
    </row>
    <row r="52" spans="1:29" s="102"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2"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2"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2"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2"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SUMIF(46:46,YEAR(E7)&amp;"-"&amp;MONTH(E7),47:47)</f>
        <v>0</v>
      </c>
      <c r="G7" s="1821"/>
      <c r="H7" s="354">
        <f>SUMIF(46:46,YEAR(G7)&amp;"-"&amp;MONTH(G7),47:47)</f>
        <v>0</v>
      </c>
      <c r="I7" s="355"/>
      <c r="J7" s="354">
        <f>SUMIF(46:46,YEAR(I7)&amp;"-"&amp;MONTH(I7),47:47)</f>
        <v>0</v>
      </c>
      <c r="K7" s="38"/>
      <c r="L7" s="2488"/>
      <c r="M7" s="2439"/>
      <c r="N7" s="2439"/>
      <c r="O7" s="2439"/>
      <c r="P7" s="3416" t="s">
        <v>1680</v>
      </c>
      <c r="Q7" s="3418"/>
      <c r="R7" s="663" t="s">
        <v>14</v>
      </c>
      <c r="S7" s="664">
        <f t="shared" ref="S7:S14" si="0">F7</f>
        <v>0</v>
      </c>
      <c r="T7" s="663" t="s">
        <v>14</v>
      </c>
      <c r="U7" s="664">
        <f t="shared" ref="U7:U14" si="1">H7</f>
        <v>0</v>
      </c>
      <c r="V7" s="663" t="s">
        <v>14</v>
      </c>
      <c r="W7" s="664">
        <f t="shared" ref="W7:W14" si="2">J7</f>
        <v>0</v>
      </c>
      <c r="X7" s="665"/>
      <c r="Y7" s="3416" t="s">
        <v>1680</v>
      </c>
      <c r="Z7" s="341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8"/>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8"/>
      <c r="M9" s="2439"/>
      <c r="N9" s="2439"/>
      <c r="O9" s="2540"/>
      <c r="P9" s="3378"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8"/>
      <c r="L10" s="2489"/>
      <c r="M10" s="2490"/>
      <c r="N10" s="2490"/>
      <c r="O10" s="2541"/>
      <c r="P10" s="3378"/>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78"/>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85" t="s">
        <v>1691</v>
      </c>
      <c r="Q14" s="1262" t="str">
        <f t="shared" si="6"/>
        <v>交通便捷度</v>
      </c>
      <c r="R14" s="666" t="s">
        <v>14</v>
      </c>
      <c r="S14" s="667">
        <f t="shared" si="0"/>
        <v>100</v>
      </c>
      <c r="T14" s="666" t="s">
        <v>14</v>
      </c>
      <c r="U14" s="667">
        <f t="shared" si="1"/>
        <v>100</v>
      </c>
      <c r="V14" s="666" t="s">
        <v>14</v>
      </c>
      <c r="W14" s="667">
        <f t="shared" si="2"/>
        <v>100</v>
      </c>
      <c r="X14" s="1264"/>
      <c r="Y14" s="3385"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86"/>
      <c r="Q15" s="1262"/>
      <c r="R15" s="666"/>
      <c r="S15" s="667"/>
      <c r="T15" s="666"/>
      <c r="U15" s="667"/>
      <c r="V15" s="666"/>
      <c r="W15" s="667"/>
      <c r="X15" s="1264"/>
      <c r="Y15" s="3386"/>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86"/>
      <c r="Q16" s="1262" t="str">
        <f>B16</f>
        <v>公共配套设施</v>
      </c>
      <c r="R16" s="666" t="s">
        <v>14</v>
      </c>
      <c r="S16" s="667">
        <f>F16</f>
        <v>100</v>
      </c>
      <c r="T16" s="666" t="s">
        <v>14</v>
      </c>
      <c r="U16" s="667">
        <f>H16</f>
        <v>100</v>
      </c>
      <c r="V16" s="666" t="s">
        <v>14</v>
      </c>
      <c r="W16" s="667">
        <f>J16</f>
        <v>100</v>
      </c>
      <c r="X16" s="1264"/>
      <c r="Y16" s="3386"/>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86"/>
      <c r="Q17" s="1262"/>
      <c r="R17" s="666"/>
      <c r="S17" s="667"/>
      <c r="T17" s="666"/>
      <c r="U17" s="667"/>
      <c r="V17" s="666"/>
      <c r="W17" s="667"/>
      <c r="X17" s="1264"/>
      <c r="Y17" s="3386"/>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86"/>
      <c r="Q18" s="1262" t="str">
        <f>B18</f>
        <v>基础设施水平</v>
      </c>
      <c r="R18" s="666" t="s">
        <v>14</v>
      </c>
      <c r="S18" s="667">
        <f>F18</f>
        <v>100</v>
      </c>
      <c r="T18" s="666" t="s">
        <v>14</v>
      </c>
      <c r="U18" s="667">
        <f>H18</f>
        <v>100</v>
      </c>
      <c r="V18" s="666" t="s">
        <v>14</v>
      </c>
      <c r="W18" s="667">
        <f>J18</f>
        <v>100</v>
      </c>
      <c r="X18" s="1264"/>
      <c r="Y18" s="3386"/>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86"/>
      <c r="Q19" s="1262"/>
      <c r="R19" s="666"/>
      <c r="S19" s="667"/>
      <c r="T19" s="666"/>
      <c r="U19" s="667"/>
      <c r="V19" s="666"/>
      <c r="W19" s="667"/>
      <c r="X19" s="1264"/>
      <c r="Y19" s="3386"/>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86"/>
      <c r="Q20" s="1262" t="str">
        <f>B20</f>
        <v>自然及人文环境</v>
      </c>
      <c r="R20" s="666" t="s">
        <v>14</v>
      </c>
      <c r="S20" s="667">
        <f>F20</f>
        <v>100</v>
      </c>
      <c r="T20" s="666" t="s">
        <v>14</v>
      </c>
      <c r="U20" s="667">
        <f>H20</f>
        <v>100</v>
      </c>
      <c r="V20" s="666" t="s">
        <v>14</v>
      </c>
      <c r="W20" s="667">
        <f>J20</f>
        <v>100</v>
      </c>
      <c r="X20" s="1264"/>
      <c r="Y20" s="3386"/>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86"/>
      <c r="Q21" s="1262"/>
      <c r="R21" s="666"/>
      <c r="S21" s="667"/>
      <c r="T21" s="666"/>
      <c r="U21" s="667"/>
      <c r="V21" s="666"/>
      <c r="W21" s="667"/>
      <c r="X21" s="1264"/>
      <c r="Y21" s="3386"/>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86"/>
      <c r="Q22" s="1262" t="str">
        <f>B22</f>
        <v>楼层</v>
      </c>
      <c r="R22" s="666" t="s">
        <v>14</v>
      </c>
      <c r="S22" s="667">
        <f>F22</f>
        <v>100</v>
      </c>
      <c r="T22" s="666" t="s">
        <v>14</v>
      </c>
      <c r="U22" s="667">
        <f>H22</f>
        <v>100</v>
      </c>
      <c r="V22" s="666" t="s">
        <v>14</v>
      </c>
      <c r="W22" s="667">
        <f>J22</f>
        <v>100</v>
      </c>
      <c r="X22" s="1264"/>
      <c r="Y22" s="3386"/>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86"/>
      <c r="Q23" s="1262">
        <f>B23</f>
        <v>111</v>
      </c>
      <c r="R23" s="666" t="s">
        <v>14</v>
      </c>
      <c r="S23" s="667">
        <f>F23</f>
        <v>100</v>
      </c>
      <c r="T23" s="666" t="s">
        <v>14</v>
      </c>
      <c r="U23" s="667">
        <f>H23</f>
        <v>100</v>
      </c>
      <c r="V23" s="666" t="s">
        <v>14</v>
      </c>
      <c r="W23" s="667">
        <f>J23</f>
        <v>100</v>
      </c>
      <c r="X23" s="1264"/>
      <c r="Y23" s="3386"/>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86"/>
      <c r="Q24" s="1262">
        <f t="shared" ref="Q24:Q34" si="11">B24</f>
        <v>111</v>
      </c>
      <c r="R24" s="666" t="s">
        <v>14</v>
      </c>
      <c r="S24" s="667">
        <f>F24</f>
        <v>100</v>
      </c>
      <c r="T24" s="666" t="s">
        <v>14</v>
      </c>
      <c r="U24" s="667">
        <f>H24</f>
        <v>100</v>
      </c>
      <c r="V24" s="666" t="s">
        <v>14</v>
      </c>
      <c r="W24" s="667">
        <f>J24</f>
        <v>100</v>
      </c>
      <c r="X24" s="1264"/>
      <c r="Y24" s="3386"/>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86"/>
      <c r="Q25" s="529">
        <f t="shared" si="11"/>
        <v>111</v>
      </c>
      <c r="R25" s="663" t="s">
        <v>14</v>
      </c>
      <c r="S25" s="664">
        <f>F25</f>
        <v>100</v>
      </c>
      <c r="T25" s="663" t="s">
        <v>14</v>
      </c>
      <c r="U25" s="664">
        <f>H25</f>
        <v>100</v>
      </c>
      <c r="V25" s="663" t="s">
        <v>14</v>
      </c>
      <c r="W25" s="664">
        <f>J25</f>
        <v>100</v>
      </c>
      <c r="X25" s="665"/>
      <c r="Y25" s="3386"/>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0"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90"/>
      <c r="Q27" s="530" t="str">
        <f t="shared" si="11"/>
        <v>成新率</v>
      </c>
      <c r="R27" s="668" t="s">
        <v>14</v>
      </c>
      <c r="S27" s="669" t="e">
        <f t="shared" si="12"/>
        <v>#N/A</v>
      </c>
      <c r="T27" s="668" t="s">
        <v>14</v>
      </c>
      <c r="U27" s="669" t="e">
        <f t="shared" si="13"/>
        <v>#N/A</v>
      </c>
      <c r="V27" s="668" t="s">
        <v>14</v>
      </c>
      <c r="W27" s="669" t="e">
        <f t="shared" si="14"/>
        <v>#N/A</v>
      </c>
      <c r="X27" s="670"/>
      <c r="Y27" s="3390"/>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90"/>
      <c r="Q28" s="1262" t="str">
        <f t="shared" si="11"/>
        <v>物业等级</v>
      </c>
      <c r="R28" s="666" t="s">
        <v>14</v>
      </c>
      <c r="S28" s="667">
        <f t="shared" si="12"/>
        <v>100</v>
      </c>
      <c r="T28" s="666" t="s">
        <v>14</v>
      </c>
      <c r="U28" s="667">
        <f t="shared" si="13"/>
        <v>100</v>
      </c>
      <c r="V28" s="666" t="s">
        <v>14</v>
      </c>
      <c r="W28" s="667">
        <f t="shared" si="14"/>
        <v>100</v>
      </c>
      <c r="X28" s="1264"/>
      <c r="Y28" s="3390"/>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90"/>
      <c r="Q29" s="1262" t="str">
        <f t="shared" si="11"/>
        <v>有无电梯</v>
      </c>
      <c r="R29" s="666" t="s">
        <v>14</v>
      </c>
      <c r="S29" s="667">
        <f t="shared" si="12"/>
        <v>100</v>
      </c>
      <c r="T29" s="666" t="s">
        <v>14</v>
      </c>
      <c r="U29" s="667">
        <f t="shared" si="13"/>
        <v>100</v>
      </c>
      <c r="V29" s="666" t="s">
        <v>14</v>
      </c>
      <c r="W29" s="667">
        <f t="shared" si="14"/>
        <v>100</v>
      </c>
      <c r="X29" s="1264"/>
      <c r="Y29" s="3390"/>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90"/>
      <c r="Q30" s="1262" t="str">
        <f t="shared" si="11"/>
        <v>建筑面积</v>
      </c>
      <c r="R30" s="666" t="s">
        <v>14</v>
      </c>
      <c r="S30" s="667" t="e">
        <f t="shared" si="12"/>
        <v>#N/A</v>
      </c>
      <c r="T30" s="666" t="s">
        <v>14</v>
      </c>
      <c r="U30" s="667" t="e">
        <f t="shared" si="13"/>
        <v>#N/A</v>
      </c>
      <c r="V30" s="666" t="s">
        <v>14</v>
      </c>
      <c r="W30" s="667" t="e">
        <f t="shared" si="14"/>
        <v>#N/A</v>
      </c>
      <c r="X30" s="1264"/>
      <c r="Y30" s="3390"/>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90"/>
      <c r="Q31" s="529" t="str">
        <f t="shared" si="11"/>
        <v>是否封闭</v>
      </c>
      <c r="R31" s="663" t="s">
        <v>14</v>
      </c>
      <c r="S31" s="664">
        <f t="shared" si="12"/>
        <v>100</v>
      </c>
      <c r="T31" s="663" t="s">
        <v>14</v>
      </c>
      <c r="U31" s="664">
        <f t="shared" si="13"/>
        <v>100</v>
      </c>
      <c r="V31" s="663" t="s">
        <v>14</v>
      </c>
      <c r="W31" s="664">
        <f t="shared" si="14"/>
        <v>100</v>
      </c>
      <c r="X31" s="665"/>
      <c r="Y31" s="339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90" t="s">
        <v>1696</v>
      </c>
      <c r="Q32" s="1262">
        <f t="shared" si="11"/>
        <v>111</v>
      </c>
      <c r="R32" s="666" t="s">
        <v>14</v>
      </c>
      <c r="S32" s="667">
        <f t="shared" si="12"/>
        <v>100</v>
      </c>
      <c r="T32" s="666" t="s">
        <v>14</v>
      </c>
      <c r="U32" s="667">
        <f t="shared" si="13"/>
        <v>100</v>
      </c>
      <c r="V32" s="666" t="s">
        <v>14</v>
      </c>
      <c r="W32" s="667">
        <f t="shared" si="14"/>
        <v>100</v>
      </c>
      <c r="X32" s="1264"/>
      <c r="Y32" s="3390"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90"/>
      <c r="Q33" s="1262">
        <f t="shared" si="11"/>
        <v>111</v>
      </c>
      <c r="R33" s="666" t="s">
        <v>14</v>
      </c>
      <c r="S33" s="667">
        <f t="shared" si="12"/>
        <v>100</v>
      </c>
      <c r="T33" s="666" t="s">
        <v>14</v>
      </c>
      <c r="U33" s="667">
        <f t="shared" si="13"/>
        <v>100</v>
      </c>
      <c r="V33" s="666" t="s">
        <v>14</v>
      </c>
      <c r="W33" s="667">
        <f t="shared" si="14"/>
        <v>100</v>
      </c>
      <c r="X33" s="1264"/>
      <c r="Y33" s="3390"/>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90"/>
      <c r="Q34" s="1262">
        <f t="shared" si="11"/>
        <v>111</v>
      </c>
      <c r="R34" s="666" t="s">
        <v>14</v>
      </c>
      <c r="S34" s="667">
        <f t="shared" si="12"/>
        <v>100</v>
      </c>
      <c r="T34" s="666" t="s">
        <v>14</v>
      </c>
      <c r="U34" s="667">
        <f t="shared" si="13"/>
        <v>100</v>
      </c>
      <c r="V34" s="666" t="s">
        <v>14</v>
      </c>
      <c r="W34" s="667">
        <f t="shared" si="14"/>
        <v>100</v>
      </c>
      <c r="X34" s="1264"/>
      <c r="Y34" s="3390"/>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78" t="str">
        <f>A35</f>
        <v>成交单价（元/平方米）</v>
      </c>
      <c r="Q35" s="3378"/>
      <c r="R35" s="3379">
        <f>E35</f>
        <v>0</v>
      </c>
      <c r="S35" s="3379"/>
      <c r="T35" s="3379">
        <f>G35</f>
        <v>0</v>
      </c>
      <c r="U35" s="3379"/>
      <c r="V35" s="3379">
        <f>I35</f>
        <v>0</v>
      </c>
      <c r="W35" s="3379"/>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80" t="str">
        <f>A37</f>
        <v>估价对象XX用房的比较价值（楼面单价，元/平方米）</v>
      </c>
      <c r="Q37" s="3381"/>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10"/>
      <c r="Q46" s="2510"/>
      <c r="R46" s="2510"/>
      <c r="S46" s="2510"/>
      <c r="T46" s="2510"/>
      <c r="U46" s="2510"/>
      <c r="V46" s="2510"/>
      <c r="W46" s="2510"/>
      <c r="X46" s="2510"/>
      <c r="Y46" s="2510"/>
      <c r="Z46" s="2510"/>
      <c r="AA46" s="2510"/>
      <c r="AB46" s="2510"/>
      <c r="AC46" s="2510"/>
      <c r="AD46" s="2510"/>
    </row>
    <row r="47" spans="1:30" s="102"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2"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2" customFormat="1" ht="15">
      <c r="A49" s="454" t="s">
        <v>1681</v>
      </c>
      <c r="B49" s="443"/>
      <c r="C49" s="455" t="s">
        <v>1776</v>
      </c>
      <c r="D49" s="31"/>
      <c r="E49" s="31"/>
      <c r="F49" s="31"/>
      <c r="G49" s="31"/>
      <c r="H49" s="31"/>
      <c r="I49" s="31"/>
      <c r="J49" s="31"/>
      <c r="K49" s="31"/>
      <c r="L49" s="456"/>
      <c r="M49" s="457"/>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12" t="s">
        <v>1677</v>
      </c>
      <c r="D6" s="3413"/>
      <c r="E6" s="3420" t="s">
        <v>1677</v>
      </c>
      <c r="F6" s="3421"/>
      <c r="G6" s="3412" t="s">
        <v>1677</v>
      </c>
      <c r="H6" s="3413"/>
      <c r="I6" s="3412" t="s">
        <v>1677</v>
      </c>
      <c r="J6" s="3413"/>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SUMIF(69:69,YEAR(E7)&amp;"-"&amp;INT((MONTH(E7)+2)/3),70:70)</f>
        <v>0</v>
      </c>
      <c r="G7" s="1821"/>
      <c r="H7" s="354">
        <f>SUMIF(69:69,YEAR(G7)&amp;"-"&amp;INT((MONTH(G7)+2)/3),70:70)</f>
        <v>0</v>
      </c>
      <c r="I7" s="1821"/>
      <c r="J7" s="354">
        <f>SUMIF(69:69,YEAR(I7)&amp;"-"&amp;INT((MONTH(I7)+2)/3),70:70)</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151</v>
      </c>
      <c r="G10" s="401"/>
      <c r="H10" s="118">
        <f>ROUND(100/'数据-取费表'!G16,0)</f>
        <v>151</v>
      </c>
      <c r="I10" s="401"/>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78"/>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85" t="s">
        <v>1691</v>
      </c>
      <c r="Q15" s="1262" t="str">
        <f t="shared" si="6"/>
        <v>居住社区成熟度</v>
      </c>
      <c r="R15" s="666" t="s">
        <v>14</v>
      </c>
      <c r="S15" s="667">
        <f t="shared" si="0"/>
        <v>100</v>
      </c>
      <c r="T15" s="666" t="s">
        <v>14</v>
      </c>
      <c r="U15" s="667">
        <f t="shared" si="1"/>
        <v>100</v>
      </c>
      <c r="V15" s="666" t="s">
        <v>14</v>
      </c>
      <c r="W15" s="667">
        <f t="shared" si="2"/>
        <v>100</v>
      </c>
      <c r="X15" s="1264"/>
      <c r="Y15" s="3385"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86"/>
      <c r="Q17" s="1262" t="str">
        <f>B17</f>
        <v>商业繁华度</v>
      </c>
      <c r="R17" s="666" t="s">
        <v>14</v>
      </c>
      <c r="S17" s="667">
        <f>F17</f>
        <v>100</v>
      </c>
      <c r="T17" s="666" t="s">
        <v>14</v>
      </c>
      <c r="U17" s="667">
        <f>H17</f>
        <v>100</v>
      </c>
      <c r="V17" s="666" t="s">
        <v>14</v>
      </c>
      <c r="W17" s="667">
        <f>J17</f>
        <v>100</v>
      </c>
      <c r="X17" s="1264"/>
      <c r="Y17" s="3386"/>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86"/>
      <c r="Q19" s="1262" t="str">
        <f>B19</f>
        <v>办公集聚程度</v>
      </c>
      <c r="R19" s="666" t="s">
        <v>14</v>
      </c>
      <c r="S19" s="667">
        <f>F19</f>
        <v>100</v>
      </c>
      <c r="T19" s="666" t="s">
        <v>14</v>
      </c>
      <c r="U19" s="667">
        <f>H19</f>
        <v>100</v>
      </c>
      <c r="V19" s="666" t="s">
        <v>14</v>
      </c>
      <c r="W19" s="667">
        <f>J19</f>
        <v>100</v>
      </c>
      <c r="X19" s="1264"/>
      <c r="Y19" s="3386"/>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86"/>
      <c r="Q20" s="1262"/>
      <c r="R20" s="666"/>
      <c r="S20" s="667"/>
      <c r="T20" s="666"/>
      <c r="U20" s="667"/>
      <c r="V20" s="666"/>
      <c r="W20" s="667"/>
      <c r="X20" s="1264"/>
      <c r="Y20" s="3386"/>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86"/>
      <c r="Q21" s="1262" t="str">
        <f>B21</f>
        <v>交通便捷度</v>
      </c>
      <c r="R21" s="666" t="s">
        <v>14</v>
      </c>
      <c r="S21" s="667">
        <f>F21</f>
        <v>100</v>
      </c>
      <c r="T21" s="666" t="s">
        <v>14</v>
      </c>
      <c r="U21" s="667">
        <f>H21</f>
        <v>100</v>
      </c>
      <c r="V21" s="666" t="s">
        <v>14</v>
      </c>
      <c r="W21" s="667">
        <f>J21</f>
        <v>100</v>
      </c>
      <c r="X21" s="1264"/>
      <c r="Y21" s="3386"/>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86"/>
      <c r="Q23" s="1262" t="str">
        <f t="shared" ref="Q23:Q37" si="8">B23</f>
        <v>区域土地利用方向</v>
      </c>
      <c r="R23" s="666" t="s">
        <v>14</v>
      </c>
      <c r="S23" s="667">
        <f>F23</f>
        <v>100</v>
      </c>
      <c r="T23" s="666" t="s">
        <v>14</v>
      </c>
      <c r="U23" s="667">
        <f>H23</f>
        <v>100</v>
      </c>
      <c r="V23" s="666" t="s">
        <v>14</v>
      </c>
      <c r="W23" s="667">
        <f>J23</f>
        <v>100</v>
      </c>
      <c r="X23" s="1264"/>
      <c r="Y23" s="3386"/>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86"/>
      <c r="Q24" s="1262"/>
      <c r="R24" s="666"/>
      <c r="S24" s="667"/>
      <c r="T24" s="666"/>
      <c r="U24" s="667"/>
      <c r="V24" s="666"/>
      <c r="W24" s="667"/>
      <c r="X24" s="1264"/>
      <c r="Y24" s="3386"/>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86"/>
      <c r="Q25" s="1262" t="str">
        <f t="shared" si="8"/>
        <v>自然及人文环境状况</v>
      </c>
      <c r="R25" s="666" t="s">
        <v>14</v>
      </c>
      <c r="S25" s="667">
        <f>F25</f>
        <v>100</v>
      </c>
      <c r="T25" s="666" t="s">
        <v>14</v>
      </c>
      <c r="U25" s="667">
        <f>H25</f>
        <v>100</v>
      </c>
      <c r="V25" s="666" t="s">
        <v>14</v>
      </c>
      <c r="W25" s="667">
        <f>J25</f>
        <v>100</v>
      </c>
      <c r="X25" s="1264"/>
      <c r="Y25" s="3386"/>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86"/>
      <c r="Q26" s="1262"/>
      <c r="R26" s="666"/>
      <c r="S26" s="667"/>
      <c r="T26" s="666"/>
      <c r="U26" s="667"/>
      <c r="V26" s="666"/>
      <c r="W26" s="667"/>
      <c r="X26" s="1264"/>
      <c r="Y26" s="3386"/>
      <c r="Z26" s="1263"/>
      <c r="AA26" s="1263">
        <v>1</v>
      </c>
      <c r="AB26" s="1263">
        <v>1</v>
      </c>
      <c r="AC26" s="1263">
        <v>1</v>
      </c>
    </row>
    <row r="27" spans="1:29" s="102"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86"/>
      <c r="Q27" s="529" t="str">
        <f t="shared" si="8"/>
        <v>公共配套设施</v>
      </c>
      <c r="R27" s="663" t="s">
        <v>14</v>
      </c>
      <c r="S27" s="664">
        <f>F27</f>
        <v>100</v>
      </c>
      <c r="T27" s="663" t="s">
        <v>14</v>
      </c>
      <c r="U27" s="664">
        <f>H27</f>
        <v>100</v>
      </c>
      <c r="V27" s="663" t="s">
        <v>14</v>
      </c>
      <c r="W27" s="664">
        <f>J27</f>
        <v>100</v>
      </c>
      <c r="X27" s="665"/>
      <c r="Y27" s="3386"/>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8"/>
      <c r="M28" s="2439"/>
      <c r="N28" s="2439"/>
      <c r="O28" s="2540"/>
      <c r="P28" s="3386"/>
      <c r="Q28" s="529"/>
      <c r="R28" s="663"/>
      <c r="S28" s="664"/>
      <c r="T28" s="663"/>
      <c r="U28" s="664"/>
      <c r="V28" s="663"/>
      <c r="W28" s="664"/>
      <c r="X28" s="665"/>
      <c r="Y28" s="3386"/>
      <c r="Z28" s="50"/>
      <c r="AA28" s="1263">
        <v>1</v>
      </c>
      <c r="AB28" s="1263">
        <v>1</v>
      </c>
      <c r="AC28" s="1263">
        <v>1</v>
      </c>
    </row>
    <row r="29" spans="1:29" s="102"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86"/>
      <c r="Q29" s="529" t="str">
        <f t="shared" ref="Q29" si="9">B29</f>
        <v>基础设施水平</v>
      </c>
      <c r="R29" s="663" t="s">
        <v>14</v>
      </c>
      <c r="S29" s="664">
        <f>F29</f>
        <v>100</v>
      </c>
      <c r="T29" s="663" t="s">
        <v>14</v>
      </c>
      <c r="U29" s="664">
        <f>H29</f>
        <v>100</v>
      </c>
      <c r="V29" s="663" t="s">
        <v>14</v>
      </c>
      <c r="W29" s="664">
        <f>J29</f>
        <v>100</v>
      </c>
      <c r="X29" s="665"/>
      <c r="Y29" s="3386"/>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8"/>
      <c r="M30" s="2439"/>
      <c r="N30" s="2439"/>
      <c r="O30" s="2540"/>
      <c r="P30" s="3386"/>
      <c r="Q30" s="529"/>
      <c r="R30" s="663"/>
      <c r="S30" s="664"/>
      <c r="T30" s="663"/>
      <c r="U30" s="664"/>
      <c r="V30" s="663"/>
      <c r="W30" s="664"/>
      <c r="X30" s="665"/>
      <c r="Y30" s="3386"/>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8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6"/>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86"/>
      <c r="Q32" s="1262" t="str">
        <f t="shared" si="8"/>
        <v>毗邻道路的类型与等级</v>
      </c>
      <c r="R32" s="666" t="s">
        <v>14</v>
      </c>
      <c r="S32" s="667">
        <f t="shared" si="10"/>
        <v>100</v>
      </c>
      <c r="T32" s="666" t="s">
        <v>14</v>
      </c>
      <c r="U32" s="667">
        <f t="shared" si="11"/>
        <v>100</v>
      </c>
      <c r="V32" s="666" t="s">
        <v>14</v>
      </c>
      <c r="W32" s="667">
        <f t="shared" si="12"/>
        <v>100</v>
      </c>
      <c r="X32" s="1264"/>
      <c r="Y32" s="3386"/>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86"/>
      <c r="Q33" s="1262"/>
      <c r="R33" s="666"/>
      <c r="S33" s="667"/>
      <c r="T33" s="666"/>
      <c r="U33" s="667"/>
      <c r="V33" s="666"/>
      <c r="W33" s="667"/>
      <c r="X33" s="1264"/>
      <c r="Y33" s="3386"/>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86"/>
      <c r="Q34" s="1262" t="str">
        <f t="shared" si="8"/>
        <v>土地级别</v>
      </c>
      <c r="R34" s="666" t="s">
        <v>14</v>
      </c>
      <c r="S34" s="667">
        <f t="shared" si="10"/>
        <v>100</v>
      </c>
      <c r="T34" s="666" t="s">
        <v>14</v>
      </c>
      <c r="U34" s="667">
        <f t="shared" si="11"/>
        <v>100</v>
      </c>
      <c r="V34" s="666" t="s">
        <v>14</v>
      </c>
      <c r="W34" s="667">
        <f t="shared" si="12"/>
        <v>100</v>
      </c>
      <c r="X34" s="1264"/>
      <c r="Y34" s="3386"/>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86"/>
      <c r="Q35" s="1262">
        <f t="shared" si="8"/>
        <v>111</v>
      </c>
      <c r="R35" s="666" t="s">
        <v>14</v>
      </c>
      <c r="S35" s="667">
        <f t="shared" si="10"/>
        <v>100</v>
      </c>
      <c r="T35" s="666" t="s">
        <v>14</v>
      </c>
      <c r="U35" s="667">
        <f t="shared" si="11"/>
        <v>100</v>
      </c>
      <c r="V35" s="666" t="s">
        <v>14</v>
      </c>
      <c r="W35" s="667">
        <f t="shared" si="12"/>
        <v>100</v>
      </c>
      <c r="X35" s="1264"/>
      <c r="Y35" s="3386"/>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461" t="s">
        <v>1696</v>
      </c>
      <c r="Q36" s="1262">
        <f t="shared" si="8"/>
        <v>111</v>
      </c>
      <c r="R36" s="666" t="s">
        <v>14</v>
      </c>
      <c r="S36" s="667">
        <f t="shared" si="10"/>
        <v>100</v>
      </c>
      <c r="T36" s="666" t="s">
        <v>14</v>
      </c>
      <c r="U36" s="667">
        <f t="shared" si="11"/>
        <v>100</v>
      </c>
      <c r="V36" s="666" t="s">
        <v>14</v>
      </c>
      <c r="W36" s="667">
        <f t="shared" si="12"/>
        <v>100</v>
      </c>
      <c r="X36" s="1264"/>
      <c r="Y36" s="3390"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90"/>
      <c r="Q37" s="1262">
        <f t="shared" si="8"/>
        <v>111</v>
      </c>
      <c r="R37" s="668" t="s">
        <v>14</v>
      </c>
      <c r="S37" s="669">
        <f t="shared" si="10"/>
        <v>100</v>
      </c>
      <c r="T37" s="668" t="s">
        <v>14</v>
      </c>
      <c r="U37" s="669">
        <f t="shared" si="11"/>
        <v>100</v>
      </c>
      <c r="V37" s="668" t="s">
        <v>14</v>
      </c>
      <c r="W37" s="669">
        <f t="shared" si="12"/>
        <v>100</v>
      </c>
      <c r="X37" s="670"/>
      <c r="Y37" s="3390"/>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90"/>
      <c r="Q38" s="1262" t="str">
        <f>B38</f>
        <v>宗地面积</v>
      </c>
      <c r="R38" s="666" t="s">
        <v>14</v>
      </c>
      <c r="S38" s="667" t="e">
        <f t="shared" si="10"/>
        <v>#N/A</v>
      </c>
      <c r="T38" s="666" t="s">
        <v>14</v>
      </c>
      <c r="U38" s="667" t="e">
        <f t="shared" si="11"/>
        <v>#N/A</v>
      </c>
      <c r="V38" s="666" t="s">
        <v>14</v>
      </c>
      <c r="W38" s="667" t="e">
        <f t="shared" si="12"/>
        <v>#N/A</v>
      </c>
      <c r="X38" s="1264"/>
      <c r="Y38" s="3390"/>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90"/>
      <c r="Q39" s="1262" t="str">
        <f t="shared" ref="Q39:Q45" si="14">B39</f>
        <v>宗地形状</v>
      </c>
      <c r="R39" s="666" t="s">
        <v>14</v>
      </c>
      <c r="S39" s="667">
        <f t="shared" si="10"/>
        <v>100</v>
      </c>
      <c r="T39" s="666" t="s">
        <v>14</v>
      </c>
      <c r="U39" s="667">
        <f t="shared" si="11"/>
        <v>100</v>
      </c>
      <c r="V39" s="666" t="s">
        <v>14</v>
      </c>
      <c r="W39" s="667">
        <f t="shared" si="12"/>
        <v>100</v>
      </c>
      <c r="X39" s="1264"/>
      <c r="Y39" s="3390"/>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90"/>
      <c r="Q40" s="1262" t="str">
        <f t="shared" si="14"/>
        <v>临街宽度及深度</v>
      </c>
      <c r="R40" s="666" t="s">
        <v>14</v>
      </c>
      <c r="S40" s="667">
        <f t="shared" si="10"/>
        <v>100</v>
      </c>
      <c r="T40" s="666" t="s">
        <v>14</v>
      </c>
      <c r="U40" s="667">
        <f t="shared" si="11"/>
        <v>100</v>
      </c>
      <c r="V40" s="666" t="s">
        <v>14</v>
      </c>
      <c r="W40" s="667">
        <f t="shared" si="12"/>
        <v>100</v>
      </c>
      <c r="X40" s="1264"/>
      <c r="Y40" s="3390"/>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90"/>
      <c r="Q41" s="1262" t="str">
        <f t="shared" si="14"/>
        <v>宗地开发程度</v>
      </c>
      <c r="R41" s="663" t="s">
        <v>14</v>
      </c>
      <c r="S41" s="664">
        <f t="shared" si="10"/>
        <v>100</v>
      </c>
      <c r="T41" s="663" t="s">
        <v>14</v>
      </c>
      <c r="U41" s="664">
        <f t="shared" si="11"/>
        <v>100</v>
      </c>
      <c r="V41" s="663" t="s">
        <v>14</v>
      </c>
      <c r="W41" s="664">
        <f t="shared" si="12"/>
        <v>100</v>
      </c>
      <c r="X41" s="665"/>
      <c r="Y41" s="3390"/>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90" t="s">
        <v>1696</v>
      </c>
      <c r="Q42" s="1262" t="str">
        <f t="shared" si="14"/>
        <v>工程地质条件</v>
      </c>
      <c r="R42" s="666" t="s">
        <v>14</v>
      </c>
      <c r="S42" s="667">
        <f t="shared" si="10"/>
        <v>100</v>
      </c>
      <c r="T42" s="666" t="s">
        <v>14</v>
      </c>
      <c r="U42" s="667">
        <f t="shared" si="11"/>
        <v>100</v>
      </c>
      <c r="V42" s="666" t="s">
        <v>14</v>
      </c>
      <c r="W42" s="667">
        <f t="shared" si="12"/>
        <v>100</v>
      </c>
      <c r="X42" s="1264"/>
      <c r="Y42" s="3390"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90"/>
      <c r="Q43" s="1262">
        <f t="shared" si="14"/>
        <v>111</v>
      </c>
      <c r="R43" s="666" t="s">
        <v>14</v>
      </c>
      <c r="S43" s="667">
        <f t="shared" si="10"/>
        <v>100</v>
      </c>
      <c r="T43" s="666" t="s">
        <v>14</v>
      </c>
      <c r="U43" s="667">
        <f t="shared" si="11"/>
        <v>100</v>
      </c>
      <c r="V43" s="666" t="s">
        <v>14</v>
      </c>
      <c r="W43" s="667">
        <f t="shared" si="12"/>
        <v>100</v>
      </c>
      <c r="X43" s="1264"/>
      <c r="Y43" s="3390"/>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90"/>
      <c r="Q44" s="1262">
        <f t="shared" si="14"/>
        <v>111</v>
      </c>
      <c r="R44" s="666" t="s">
        <v>14</v>
      </c>
      <c r="S44" s="667">
        <f t="shared" si="10"/>
        <v>100</v>
      </c>
      <c r="T44" s="666" t="s">
        <v>14</v>
      </c>
      <c r="U44" s="667">
        <f t="shared" si="11"/>
        <v>100</v>
      </c>
      <c r="V44" s="666" t="s">
        <v>14</v>
      </c>
      <c r="W44" s="667">
        <f t="shared" si="12"/>
        <v>100</v>
      </c>
      <c r="X44" s="1264"/>
      <c r="Y44" s="3390"/>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90"/>
      <c r="Q45" s="1262">
        <f t="shared" si="14"/>
        <v>111</v>
      </c>
      <c r="R45" s="668" t="s">
        <v>14</v>
      </c>
      <c r="S45" s="669">
        <f t="shared" si="10"/>
        <v>100</v>
      </c>
      <c r="T45" s="668" t="s">
        <v>14</v>
      </c>
      <c r="U45" s="669">
        <f t="shared" si="11"/>
        <v>100</v>
      </c>
      <c r="V45" s="668" t="s">
        <v>14</v>
      </c>
      <c r="W45" s="669">
        <f t="shared" si="12"/>
        <v>100</v>
      </c>
      <c r="X45" s="670"/>
      <c r="Y45" s="3390"/>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78" t="str">
        <f>A46</f>
        <v>成交单价</v>
      </c>
      <c r="Q46" s="3378"/>
      <c r="R46" s="3379">
        <f>E46</f>
        <v>0</v>
      </c>
      <c r="S46" s="3379"/>
      <c r="T46" s="3379">
        <f>G46</f>
        <v>0</v>
      </c>
      <c r="U46" s="3379"/>
      <c r="V46" s="3379">
        <f>I46</f>
        <v>0</v>
      </c>
      <c r="W46" s="3379"/>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4"/>
      <c r="M47" s="2487"/>
      <c r="N47" s="2487"/>
      <c r="O47" s="2487"/>
      <c r="P47" s="3378" t="str">
        <f>A47</f>
        <v>比较价值（元/平方米）</v>
      </c>
      <c r="Q47" s="3378"/>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80" t="str">
        <f>A48</f>
        <v>估价对象XX用房的比较价值（楼面单价，元/平方米）</v>
      </c>
      <c r="Q48" s="3381"/>
      <c r="R48" s="3464" t="e">
        <f>ROUND(IF(D47="简单平均",AVERAGE(R47:W47),R47*F47+T47*H47+V47*J47),0)</f>
        <v>#DIV/0!</v>
      </c>
      <c r="S48" s="3464"/>
      <c r="T48" s="3464"/>
      <c r="U48" s="3464"/>
      <c r="V48" s="3464"/>
      <c r="W48" s="3464"/>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96" t="s">
        <v>1887</v>
      </c>
      <c r="H55" s="3465"/>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74.16</v>
      </c>
      <c r="F56" s="832" t="e">
        <f t="shared" ref="F56:F64" si="15">ROUND(B56*E56/10000,0)</f>
        <v>#DIV/0!</v>
      </c>
      <c r="G56" s="3392"/>
      <c r="H56" s="337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74.16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2" customFormat="1" ht="15">
      <c r="A72" s="454" t="s">
        <v>1681</v>
      </c>
      <c r="B72" s="443"/>
      <c r="C72" s="455" t="s">
        <v>1776</v>
      </c>
      <c r="D72" s="31"/>
      <c r="E72" s="31"/>
      <c r="F72" s="31"/>
      <c r="G72" s="31"/>
      <c r="H72" s="31"/>
      <c r="I72" s="31"/>
      <c r="J72" s="31"/>
      <c r="K72" s="31"/>
      <c r="L72" s="456"/>
      <c r="M72" s="457"/>
      <c r="N72" s="2520"/>
      <c r="O72" s="2520"/>
      <c r="P72" s="2544"/>
      <c r="Q72" s="2508"/>
      <c r="R72" s="2439"/>
      <c r="S72" s="2439"/>
      <c r="T72" s="2439"/>
      <c r="U72" s="2439"/>
      <c r="V72" s="2439"/>
      <c r="W72" s="2439"/>
      <c r="X72" s="2439"/>
      <c r="Y72" s="2439"/>
      <c r="Z72" s="2439"/>
      <c r="AA72" s="2439"/>
      <c r="AB72" s="2439"/>
      <c r="AC72" s="2439"/>
    </row>
    <row r="73" spans="1:29" s="102"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1"/>
      <c r="D85" s="31"/>
      <c r="E85" s="31"/>
      <c r="F85" s="31"/>
      <c r="G85" s="31"/>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1"/>
      <c r="D111" s="31"/>
      <c r="E111" s="31"/>
      <c r="F111" s="31"/>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1"/>
      <c r="D128" s="31"/>
      <c r="E128" s="31"/>
      <c r="F128" s="31"/>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1"/>
      <c r="D130" s="31"/>
      <c r="E130" s="31"/>
      <c r="F130" s="31"/>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96" t="s">
        <v>1770</v>
      </c>
      <c r="D4" s="3397"/>
      <c r="E4" s="3398" t="s">
        <v>1771</v>
      </c>
      <c r="F4" s="3399"/>
      <c r="G4" s="3396" t="s">
        <v>1772</v>
      </c>
      <c r="H4" s="3397"/>
      <c r="I4" s="3396" t="s">
        <v>1773</v>
      </c>
      <c r="J4" s="3397"/>
      <c r="K4" s="536" t="s">
        <v>1774</v>
      </c>
      <c r="L4" s="2486"/>
      <c r="M4" s="2487"/>
      <c r="N4" s="2487"/>
      <c r="O4" s="2487"/>
      <c r="P4" s="3400" t="s">
        <v>1775</v>
      </c>
      <c r="Q4" s="3401"/>
      <c r="R4" s="3406" t="s">
        <v>1771</v>
      </c>
      <c r="S4" s="3407"/>
      <c r="T4" s="3406" t="s">
        <v>1772</v>
      </c>
      <c r="U4" s="3407"/>
      <c r="V4" s="3379" t="s">
        <v>1773</v>
      </c>
      <c r="W4" s="3379"/>
      <c r="X4" s="1264"/>
      <c r="Y4" s="3406" t="s">
        <v>1775</v>
      </c>
      <c r="Z4" s="3407"/>
      <c r="AA4" s="3393" t="s">
        <v>1771</v>
      </c>
      <c r="AB4" s="3394" t="s">
        <v>1772</v>
      </c>
      <c r="AC4" s="3393" t="s">
        <v>1773</v>
      </c>
    </row>
    <row r="5" spans="1:29" ht="15">
      <c r="A5" s="347"/>
      <c r="B5" s="348"/>
      <c r="C5" s="3419" t="s">
        <v>1673</v>
      </c>
      <c r="D5" s="3415"/>
      <c r="E5" s="3445" t="s">
        <v>1674</v>
      </c>
      <c r="F5" s="3423"/>
      <c r="G5" s="3419" t="s">
        <v>1675</v>
      </c>
      <c r="H5" s="3415"/>
      <c r="I5" s="3419" t="s">
        <v>1676</v>
      </c>
      <c r="J5" s="3415"/>
      <c r="K5" s="536"/>
      <c r="L5" s="2486"/>
      <c r="M5" s="2487"/>
      <c r="N5" s="2487"/>
      <c r="O5" s="2487"/>
      <c r="P5" s="3402"/>
      <c r="Q5" s="3403"/>
      <c r="R5" s="3408"/>
      <c r="S5" s="3409"/>
      <c r="T5" s="3408"/>
      <c r="U5" s="3409"/>
      <c r="V5" s="3379"/>
      <c r="W5" s="3379"/>
      <c r="X5" s="1264"/>
      <c r="Y5" s="3408"/>
      <c r="Z5" s="3409"/>
      <c r="AA5" s="3394"/>
      <c r="AB5" s="3394"/>
      <c r="AC5" s="3394"/>
    </row>
    <row r="6" spans="1:29" ht="15.75" thickBot="1">
      <c r="A6" s="349"/>
      <c r="B6" s="350"/>
      <c r="C6" s="3466" t="s">
        <v>1919</v>
      </c>
      <c r="D6" s="3467"/>
      <c r="E6" s="3468" t="s">
        <v>1919</v>
      </c>
      <c r="F6" s="3469"/>
      <c r="G6" s="3466" t="s">
        <v>1919</v>
      </c>
      <c r="H6" s="3467"/>
      <c r="I6" s="3466" t="s">
        <v>1919</v>
      </c>
      <c r="J6" s="3467"/>
      <c r="K6" s="536" t="s">
        <v>1678</v>
      </c>
      <c r="L6" s="2486"/>
      <c r="M6" s="2487"/>
      <c r="N6" s="2487"/>
      <c r="O6" s="2487"/>
      <c r="P6" s="3404"/>
      <c r="Q6" s="3405"/>
      <c r="R6" s="3408"/>
      <c r="S6" s="3409"/>
      <c r="T6" s="3410"/>
      <c r="U6" s="3411"/>
      <c r="V6" s="3379"/>
      <c r="W6" s="3379"/>
      <c r="X6" s="1264"/>
      <c r="Y6" s="3410"/>
      <c r="Z6" s="3411"/>
      <c r="AA6" s="3395"/>
      <c r="AB6" s="3395"/>
      <c r="AC6" s="3395"/>
    </row>
    <row r="7" spans="1:29" s="102" customFormat="1" ht="15.75" thickBot="1">
      <c r="A7" s="351" t="s">
        <v>1679</v>
      </c>
      <c r="B7" s="352"/>
      <c r="C7" s="353">
        <f>'数据-取费表'!B2</f>
        <v>45950</v>
      </c>
      <c r="D7" s="354">
        <v>100</v>
      </c>
      <c r="E7" s="355"/>
      <c r="F7" s="356">
        <f>SUMIF(65:65,YEAR(E7)&amp;"-"&amp;INT((MONTH(E7)+2)/3),66:66)</f>
        <v>0</v>
      </c>
      <c r="G7" s="1821"/>
      <c r="H7" s="354">
        <f>SUMIF(65:65,YEAR(G7)&amp;"-"&amp;INT((MONTH(G7)+2)/3),66:66)</f>
        <v>0</v>
      </c>
      <c r="I7" s="1821"/>
      <c r="J7" s="354">
        <f>SUMIF(65:65,YEAR(I7)&amp;"-"&amp;INT((MONTH(I7)+2)/3),66:66)</f>
        <v>0</v>
      </c>
      <c r="K7" s="38"/>
      <c r="L7" s="2488"/>
      <c r="M7" s="2439"/>
      <c r="N7" s="2439"/>
      <c r="O7" s="2439"/>
      <c r="P7" s="3416" t="s">
        <v>1680</v>
      </c>
      <c r="Q7" s="3418"/>
      <c r="R7" s="663" t="s">
        <v>14</v>
      </c>
      <c r="S7" s="664">
        <f t="shared" ref="S7:S15" si="0">F7</f>
        <v>0</v>
      </c>
      <c r="T7" s="663" t="s">
        <v>14</v>
      </c>
      <c r="U7" s="664">
        <f t="shared" ref="U7:U15" si="1">H7</f>
        <v>0</v>
      </c>
      <c r="V7" s="663" t="s">
        <v>14</v>
      </c>
      <c r="W7" s="664">
        <f t="shared" ref="W7:W15" si="2">J7</f>
        <v>0</v>
      </c>
      <c r="X7" s="665"/>
      <c r="Y7" s="3416" t="s">
        <v>1680</v>
      </c>
      <c r="Z7" s="341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8"/>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8"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151</v>
      </c>
      <c r="G10" s="370"/>
      <c r="H10" s="118">
        <f>ROUND(100/'数据-取费表'!G16,0)</f>
        <v>151</v>
      </c>
      <c r="I10" s="370"/>
      <c r="J10" s="118">
        <f>ROUND(100/'数据-取费表'!G16,0)</f>
        <v>151</v>
      </c>
      <c r="K10" s="591"/>
      <c r="L10" s="2489"/>
      <c r="M10" s="2490"/>
      <c r="N10" s="2490"/>
      <c r="O10" s="2541"/>
      <c r="P10" s="3378"/>
      <c r="Q10" s="529" t="str">
        <f t="shared" si="6"/>
        <v>土地使用年限（年）</v>
      </c>
      <c r="R10" s="663" t="s">
        <v>14</v>
      </c>
      <c r="S10" s="664">
        <f t="shared" si="0"/>
        <v>151</v>
      </c>
      <c r="T10" s="663" t="s">
        <v>14</v>
      </c>
      <c r="U10" s="664">
        <f t="shared" si="1"/>
        <v>151</v>
      </c>
      <c r="V10" s="663" t="s">
        <v>14</v>
      </c>
      <c r="W10" s="664">
        <f t="shared" si="2"/>
        <v>151</v>
      </c>
      <c r="X10" s="665"/>
      <c r="Y10" s="3277"/>
      <c r="Z10" s="50" t="str">
        <f t="shared" si="7"/>
        <v>土地使用年限（年）</v>
      </c>
      <c r="AA10" s="50">
        <f t="shared" si="3"/>
        <v>0.66225165562913912</v>
      </c>
      <c r="AB10" s="50">
        <f t="shared" si="4"/>
        <v>0.66225165562913912</v>
      </c>
      <c r="AC10" s="50">
        <f t="shared" si="5"/>
        <v>0.66225165562913912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1"/>
      <c r="M11" s="2487"/>
      <c r="N11" s="2487"/>
      <c r="O11" s="2542"/>
      <c r="P11" s="3378"/>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78"/>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78"/>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78"/>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2"/>
      <c r="M15" s="2487"/>
      <c r="N15" s="2487"/>
      <c r="O15" s="2542"/>
      <c r="P15" s="3385" t="s">
        <v>1691</v>
      </c>
      <c r="Q15" s="1262" t="str">
        <f t="shared" si="6"/>
        <v>产业集聚程度</v>
      </c>
      <c r="R15" s="666" t="s">
        <v>14</v>
      </c>
      <c r="S15" s="667">
        <f t="shared" si="0"/>
        <v>100</v>
      </c>
      <c r="T15" s="666" t="s">
        <v>14</v>
      </c>
      <c r="U15" s="667">
        <f t="shared" si="1"/>
        <v>100</v>
      </c>
      <c r="V15" s="666" t="s">
        <v>14</v>
      </c>
      <c r="W15" s="667">
        <f t="shared" si="2"/>
        <v>100</v>
      </c>
      <c r="X15" s="1264"/>
      <c r="Y15" s="3385"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2"/>
      <c r="M16" s="2487"/>
      <c r="N16" s="2487"/>
      <c r="O16" s="2542"/>
      <c r="P16" s="3386"/>
      <c r="Q16" s="1262"/>
      <c r="R16" s="666"/>
      <c r="S16" s="667"/>
      <c r="T16" s="666"/>
      <c r="U16" s="667"/>
      <c r="V16" s="666"/>
      <c r="W16" s="667"/>
      <c r="X16" s="1264"/>
      <c r="Y16" s="3386"/>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2"/>
      <c r="M17" s="2487"/>
      <c r="N17" s="2487"/>
      <c r="O17" s="2542"/>
      <c r="P17" s="3386"/>
      <c r="Q17" s="1262" t="str">
        <f>B17</f>
        <v>交通便捷度</v>
      </c>
      <c r="R17" s="666" t="s">
        <v>14</v>
      </c>
      <c r="S17" s="667">
        <f>F17</f>
        <v>100</v>
      </c>
      <c r="T17" s="666" t="s">
        <v>14</v>
      </c>
      <c r="U17" s="667">
        <f>H17</f>
        <v>100</v>
      </c>
      <c r="V17" s="666" t="s">
        <v>14</v>
      </c>
      <c r="W17" s="667">
        <f>J17</f>
        <v>100</v>
      </c>
      <c r="X17" s="1264"/>
      <c r="Y17" s="3386"/>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2"/>
      <c r="M18" s="2487"/>
      <c r="N18" s="2487"/>
      <c r="O18" s="2542"/>
      <c r="P18" s="3386"/>
      <c r="Q18" s="1262"/>
      <c r="R18" s="666"/>
      <c r="S18" s="667"/>
      <c r="T18" s="666"/>
      <c r="U18" s="667"/>
      <c r="V18" s="666"/>
      <c r="W18" s="667"/>
      <c r="X18" s="1264"/>
      <c r="Y18" s="3386"/>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2"/>
      <c r="M19" s="2487"/>
      <c r="N19" s="2487"/>
      <c r="O19" s="2542"/>
      <c r="P19" s="3386"/>
      <c r="Q19" s="1262" t="str">
        <f t="shared" ref="Q19:Q33" si="8">B19</f>
        <v>区域土地利用方向</v>
      </c>
      <c r="R19" s="666" t="s">
        <v>14</v>
      </c>
      <c r="S19" s="667">
        <f>F19</f>
        <v>100</v>
      </c>
      <c r="T19" s="666" t="s">
        <v>14</v>
      </c>
      <c r="U19" s="667">
        <f>H19</f>
        <v>100</v>
      </c>
      <c r="V19" s="666" t="s">
        <v>14</v>
      </c>
      <c r="W19" s="667">
        <f>J19</f>
        <v>100</v>
      </c>
      <c r="X19" s="1264"/>
      <c r="Y19" s="3386"/>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2"/>
      <c r="M20" s="2487"/>
      <c r="N20" s="2487"/>
      <c r="O20" s="2542"/>
      <c r="P20" s="3386"/>
      <c r="Q20" s="1262"/>
      <c r="R20" s="666"/>
      <c r="S20" s="667"/>
      <c r="T20" s="666"/>
      <c r="U20" s="667"/>
      <c r="V20" s="666"/>
      <c r="W20" s="667"/>
      <c r="X20" s="1264"/>
      <c r="Y20" s="3386"/>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2"/>
      <c r="M21" s="2487"/>
      <c r="N21" s="2487"/>
      <c r="O21" s="2542"/>
      <c r="P21" s="3386"/>
      <c r="Q21" s="1262" t="str">
        <f t="shared" si="8"/>
        <v>环境状况</v>
      </c>
      <c r="R21" s="666" t="s">
        <v>14</v>
      </c>
      <c r="S21" s="667">
        <f>F21</f>
        <v>100</v>
      </c>
      <c r="T21" s="666" t="s">
        <v>14</v>
      </c>
      <c r="U21" s="667">
        <f>H21</f>
        <v>100</v>
      </c>
      <c r="V21" s="666" t="s">
        <v>14</v>
      </c>
      <c r="W21" s="667">
        <f>J21</f>
        <v>100</v>
      </c>
      <c r="X21" s="1264"/>
      <c r="Y21" s="3386"/>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2"/>
      <c r="M22" s="2487"/>
      <c r="N22" s="2487"/>
      <c r="O22" s="2542"/>
      <c r="P22" s="3386"/>
      <c r="Q22" s="1262"/>
      <c r="R22" s="666"/>
      <c r="S22" s="667"/>
      <c r="T22" s="666"/>
      <c r="U22" s="667"/>
      <c r="V22" s="666"/>
      <c r="W22" s="667"/>
      <c r="X22" s="1264"/>
      <c r="Y22" s="3386"/>
      <c r="Z22" s="1263"/>
      <c r="AA22" s="1263">
        <v>1</v>
      </c>
      <c r="AB22" s="1263">
        <v>1</v>
      </c>
      <c r="AC22" s="1263">
        <v>1</v>
      </c>
    </row>
    <row r="23" spans="1:29" s="102"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8"/>
      <c r="M23" s="2439"/>
      <c r="N23" s="2439"/>
      <c r="O23" s="2540"/>
      <c r="P23" s="3386"/>
      <c r="Q23" s="529" t="str">
        <f t="shared" si="8"/>
        <v>公共配套设施</v>
      </c>
      <c r="R23" s="663" t="s">
        <v>14</v>
      </c>
      <c r="S23" s="664">
        <f>F23</f>
        <v>100</v>
      </c>
      <c r="T23" s="663" t="s">
        <v>14</v>
      </c>
      <c r="U23" s="664">
        <f>H23</f>
        <v>100</v>
      </c>
      <c r="V23" s="663" t="s">
        <v>14</v>
      </c>
      <c r="W23" s="664">
        <f>J23</f>
        <v>100</v>
      </c>
      <c r="X23" s="665"/>
      <c r="Y23" s="3386"/>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8"/>
      <c r="M24" s="2439"/>
      <c r="N24" s="2439"/>
      <c r="O24" s="2540"/>
      <c r="P24" s="3386"/>
      <c r="Q24" s="529"/>
      <c r="R24" s="663"/>
      <c r="S24" s="664"/>
      <c r="T24" s="663"/>
      <c r="U24" s="664"/>
      <c r="V24" s="663"/>
      <c r="W24" s="664"/>
      <c r="X24" s="665"/>
      <c r="Y24" s="3386"/>
      <c r="Z24" s="50"/>
      <c r="AA24" s="50">
        <v>1</v>
      </c>
      <c r="AB24" s="50">
        <v>1</v>
      </c>
      <c r="AC24" s="50">
        <v>1</v>
      </c>
    </row>
    <row r="25" spans="1:29" s="102"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8"/>
      <c r="M25" s="2439"/>
      <c r="N25" s="2439"/>
      <c r="O25" s="2540"/>
      <c r="P25" s="3386"/>
      <c r="Q25" s="529" t="str">
        <f t="shared" ref="Q25" si="9">B25</f>
        <v>基础设施水平</v>
      </c>
      <c r="R25" s="663" t="s">
        <v>14</v>
      </c>
      <c r="S25" s="664">
        <f>F25</f>
        <v>100</v>
      </c>
      <c r="T25" s="663" t="s">
        <v>14</v>
      </c>
      <c r="U25" s="664">
        <f>H25</f>
        <v>100</v>
      </c>
      <c r="V25" s="663" t="s">
        <v>14</v>
      </c>
      <c r="W25" s="664">
        <f>J25</f>
        <v>100</v>
      </c>
      <c r="X25" s="665"/>
      <c r="Y25" s="3386"/>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8"/>
      <c r="M26" s="2439"/>
      <c r="N26" s="2439"/>
      <c r="O26" s="2540"/>
      <c r="P26" s="3386"/>
      <c r="Q26" s="529"/>
      <c r="R26" s="663"/>
      <c r="S26" s="664"/>
      <c r="T26" s="663"/>
      <c r="U26" s="664"/>
      <c r="V26" s="663"/>
      <c r="W26" s="664"/>
      <c r="X26" s="665"/>
      <c r="Y26" s="3386"/>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8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6"/>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86"/>
      <c r="Q28" s="1262" t="str">
        <f t="shared" si="8"/>
        <v>毗邻道路的类型与等级</v>
      </c>
      <c r="R28" s="666" t="s">
        <v>14</v>
      </c>
      <c r="S28" s="667">
        <f t="shared" si="10"/>
        <v>100</v>
      </c>
      <c r="T28" s="666" t="s">
        <v>14</v>
      </c>
      <c r="U28" s="667">
        <f t="shared" si="11"/>
        <v>100</v>
      </c>
      <c r="V28" s="666" t="s">
        <v>14</v>
      </c>
      <c r="W28" s="667">
        <f t="shared" si="12"/>
        <v>100</v>
      </c>
      <c r="X28" s="1264"/>
      <c r="Y28" s="3386"/>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2"/>
      <c r="M29" s="2487"/>
      <c r="N29" s="2487"/>
      <c r="O29" s="2542"/>
      <c r="P29" s="3386"/>
      <c r="Q29" s="1262"/>
      <c r="R29" s="666"/>
      <c r="S29" s="667"/>
      <c r="T29" s="666"/>
      <c r="U29" s="667"/>
      <c r="V29" s="666"/>
      <c r="W29" s="667"/>
      <c r="X29" s="1264"/>
      <c r="Y29" s="3386"/>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86"/>
      <c r="Q30" s="1262" t="str">
        <f t="shared" si="8"/>
        <v>土地级别</v>
      </c>
      <c r="R30" s="666" t="s">
        <v>14</v>
      </c>
      <c r="S30" s="667">
        <f t="shared" si="10"/>
        <v>100</v>
      </c>
      <c r="T30" s="666" t="s">
        <v>14</v>
      </c>
      <c r="U30" s="667">
        <f t="shared" si="11"/>
        <v>100</v>
      </c>
      <c r="V30" s="666" t="s">
        <v>14</v>
      </c>
      <c r="W30" s="667">
        <f t="shared" si="12"/>
        <v>100</v>
      </c>
      <c r="X30" s="1264"/>
      <c r="Y30" s="3386"/>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86"/>
      <c r="Q31" s="1262">
        <f t="shared" si="8"/>
        <v>111</v>
      </c>
      <c r="R31" s="666" t="s">
        <v>14</v>
      </c>
      <c r="S31" s="667">
        <f t="shared" si="10"/>
        <v>100</v>
      </c>
      <c r="T31" s="666" t="s">
        <v>14</v>
      </c>
      <c r="U31" s="667">
        <f t="shared" si="11"/>
        <v>100</v>
      </c>
      <c r="V31" s="666" t="s">
        <v>14</v>
      </c>
      <c r="W31" s="667">
        <f t="shared" si="12"/>
        <v>100</v>
      </c>
      <c r="X31" s="1264"/>
      <c r="Y31" s="3386"/>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461" t="s">
        <v>1696</v>
      </c>
      <c r="Q32" s="1262">
        <f t="shared" si="8"/>
        <v>111</v>
      </c>
      <c r="R32" s="666" t="s">
        <v>14</v>
      </c>
      <c r="S32" s="667">
        <f t="shared" si="10"/>
        <v>100</v>
      </c>
      <c r="T32" s="666" t="s">
        <v>14</v>
      </c>
      <c r="U32" s="667">
        <f t="shared" si="11"/>
        <v>100</v>
      </c>
      <c r="V32" s="666" t="s">
        <v>14</v>
      </c>
      <c r="W32" s="667">
        <f t="shared" si="12"/>
        <v>100</v>
      </c>
      <c r="X32" s="1264"/>
      <c r="Y32" s="3390"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90"/>
      <c r="Q33" s="1262">
        <f t="shared" si="8"/>
        <v>111</v>
      </c>
      <c r="R33" s="668" t="s">
        <v>14</v>
      </c>
      <c r="S33" s="669">
        <f t="shared" si="10"/>
        <v>100</v>
      </c>
      <c r="T33" s="668" t="s">
        <v>14</v>
      </c>
      <c r="U33" s="669">
        <f t="shared" si="11"/>
        <v>100</v>
      </c>
      <c r="V33" s="668" t="s">
        <v>14</v>
      </c>
      <c r="W33" s="669">
        <f t="shared" si="12"/>
        <v>100</v>
      </c>
      <c r="X33" s="670"/>
      <c r="Y33" s="3390"/>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2"/>
      <c r="M34" s="2487"/>
      <c r="N34" s="2487"/>
      <c r="O34" s="2542"/>
      <c r="P34" s="3390"/>
      <c r="Q34" s="1262" t="str">
        <f>B34</f>
        <v>宗地面积</v>
      </c>
      <c r="R34" s="666" t="s">
        <v>14</v>
      </c>
      <c r="S34" s="667" t="e">
        <f t="shared" si="10"/>
        <v>#N/A</v>
      </c>
      <c r="T34" s="666" t="s">
        <v>14</v>
      </c>
      <c r="U34" s="667" t="e">
        <f t="shared" si="11"/>
        <v>#N/A</v>
      </c>
      <c r="V34" s="666" t="s">
        <v>14</v>
      </c>
      <c r="W34" s="667" t="e">
        <f t="shared" si="12"/>
        <v>#N/A</v>
      </c>
      <c r="X34" s="1264"/>
      <c r="Y34" s="3390"/>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2"/>
      <c r="M35" s="2487"/>
      <c r="N35" s="2487"/>
      <c r="O35" s="2542"/>
      <c r="P35" s="3390"/>
      <c r="Q35" s="1262" t="str">
        <f t="shared" ref="Q35:Q40" si="14">B35</f>
        <v>宗地形状</v>
      </c>
      <c r="R35" s="666" t="s">
        <v>14</v>
      </c>
      <c r="S35" s="667">
        <f t="shared" si="10"/>
        <v>100</v>
      </c>
      <c r="T35" s="666" t="s">
        <v>14</v>
      </c>
      <c r="U35" s="667">
        <f t="shared" si="11"/>
        <v>100</v>
      </c>
      <c r="V35" s="666" t="s">
        <v>14</v>
      </c>
      <c r="W35" s="667">
        <f t="shared" si="12"/>
        <v>100</v>
      </c>
      <c r="X35" s="1264"/>
      <c r="Y35" s="3390"/>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8"/>
      <c r="M36" s="2439"/>
      <c r="N36" s="2439"/>
      <c r="O36" s="2540"/>
      <c r="P36" s="3390"/>
      <c r="Q36" s="1262" t="str">
        <f t="shared" si="14"/>
        <v>宗地开发程度</v>
      </c>
      <c r="R36" s="663" t="s">
        <v>14</v>
      </c>
      <c r="S36" s="664">
        <f t="shared" si="10"/>
        <v>100</v>
      </c>
      <c r="T36" s="663" t="s">
        <v>14</v>
      </c>
      <c r="U36" s="664">
        <f t="shared" si="11"/>
        <v>100</v>
      </c>
      <c r="V36" s="663" t="s">
        <v>14</v>
      </c>
      <c r="W36" s="664">
        <f t="shared" si="12"/>
        <v>100</v>
      </c>
      <c r="X36" s="665"/>
      <c r="Y36" s="3390"/>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2"/>
      <c r="M37" s="2487"/>
      <c r="N37" s="2487"/>
      <c r="O37" s="2542"/>
      <c r="P37" s="3390" t="s">
        <v>1696</v>
      </c>
      <c r="Q37" s="1262" t="str">
        <f t="shared" si="14"/>
        <v>工程地质条件</v>
      </c>
      <c r="R37" s="666" t="s">
        <v>14</v>
      </c>
      <c r="S37" s="667">
        <f t="shared" si="10"/>
        <v>100</v>
      </c>
      <c r="T37" s="666" t="s">
        <v>14</v>
      </c>
      <c r="U37" s="667">
        <f t="shared" si="11"/>
        <v>100</v>
      </c>
      <c r="V37" s="666" t="s">
        <v>14</v>
      </c>
      <c r="W37" s="667">
        <f t="shared" si="12"/>
        <v>100</v>
      </c>
      <c r="X37" s="1264"/>
      <c r="Y37" s="3390"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90"/>
      <c r="Q38" s="1262">
        <f t="shared" si="14"/>
        <v>111</v>
      </c>
      <c r="R38" s="666" t="s">
        <v>14</v>
      </c>
      <c r="S38" s="667">
        <f t="shared" si="10"/>
        <v>100</v>
      </c>
      <c r="T38" s="666" t="s">
        <v>14</v>
      </c>
      <c r="U38" s="667">
        <f t="shared" si="11"/>
        <v>100</v>
      </c>
      <c r="V38" s="666" t="s">
        <v>14</v>
      </c>
      <c r="W38" s="667">
        <f t="shared" si="12"/>
        <v>100</v>
      </c>
      <c r="X38" s="1264"/>
      <c r="Y38" s="3390"/>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90"/>
      <c r="Q39" s="1262">
        <f t="shared" si="14"/>
        <v>111</v>
      </c>
      <c r="R39" s="666" t="s">
        <v>14</v>
      </c>
      <c r="S39" s="667">
        <f t="shared" si="10"/>
        <v>100</v>
      </c>
      <c r="T39" s="666" t="s">
        <v>14</v>
      </c>
      <c r="U39" s="667">
        <f t="shared" si="11"/>
        <v>100</v>
      </c>
      <c r="V39" s="666" t="s">
        <v>14</v>
      </c>
      <c r="W39" s="667">
        <f t="shared" si="12"/>
        <v>100</v>
      </c>
      <c r="X39" s="1264"/>
      <c r="Y39" s="3390"/>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90"/>
      <c r="Q40" s="1262">
        <f t="shared" si="14"/>
        <v>111</v>
      </c>
      <c r="R40" s="668" t="s">
        <v>14</v>
      </c>
      <c r="S40" s="669">
        <f t="shared" si="10"/>
        <v>100</v>
      </c>
      <c r="T40" s="668" t="s">
        <v>14</v>
      </c>
      <c r="U40" s="669">
        <f t="shared" si="11"/>
        <v>100</v>
      </c>
      <c r="V40" s="668" t="s">
        <v>14</v>
      </c>
      <c r="W40" s="669">
        <f t="shared" si="12"/>
        <v>100</v>
      </c>
      <c r="X40" s="670"/>
      <c r="Y40" s="3390"/>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4"/>
      <c r="M41" s="2487"/>
      <c r="N41" s="2487"/>
      <c r="O41" s="2487"/>
      <c r="P41" s="3378" t="str">
        <f>A41</f>
        <v>成交单价</v>
      </c>
      <c r="Q41" s="3378"/>
      <c r="R41" s="3379">
        <f>E41</f>
        <v>0</v>
      </c>
      <c r="S41" s="3379"/>
      <c r="T41" s="3379">
        <f>G41</f>
        <v>0</v>
      </c>
      <c r="U41" s="3379"/>
      <c r="V41" s="3379">
        <f>I41</f>
        <v>0</v>
      </c>
      <c r="W41" s="3379"/>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4"/>
      <c r="M42" s="2487"/>
      <c r="N42" s="2487"/>
      <c r="O42" s="2487"/>
      <c r="P42" s="3378" t="str">
        <f>A42</f>
        <v>比较价值（元/平方米）</v>
      </c>
      <c r="Q42" s="3378"/>
      <c r="R42" s="3463" t="e">
        <f>ROUND(PRODUCT(R41,AA7:AA40),0)</f>
        <v>#DIV/0!</v>
      </c>
      <c r="S42" s="3463"/>
      <c r="T42" s="3463" t="e">
        <f>ROUND(PRODUCT(T41,AB7:AB40),0)</f>
        <v>#DIV/0!</v>
      </c>
      <c r="U42" s="3463"/>
      <c r="V42" s="3463" t="e">
        <f>ROUND(PRODUCT(V41,AC7:AC40),0)</f>
        <v>#DIV/0!</v>
      </c>
      <c r="W42" s="346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4"/>
      <c r="M43" s="2487"/>
      <c r="N43" s="2487"/>
      <c r="O43" s="2487"/>
      <c r="P43" s="3380" t="str">
        <f>A43</f>
        <v>估价对象XX用房的比较价值（楼面单价，元/平方米）</v>
      </c>
      <c r="Q43" s="3381"/>
      <c r="R43" s="3464" t="e">
        <f>ROUND(IF(D42="简单平均",AVERAGE(R42:W42),R42*F42+T42*H42+V42*J42),0)</f>
        <v>#DIV/0!</v>
      </c>
      <c r="S43" s="3464"/>
      <c r="T43" s="3464"/>
      <c r="U43" s="3464"/>
      <c r="V43" s="3464"/>
      <c r="W43" s="3464"/>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96" t="s">
        <v>1887</v>
      </c>
      <c r="H50" s="346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74.16</v>
      </c>
      <c r="F51" s="610" t="e">
        <f t="shared" ref="F51:F60" si="15">ROUND(B51*E51/10000,0)</f>
        <v>#DIV/0!</v>
      </c>
      <c r="G51" s="3392"/>
      <c r="H51" s="337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t="e">
        <f>ROUND($C$43*C52*D52,0)</f>
        <v>#DIV/0!</v>
      </c>
      <c r="C52" s="162">
        <f t="shared" ref="C52:C60" si="16">IF($C$50="北京市系数",I52,J52)</f>
        <v>0</v>
      </c>
      <c r="D52" s="890">
        <v>0.25</v>
      </c>
      <c r="E52" s="613"/>
      <c r="F52" s="610" t="e">
        <f t="shared" si="15"/>
        <v>#DIV/0!</v>
      </c>
      <c r="G52" s="2750" t="s">
        <v>1892</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t="e">
        <f t="shared" ref="B53:B60" si="17">ROUND($C$43*C53*D53,0)</f>
        <v>#DIV/0!</v>
      </c>
      <c r="C53" s="162">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t="e">
        <f t="shared" si="17"/>
        <v>#DIV/0!</v>
      </c>
      <c r="C54" s="162">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8" t="s">
        <v>1716</v>
      </c>
      <c r="B67" s="449"/>
      <c r="C67" s="450"/>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2" customFormat="1" ht="15">
      <c r="A68" s="454" t="s">
        <v>1681</v>
      </c>
      <c r="B68" s="443"/>
      <c r="C68" s="455" t="s">
        <v>1776</v>
      </c>
      <c r="D68" s="31"/>
      <c r="E68" s="31"/>
      <c r="F68" s="31"/>
      <c r="G68" s="31"/>
      <c r="H68" s="31"/>
      <c r="I68" s="31"/>
      <c r="J68" s="31"/>
      <c r="K68" s="31"/>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1"/>
      <c r="D81" s="31"/>
      <c r="E81" s="31"/>
      <c r="F81" s="31"/>
      <c r="G81" s="31"/>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1"/>
      <c r="D105" s="31"/>
      <c r="E105" s="31"/>
      <c r="F105" s="31"/>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c r="D108" s="6"/>
      <c r="E108" s="6"/>
      <c r="F108" s="6"/>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c r="D109" s="520"/>
      <c r="E109" s="520"/>
      <c r="F109" s="520"/>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1"/>
      <c r="D120" s="31"/>
      <c r="E120" s="31"/>
      <c r="F120" s="31"/>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5" t="s">
        <v>1935</v>
      </c>
      <c r="D2" s="161" t="s">
        <v>1936</v>
      </c>
      <c r="E2" s="3120"/>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8"/>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82"/>
      <c r="X9" s="3064" t="s">
        <v>3257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8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3233</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3234</v>
      </c>
      <c r="G14" s="3020" t="s">
        <v>3234</v>
      </c>
      <c r="H14" s="3020" t="s">
        <v>3234</v>
      </c>
      <c r="I14" s="3020" t="s">
        <v>3234</v>
      </c>
      <c r="J14" s="3020" t="s">
        <v>3234</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3235</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t="e">
        <f>ROUND(G18/I18,2)</f>
        <v>#DIV/0!</v>
      </c>
      <c r="F17" s="3028" t="s">
        <v>3241</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3239</v>
      </c>
      <c r="E18" s="2356"/>
      <c r="F18" s="3030" t="s">
        <v>3242</v>
      </c>
      <c r="G18" s="3034">
        <f>ROUND(1-(1/(POWER(1+G24,E18))),4)</f>
        <v>0</v>
      </c>
      <c r="H18" s="3030" t="s">
        <v>3244</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3240</v>
      </c>
      <c r="E19" s="3043"/>
      <c r="F19" s="3044" t="s">
        <v>3243</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7" t="s">
        <v>3245</v>
      </c>
      <c r="B20" s="158" t="s">
        <v>1994</v>
      </c>
      <c r="C20" s="3031" t="e">
        <f>ROUND(IF(F21="与级别开发程度一致",0,(G21-E21)/C21),0)</f>
        <v>#DIV/0!</v>
      </c>
      <c r="D20" s="3046" t="s">
        <v>1998</v>
      </c>
      <c r="E20" s="3047"/>
      <c r="F20" s="3493" t="s">
        <v>1995</v>
      </c>
      <c r="G20" s="349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8"/>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15.7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8"/>
      <c r="I23" s="3049" t="str">
        <f>IF(H23="季度增幅（自定义）",SUMIF(N25:N28,E2,O25:O28),"")</f>
        <v/>
      </c>
      <c r="J23" s="3141"/>
      <c r="K23" s="1060"/>
      <c r="L23" s="1896" t="s">
        <v>2004</v>
      </c>
      <c r="M23" s="1240">
        <f>ROUND(SUMIF(地价!B2:G2,E2,地价!B16:G16),0)</f>
        <v>0</v>
      </c>
      <c r="N23" s="1897" t="s">
        <v>2005</v>
      </c>
      <c r="O23" s="718">
        <f>ROUNDDOWN(DATEDIF(E23,G23,"M")/3,0)</f>
        <v>19</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3324</v>
      </c>
      <c r="C25" s="460">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3"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t="e">
        <f>ROUND(C5*C22*C23*C24*C25*C28,0)</f>
        <v>#DIV/0!</v>
      </c>
      <c r="D33" s="1939"/>
      <c r="E33" s="726" t="e">
        <f>ROUND(C33*D33/10000,0)</f>
        <v>#DIV/0!</v>
      </c>
      <c r="F33" s="3050" t="s">
        <v>3249</v>
      </c>
      <c r="G33" s="1940"/>
      <c r="H33" s="1940"/>
      <c r="I33" s="1940"/>
      <c r="J33" s="1941"/>
      <c r="K33" s="1055"/>
      <c r="L33" s="3053" t="s">
        <v>3252</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3" t="s">
        <v>3253</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3254</v>
      </c>
      <c r="L36" s="3142">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1"/>
      <c r="B37" s="1954" t="s">
        <v>2036</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4"/>
      <c r="K37" s="3061" t="s">
        <v>3255</v>
      </c>
      <c r="L37" s="1963">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2"/>
      <c r="B38" s="1883" t="s">
        <v>2037</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2"/>
      <c r="B39" s="1883" t="s">
        <v>3248</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62" t="s">
        <v>3256</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3258</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3258</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3258</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3259</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2603</v>
      </c>
      <c r="B91" s="3079">
        <f>1+E93</f>
        <v>1</v>
      </c>
      <c r="C91" s="3072"/>
      <c r="D91" s="3073"/>
      <c r="E91" s="1674"/>
      <c r="F91" s="1674"/>
      <c r="G91" s="3074"/>
      <c r="H91" s="3075"/>
      <c r="I91" s="3076"/>
      <c r="J91" s="3077"/>
      <c r="K91" s="3077"/>
      <c r="L91" s="3077"/>
      <c r="M91" s="3077"/>
      <c r="N91" s="3077"/>
    </row>
    <row r="92" spans="1:37" ht="24.75">
      <c r="A92" s="3080" t="s">
        <v>3260</v>
      </c>
      <c r="B92" s="2309"/>
      <c r="C92" s="2309" t="s">
        <v>3269</v>
      </c>
      <c r="D92" s="2309" t="s">
        <v>3270</v>
      </c>
      <c r="E92" s="3052" t="s">
        <v>3271</v>
      </c>
      <c r="F92" s="3082" t="s">
        <v>3272</v>
      </c>
      <c r="G92" s="2309" t="s">
        <v>3273</v>
      </c>
      <c r="H92" s="3089" t="s">
        <v>3276</v>
      </c>
      <c r="I92" s="2309" t="s">
        <v>3277</v>
      </c>
      <c r="J92" s="2149" t="s">
        <v>3278</v>
      </c>
      <c r="K92" s="2149" t="s">
        <v>3279</v>
      </c>
      <c r="L92" s="2149" t="s">
        <v>3280</v>
      </c>
      <c r="M92" s="2149" t="s">
        <v>3281</v>
      </c>
      <c r="N92" s="2149" t="s">
        <v>3282</v>
      </c>
    </row>
    <row r="93" spans="1:37" ht="24">
      <c r="A93" s="3070" t="s">
        <v>3261</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3262</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3258</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3263</v>
      </c>
      <c r="B96" s="3086" t="s">
        <v>3274</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3264</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3265</v>
      </c>
      <c r="B98" s="3087" t="s">
        <v>3275</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3266</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3267</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3268</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9" t="s">
        <v>3283</v>
      </c>
      <c r="B103" s="3489"/>
      <c r="C103" s="3489"/>
      <c r="D103" s="3489"/>
      <c r="E103" s="3489"/>
      <c r="F103" s="3489"/>
      <c r="G103" s="3489"/>
      <c r="H103" s="3489"/>
      <c r="I103" s="3489"/>
      <c r="J103" s="3489"/>
      <c r="K103" s="1666"/>
      <c r="L103" s="1666"/>
      <c r="M103" s="1666"/>
      <c r="N103" s="1666"/>
    </row>
    <row r="104" spans="1:14">
      <c r="A104" s="3490" t="s">
        <v>3284</v>
      </c>
      <c r="B104" s="3490" t="s">
        <v>3285</v>
      </c>
      <c r="C104" s="3090" t="s">
        <v>3286</v>
      </c>
      <c r="D104" s="3091"/>
      <c r="E104" s="3091"/>
      <c r="F104" s="3091"/>
      <c r="G104" s="3091"/>
      <c r="H104" s="3091"/>
      <c r="I104" s="3091"/>
      <c r="J104" s="3092"/>
      <c r="K104" s="3093"/>
      <c r="L104" s="3093"/>
      <c r="M104" s="3093"/>
      <c r="N104" s="3093"/>
    </row>
    <row r="105" spans="1:14">
      <c r="A105" s="3490"/>
      <c r="B105" s="3490"/>
      <c r="C105" s="3094" t="s">
        <v>3287</v>
      </c>
      <c r="D105" s="3094" t="s">
        <v>3288</v>
      </c>
      <c r="E105" s="3094" t="s">
        <v>3289</v>
      </c>
      <c r="F105" s="3094" t="s">
        <v>3290</v>
      </c>
      <c r="G105" s="3094" t="s">
        <v>3291</v>
      </c>
      <c r="H105" s="3094" t="s">
        <v>3292</v>
      </c>
      <c r="I105" s="3094" t="s">
        <v>3293</v>
      </c>
      <c r="J105" s="3094" t="s">
        <v>3294</v>
      </c>
      <c r="K105" s="3094" t="s">
        <v>3295</v>
      </c>
      <c r="L105" s="3094" t="s">
        <v>3296</v>
      </c>
      <c r="M105" s="3094" t="s">
        <v>3297</v>
      </c>
      <c r="N105" s="3094" t="s">
        <v>3298</v>
      </c>
    </row>
    <row r="106" spans="1:14">
      <c r="A106" s="3476" t="s">
        <v>3299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7"/>
      <c r="B111" s="3094" t="s">
        <v>3257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9" t="s">
        <v>3300</v>
      </c>
      <c r="B113" s="3479"/>
      <c r="C113" s="3479"/>
      <c r="D113" s="3479"/>
      <c r="E113" s="3479"/>
      <c r="F113" s="3479"/>
      <c r="G113" s="3479"/>
      <c r="H113" s="3479"/>
      <c r="I113" s="3479"/>
      <c r="J113" s="347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3301</v>
      </c>
      <c r="B116" s="3114">
        <f>G3</f>
        <v>0</v>
      </c>
      <c r="C116" s="3099" t="s">
        <v>3302</v>
      </c>
      <c r="D116" s="3100">
        <f>SUMPRODUCT((A118:A122=F116)*(B117:M117=H116)*B118:M122)</f>
        <v>0</v>
      </c>
      <c r="E116" s="161" t="s">
        <v>3303</v>
      </c>
      <c r="F116" s="3101">
        <f>E2</f>
        <v>0</v>
      </c>
      <c r="G116" s="161" t="s">
        <v>3304</v>
      </c>
      <c r="H116" s="3101">
        <f>G2</f>
        <v>0</v>
      </c>
      <c r="I116" s="161"/>
      <c r="J116" s="3102"/>
      <c r="K116" s="3102"/>
      <c r="L116" s="3102"/>
      <c r="M116" s="3102"/>
      <c r="N116" s="3097"/>
    </row>
    <row r="117" spans="1:14">
      <c r="A117" s="3103"/>
      <c r="B117" s="3104" t="s">
        <v>3305</v>
      </c>
      <c r="C117" s="3104" t="s">
        <v>3306</v>
      </c>
      <c r="D117" s="3104" t="s">
        <v>3307</v>
      </c>
      <c r="E117" s="3105" t="s">
        <v>3308</v>
      </c>
      <c r="F117" s="3105" t="s">
        <v>3309</v>
      </c>
      <c r="G117" s="3105" t="s">
        <v>3310</v>
      </c>
      <c r="H117" s="3106" t="s">
        <v>3311</v>
      </c>
      <c r="I117" s="3106" t="s">
        <v>3312</v>
      </c>
      <c r="J117" s="3107" t="s">
        <v>3313</v>
      </c>
      <c r="K117" s="3107" t="s">
        <v>3314</v>
      </c>
      <c r="L117" s="3107" t="s">
        <v>3315</v>
      </c>
      <c r="M117" s="3108" t="s">
        <v>3316</v>
      </c>
      <c r="N117" s="3097"/>
    </row>
    <row r="118" spans="1:14">
      <c r="A118" s="3057" t="s">
        <v>3317</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3318</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3319</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3320</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2603</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06" t="s">
        <v>2598</v>
      </c>
      <c r="B20" s="3499" t="s">
        <v>2619</v>
      </c>
      <c r="C20" s="3168" t="s">
        <v>2430</v>
      </c>
      <c r="D20" s="3168"/>
      <c r="E20" s="2844">
        <v>1</v>
      </c>
      <c r="F20" s="2845" t="s">
        <v>2431</v>
      </c>
      <c r="G20" s="2845"/>
    </row>
    <row r="21" spans="1:13" ht="19.5" customHeight="1">
      <c r="A21" s="3507"/>
      <c r="B21" s="3495"/>
      <c r="C21" s="2857" t="s">
        <v>2432</v>
      </c>
      <c r="D21" s="2857"/>
      <c r="E21" s="2848">
        <v>1</v>
      </c>
      <c r="F21" s="2845" t="s">
        <v>2433</v>
      </c>
      <c r="G21" s="2845"/>
    </row>
    <row r="22" spans="1:13" ht="19.5" customHeight="1">
      <c r="A22" s="3507"/>
      <c r="B22" s="3495"/>
      <c r="C22" s="2857" t="s">
        <v>2434</v>
      </c>
      <c r="D22" s="2857"/>
      <c r="E22" s="2848">
        <v>0.9</v>
      </c>
      <c r="F22" s="2845" t="s">
        <v>2435</v>
      </c>
      <c r="G22" s="2845"/>
    </row>
    <row r="23" spans="1:13" ht="19.5" customHeight="1">
      <c r="A23" s="3507"/>
      <c r="B23" s="3495"/>
      <c r="C23" s="2857" t="s">
        <v>2436</v>
      </c>
      <c r="D23" s="2857"/>
      <c r="E23" s="2848">
        <v>0.9</v>
      </c>
      <c r="F23" s="2845" t="s">
        <v>2437</v>
      </c>
      <c r="G23" s="2845"/>
    </row>
    <row r="24" spans="1:13" ht="19.5" customHeight="1">
      <c r="A24" s="3507"/>
      <c r="B24" s="3495"/>
      <c r="C24" s="2857" t="s">
        <v>2438</v>
      </c>
      <c r="D24" s="2857"/>
      <c r="E24" s="2848">
        <v>0.8</v>
      </c>
      <c r="F24" s="2845" t="s">
        <v>2439</v>
      </c>
      <c r="G24" s="2845"/>
    </row>
    <row r="25" spans="1:13" ht="19.5" customHeight="1">
      <c r="A25" s="3507"/>
      <c r="B25" s="3495"/>
      <c r="C25" s="2857" t="s">
        <v>2440</v>
      </c>
      <c r="D25" s="2857"/>
      <c r="E25" s="2848">
        <v>0.8</v>
      </c>
      <c r="F25" s="2845"/>
      <c r="G25" s="2845"/>
    </row>
    <row r="26" spans="1:13" ht="19.5" customHeight="1">
      <c r="A26" s="3507"/>
      <c r="B26" s="3495"/>
      <c r="C26" s="2857" t="s">
        <v>3398</v>
      </c>
      <c r="D26" s="2857"/>
      <c r="E26" s="2848">
        <v>0.43</v>
      </c>
      <c r="F26" s="2845"/>
      <c r="G26" s="2845"/>
    </row>
    <row r="27" spans="1:13" ht="19.5" customHeight="1" thickBot="1">
      <c r="A27" s="3508"/>
      <c r="B27" s="3500"/>
      <c r="C27" s="3164" t="s">
        <v>3399</v>
      </c>
      <c r="D27" s="3164"/>
      <c r="E27" s="2851">
        <f>E26*0.9</f>
        <v>0.38700000000000001</v>
      </c>
      <c r="F27" s="2845" t="s">
        <v>2441</v>
      </c>
      <c r="G27" s="2845"/>
    </row>
    <row r="28" spans="1:13" ht="19.5" customHeight="1" thickBot="1">
      <c r="A28" s="3163" t="s">
        <v>2620</v>
      </c>
      <c r="B28" s="3162" t="s">
        <v>2619</v>
      </c>
      <c r="C28" s="3165" t="s">
        <v>2621</v>
      </c>
      <c r="D28" s="3166"/>
      <c r="E28" s="3167">
        <v>1</v>
      </c>
      <c r="F28" s="2845" t="s">
        <v>2442</v>
      </c>
      <c r="G28" s="2845"/>
    </row>
    <row r="29" spans="1:13" ht="19.5" customHeight="1">
      <c r="A29" s="3501" t="s">
        <v>2622</v>
      </c>
      <c r="B29" s="3504" t="s">
        <v>2603</v>
      </c>
      <c r="C29" s="2842" t="s">
        <v>2443</v>
      </c>
      <c r="D29" s="2843"/>
      <c r="E29" s="2844">
        <v>1</v>
      </c>
      <c r="F29" s="2845" t="s">
        <v>2444</v>
      </c>
      <c r="G29" s="2845"/>
    </row>
    <row r="30" spans="1:13" ht="19.5" customHeight="1">
      <c r="A30" s="3502"/>
      <c r="B30" s="3498"/>
      <c r="C30" s="2846" t="s">
        <v>2445</v>
      </c>
      <c r="D30" s="2847"/>
      <c r="E30" s="2848">
        <v>1</v>
      </c>
      <c r="F30" s="2845" t="s">
        <v>2446</v>
      </c>
      <c r="G30" s="2845"/>
    </row>
    <row r="31" spans="1:13" ht="19.5" customHeight="1">
      <c r="A31" s="3502"/>
      <c r="B31" s="3498"/>
      <c r="C31" s="2846" t="s">
        <v>2447</v>
      </c>
      <c r="D31" s="2847"/>
      <c r="E31" s="2848">
        <v>0.8</v>
      </c>
      <c r="F31" s="2845" t="s">
        <v>2448</v>
      </c>
      <c r="G31" s="2845"/>
    </row>
    <row r="32" spans="1:13" ht="19.5" customHeight="1">
      <c r="A32" s="3502"/>
      <c r="B32" s="3498"/>
      <c r="C32" s="2846" t="s">
        <v>2449</v>
      </c>
      <c r="D32" s="2847"/>
      <c r="E32" s="2848">
        <v>0.8</v>
      </c>
      <c r="F32" s="2845" t="s">
        <v>2450</v>
      </c>
      <c r="G32" s="2845"/>
    </row>
    <row r="33" spans="1:7" ht="19.5" customHeight="1">
      <c r="A33" s="3502"/>
      <c r="B33" s="3498"/>
      <c r="C33" s="2846" t="s">
        <v>2451</v>
      </c>
      <c r="D33" s="2847"/>
      <c r="E33" s="2848">
        <v>0.8</v>
      </c>
      <c r="F33" s="2845" t="s">
        <v>2452</v>
      </c>
      <c r="G33" s="2845"/>
    </row>
    <row r="34" spans="1:7" ht="19.5" customHeight="1">
      <c r="A34" s="3502"/>
      <c r="B34" s="3498"/>
      <c r="C34" s="2846" t="s">
        <v>2453</v>
      </c>
      <c r="D34" s="2847"/>
      <c r="E34" s="2848">
        <v>0.7</v>
      </c>
      <c r="F34" s="2845" t="s">
        <v>2454</v>
      </c>
      <c r="G34" s="2845"/>
    </row>
    <row r="35" spans="1:7" ht="19.5" customHeight="1">
      <c r="A35" s="3502"/>
      <c r="B35" s="3498"/>
      <c r="C35" s="2846" t="s">
        <v>2455</v>
      </c>
      <c r="D35" s="2847"/>
      <c r="E35" s="2848">
        <v>0.8</v>
      </c>
      <c r="F35" s="2845" t="s">
        <v>2456</v>
      </c>
      <c r="G35" s="2845"/>
    </row>
    <row r="36" spans="1:7" ht="19.5" customHeight="1">
      <c r="A36" s="3502"/>
      <c r="B36" s="3498"/>
      <c r="C36" s="2846" t="s">
        <v>2457</v>
      </c>
      <c r="D36" s="2847"/>
      <c r="E36" s="2848">
        <v>0.6</v>
      </c>
      <c r="F36" s="2845" t="s">
        <v>2458</v>
      </c>
      <c r="G36" s="2845"/>
    </row>
    <row r="37" spans="1:7" ht="19.5" customHeight="1">
      <c r="A37" s="3502"/>
      <c r="B37" s="3498"/>
      <c r="C37" s="2846" t="s">
        <v>2459</v>
      </c>
      <c r="D37" s="2847"/>
      <c r="E37" s="2848">
        <v>0.2</v>
      </c>
      <c r="F37" s="2845" t="s">
        <v>2460</v>
      </c>
      <c r="G37" s="2845"/>
    </row>
    <row r="38" spans="1:7" ht="19.5" customHeight="1">
      <c r="A38" s="3502"/>
      <c r="B38" s="3498"/>
      <c r="C38" s="2846" t="s">
        <v>2461</v>
      </c>
      <c r="D38" s="2847"/>
      <c r="E38" s="2848">
        <v>0.2</v>
      </c>
      <c r="F38" s="2845" t="s">
        <v>2462</v>
      </c>
      <c r="G38" s="2845"/>
    </row>
    <row r="39" spans="1:7" ht="19.5" customHeight="1">
      <c r="A39" s="3502"/>
      <c r="B39" s="3496" t="s">
        <v>2623</v>
      </c>
      <c r="C39" s="2846" t="s">
        <v>2463</v>
      </c>
      <c r="D39" s="2847"/>
      <c r="E39" s="2848">
        <v>0.6</v>
      </c>
      <c r="F39" s="2845" t="s">
        <v>2464</v>
      </c>
      <c r="G39" s="2845"/>
    </row>
    <row r="40" spans="1:7" ht="19.5" customHeight="1">
      <c r="A40" s="3502"/>
      <c r="B40" s="3498"/>
      <c r="C40" s="2846" t="s">
        <v>2465</v>
      </c>
      <c r="D40" s="2847"/>
      <c r="E40" s="2848">
        <v>0.6</v>
      </c>
      <c r="F40" s="2845" t="s">
        <v>2466</v>
      </c>
      <c r="G40" s="2845"/>
    </row>
    <row r="41" spans="1:7" ht="19.5" customHeight="1" thickBot="1">
      <c r="A41" s="3503"/>
      <c r="B41" s="3505"/>
      <c r="C41" s="2849" t="s">
        <v>2467</v>
      </c>
      <c r="D41" s="2850"/>
      <c r="E41" s="2851">
        <v>0.6</v>
      </c>
      <c r="F41" s="2845" t="s">
        <v>2468</v>
      </c>
      <c r="G41" s="2845"/>
    </row>
    <row r="42" spans="1:7" ht="19.5" customHeight="1" thickBot="1">
      <c r="A42" s="2852" t="s">
        <v>2600</v>
      </c>
      <c r="B42" s="2853" t="s">
        <v>2600</v>
      </c>
      <c r="C42" s="2854" t="s">
        <v>2624</v>
      </c>
      <c r="D42" s="2855"/>
      <c r="E42" s="2856">
        <v>1</v>
      </c>
      <c r="F42" s="2845" t="s">
        <v>2469</v>
      </c>
      <c r="G42" s="2845"/>
    </row>
    <row r="43" spans="1:7" ht="19.5" customHeight="1">
      <c r="A43" s="3506" t="s">
        <v>2601</v>
      </c>
      <c r="B43" s="3504" t="s">
        <v>2625</v>
      </c>
      <c r="C43" s="2842" t="s">
        <v>2470</v>
      </c>
      <c r="D43" s="2843"/>
      <c r="E43" s="2844">
        <v>1</v>
      </c>
      <c r="F43" s="2845" t="s">
        <v>2471</v>
      </c>
      <c r="G43" s="2845"/>
    </row>
    <row r="44" spans="1:7" ht="19.5" customHeight="1">
      <c r="A44" s="3507"/>
      <c r="B44" s="3498"/>
      <c r="C44" s="2846" t="s">
        <v>2472</v>
      </c>
      <c r="D44" s="2847"/>
      <c r="E44" s="2848">
        <v>1</v>
      </c>
      <c r="F44" s="2845" t="s">
        <v>2473</v>
      </c>
      <c r="G44" s="2845"/>
    </row>
    <row r="45" spans="1:7" ht="19.5" customHeight="1">
      <c r="A45" s="3507"/>
      <c r="B45" s="3497"/>
      <c r="C45" s="2846" t="s">
        <v>2474</v>
      </c>
      <c r="D45" s="2847"/>
      <c r="E45" s="2848">
        <v>1.5</v>
      </c>
      <c r="F45" s="2845" t="s">
        <v>2475</v>
      </c>
      <c r="G45" s="2845"/>
    </row>
    <row r="46" spans="1:7" ht="19.5" customHeight="1">
      <c r="A46" s="3507"/>
      <c r="B46" s="2857" t="s">
        <v>2626</v>
      </c>
      <c r="C46" s="2846" t="s">
        <v>2627</v>
      </c>
      <c r="D46" s="2847"/>
      <c r="E46" s="2848">
        <v>2</v>
      </c>
      <c r="F46" s="2845" t="s">
        <v>2476</v>
      </c>
      <c r="G46" s="2845"/>
    </row>
    <row r="47" spans="1:7" ht="19.5" customHeight="1">
      <c r="A47" s="3507"/>
      <c r="B47" s="3496" t="s">
        <v>2628</v>
      </c>
      <c r="C47" s="2846" t="s">
        <v>2477</v>
      </c>
      <c r="D47" s="2847"/>
      <c r="E47" s="2848">
        <v>1</v>
      </c>
      <c r="F47" s="2845" t="s">
        <v>2478</v>
      </c>
      <c r="G47" s="2845"/>
    </row>
    <row r="48" spans="1:7" ht="19.5" customHeight="1">
      <c r="A48" s="3507"/>
      <c r="B48" s="3498"/>
      <c r="C48" s="2846" t="s">
        <v>2479</v>
      </c>
      <c r="D48" s="2847"/>
      <c r="E48" s="2848">
        <v>1</v>
      </c>
      <c r="F48" s="2845" t="s">
        <v>2480</v>
      </c>
      <c r="G48" s="2845"/>
    </row>
    <row r="49" spans="1:7" ht="19.5" customHeight="1">
      <c r="A49" s="3507"/>
      <c r="B49" s="3498"/>
      <c r="C49" s="2846" t="s">
        <v>2481</v>
      </c>
      <c r="D49" s="2847"/>
      <c r="E49" s="2848">
        <v>1</v>
      </c>
      <c r="F49" s="2845" t="s">
        <v>2482</v>
      </c>
      <c r="G49" s="2845"/>
    </row>
    <row r="50" spans="1:7" ht="19.5" customHeight="1">
      <c r="A50" s="3507"/>
      <c r="B50" s="3498"/>
      <c r="C50" s="2846" t="s">
        <v>2483</v>
      </c>
      <c r="D50" s="2847"/>
      <c r="E50" s="2848">
        <v>1</v>
      </c>
      <c r="F50" s="2845" t="s">
        <v>2484</v>
      </c>
      <c r="G50" s="2845"/>
    </row>
    <row r="51" spans="1:7" ht="19.5" customHeight="1">
      <c r="A51" s="3507"/>
      <c r="B51" s="3498"/>
      <c r="C51" s="2846" t="s">
        <v>2485</v>
      </c>
      <c r="D51" s="2847"/>
      <c r="E51" s="2848">
        <v>1</v>
      </c>
      <c r="F51" s="2845" t="s">
        <v>2486</v>
      </c>
      <c r="G51" s="2845"/>
    </row>
    <row r="52" spans="1:7" ht="19.5" customHeight="1">
      <c r="A52" s="3507"/>
      <c r="B52" s="3498"/>
      <c r="C52" s="2846" t="s">
        <v>2487</v>
      </c>
      <c r="D52" s="2847"/>
      <c r="E52" s="2848">
        <v>1</v>
      </c>
      <c r="F52" s="2845" t="s">
        <v>2488</v>
      </c>
      <c r="G52" s="2845"/>
    </row>
    <row r="53" spans="1:7" ht="19.5" customHeight="1" thickBot="1">
      <c r="A53" s="3508"/>
      <c r="B53" s="3505"/>
      <c r="C53" s="2849" t="s">
        <v>2489</v>
      </c>
      <c r="D53" s="2850"/>
      <c r="E53" s="2851">
        <v>1</v>
      </c>
      <c r="F53" s="2845" t="s">
        <v>2490</v>
      </c>
      <c r="G53" s="2845"/>
    </row>
    <row r="54" spans="1:7" ht="19.5" customHeight="1">
      <c r="A54" s="2858"/>
      <c r="B54" s="2858"/>
      <c r="C54" s="2858"/>
      <c r="D54" s="2858"/>
      <c r="E54" s="2858"/>
      <c r="F54" s="2858"/>
      <c r="G54" s="2858"/>
    </row>
    <row r="56" spans="1:7" ht="19.5" customHeight="1">
      <c r="A56" s="2859"/>
      <c r="B56" s="2831" t="s">
        <v>2629</v>
      </c>
      <c r="C56" s="2831" t="s">
        <v>2629</v>
      </c>
      <c r="D56" s="2831" t="s">
        <v>2629</v>
      </c>
      <c r="E56" s="2834" t="s">
        <v>2629</v>
      </c>
      <c r="F56" s="2834" t="s">
        <v>2630</v>
      </c>
      <c r="G56" s="2834" t="s">
        <v>2631</v>
      </c>
    </row>
    <row r="57" spans="1:7" ht="19.5" customHeight="1">
      <c r="A57" s="2860"/>
      <c r="B57" s="2834" t="s">
        <v>2598</v>
      </c>
      <c r="C57" s="2834" t="s">
        <v>2598</v>
      </c>
      <c r="D57" s="2834" t="s">
        <v>2598</v>
      </c>
      <c r="E57" s="2831" t="s">
        <v>2599</v>
      </c>
      <c r="F57" s="2831" t="s">
        <v>2601</v>
      </c>
      <c r="G57" s="2831" t="s">
        <v>2632</v>
      </c>
    </row>
    <row r="58" spans="1:7" ht="19.5" customHeight="1">
      <c r="A58" s="2861"/>
      <c r="B58" s="2831">
        <v>1</v>
      </c>
      <c r="C58" s="2831">
        <v>2</v>
      </c>
      <c r="D58" s="2831">
        <v>3</v>
      </c>
      <c r="E58" s="2862" t="s">
        <v>2633</v>
      </c>
      <c r="F58" s="2862" t="s">
        <v>2633</v>
      </c>
      <c r="G58" s="2862" t="s">
        <v>2633</v>
      </c>
    </row>
    <row r="59" spans="1:7" ht="19.5" customHeight="1">
      <c r="A59" s="2863" t="s">
        <v>2586</v>
      </c>
      <c r="B59" s="2831">
        <v>0.7</v>
      </c>
      <c r="C59" s="2831">
        <v>0.4</v>
      </c>
      <c r="D59" s="2831">
        <v>0.3</v>
      </c>
      <c r="E59" s="2862">
        <v>0.3</v>
      </c>
      <c r="F59" s="2831">
        <v>0.3</v>
      </c>
      <c r="G59" s="2831">
        <v>0.2</v>
      </c>
    </row>
    <row r="60" spans="1:7" ht="19.5" customHeight="1">
      <c r="A60" s="2863" t="s">
        <v>2587</v>
      </c>
      <c r="B60" s="2831">
        <v>0.7</v>
      </c>
      <c r="C60" s="2831">
        <v>0.4</v>
      </c>
      <c r="D60" s="2831">
        <v>0.3</v>
      </c>
      <c r="E60" s="2831">
        <v>0.3</v>
      </c>
      <c r="F60" s="2831">
        <v>0.3</v>
      </c>
      <c r="G60" s="2831">
        <v>0.2</v>
      </c>
    </row>
    <row r="61" spans="1:7" ht="19.5" customHeight="1">
      <c r="A61" s="2863" t="s">
        <v>2588</v>
      </c>
      <c r="B61" s="2831">
        <v>0.6</v>
      </c>
      <c r="C61" s="2831">
        <v>0.3</v>
      </c>
      <c r="D61" s="2831">
        <v>0.25</v>
      </c>
      <c r="E61" s="2831">
        <v>0.25</v>
      </c>
      <c r="F61" s="2831">
        <v>0.25</v>
      </c>
      <c r="G61" s="2831">
        <v>0.15</v>
      </c>
    </row>
    <row r="62" spans="1:7" ht="19.5" customHeight="1">
      <c r="A62" s="2863" t="s">
        <v>2589</v>
      </c>
      <c r="B62" s="2831">
        <v>0.6</v>
      </c>
      <c r="C62" s="2831">
        <v>0.3</v>
      </c>
      <c r="D62" s="2831">
        <v>0.25</v>
      </c>
      <c r="E62" s="2831">
        <v>0.25</v>
      </c>
      <c r="F62" s="2831">
        <v>0.25</v>
      </c>
      <c r="G62" s="2831">
        <v>0.15</v>
      </c>
    </row>
    <row r="63" spans="1:7" ht="19.5" customHeight="1">
      <c r="A63" s="2863" t="s">
        <v>2590</v>
      </c>
      <c r="B63" s="2831">
        <v>0.6</v>
      </c>
      <c r="C63" s="2831">
        <v>0.3</v>
      </c>
      <c r="D63" s="2831">
        <v>0.25</v>
      </c>
      <c r="E63" s="2831">
        <v>0.25</v>
      </c>
      <c r="F63" s="2831">
        <v>0.25</v>
      </c>
      <c r="G63" s="2831">
        <v>0.15</v>
      </c>
    </row>
    <row r="64" spans="1:7" ht="19.5" customHeight="1">
      <c r="A64" s="2863" t="s">
        <v>2591</v>
      </c>
      <c r="B64" s="2831">
        <v>0.6</v>
      </c>
      <c r="C64" s="2831">
        <v>0.3</v>
      </c>
      <c r="D64" s="2831">
        <v>0.25</v>
      </c>
      <c r="E64" s="2831">
        <v>0.25</v>
      </c>
      <c r="F64" s="2831">
        <v>0.25</v>
      </c>
      <c r="G64" s="2831">
        <v>0.15</v>
      </c>
    </row>
    <row r="65" spans="1:7" ht="19.5" customHeight="1">
      <c r="A65" s="2863" t="s">
        <v>2592</v>
      </c>
      <c r="B65" s="2831">
        <v>0.6</v>
      </c>
      <c r="C65" s="2831">
        <v>0.3</v>
      </c>
      <c r="D65" s="2831">
        <v>0.25</v>
      </c>
      <c r="E65" s="2831">
        <v>0.25</v>
      </c>
      <c r="F65" s="2831">
        <v>0.25</v>
      </c>
      <c r="G65" s="2831">
        <v>0.15</v>
      </c>
    </row>
    <row r="66" spans="1:7" ht="19.5" customHeight="1">
      <c r="A66" s="2863" t="s">
        <v>2593</v>
      </c>
      <c r="B66" s="2831">
        <v>0.5</v>
      </c>
      <c r="C66" s="2831">
        <v>0.2</v>
      </c>
      <c r="D66" s="2831">
        <v>0.2</v>
      </c>
      <c r="E66" s="2831">
        <v>0.2</v>
      </c>
      <c r="F66" s="2831">
        <v>0.2</v>
      </c>
      <c r="G66" s="2831">
        <v>0.1</v>
      </c>
    </row>
    <row r="67" spans="1:7" ht="19.5" customHeight="1">
      <c r="A67" s="2863" t="s">
        <v>2594</v>
      </c>
      <c r="B67" s="2831">
        <v>0.5</v>
      </c>
      <c r="C67" s="2831">
        <v>0.2</v>
      </c>
      <c r="D67" s="2831">
        <v>0.2</v>
      </c>
      <c r="E67" s="2831">
        <v>0.2</v>
      </c>
      <c r="F67" s="2831">
        <v>0.2</v>
      </c>
      <c r="G67" s="2831">
        <v>0.1</v>
      </c>
    </row>
    <row r="68" spans="1:7" ht="19.5" customHeight="1">
      <c r="A68" s="2863" t="s">
        <v>2595</v>
      </c>
      <c r="B68" s="2831">
        <v>0.5</v>
      </c>
      <c r="C68" s="2831">
        <v>0.2</v>
      </c>
      <c r="D68" s="2831">
        <v>0.2</v>
      </c>
      <c r="E68" s="2831">
        <v>0.2</v>
      </c>
      <c r="F68" s="2831">
        <v>0.2</v>
      </c>
      <c r="G68" s="2831">
        <v>0.1</v>
      </c>
    </row>
    <row r="69" spans="1:7" ht="19.5" customHeight="1">
      <c r="A69" s="2863" t="s">
        <v>2596</v>
      </c>
      <c r="B69" s="2831">
        <v>0.5</v>
      </c>
      <c r="C69" s="2831">
        <v>0.2</v>
      </c>
      <c r="D69" s="2831">
        <v>0.2</v>
      </c>
      <c r="E69" s="2831">
        <v>0.2</v>
      </c>
      <c r="F69" s="2831">
        <v>0.2</v>
      </c>
      <c r="G69" s="2831">
        <v>0.1</v>
      </c>
    </row>
    <row r="70" spans="1:7" ht="19.5" customHeight="1">
      <c r="A70" s="2863" t="s">
        <v>2597</v>
      </c>
      <c r="B70" s="2831">
        <v>0.5</v>
      </c>
      <c r="C70" s="2831">
        <v>0.2</v>
      </c>
      <c r="D70" s="2831">
        <v>0.2</v>
      </c>
      <c r="E70" s="2831">
        <v>0.2</v>
      </c>
      <c r="F70" s="2831">
        <v>0.2</v>
      </c>
      <c r="G70" s="2831">
        <v>0.1</v>
      </c>
    </row>
    <row r="72" spans="1:7" ht="19.5" customHeight="1">
      <c r="A72" s="2845"/>
      <c r="B72" s="2864"/>
      <c r="C72" s="2864"/>
      <c r="D72" s="2864" t="s">
        <v>2634</v>
      </c>
      <c r="E72" s="2864"/>
      <c r="F72" s="2864"/>
    </row>
    <row r="73" spans="1:7" ht="19.5" customHeight="1">
      <c r="A73" s="2857" t="s">
        <v>2635</v>
      </c>
      <c r="B73" s="2857" t="s">
        <v>2636</v>
      </c>
      <c r="C73" s="2857" t="s">
        <v>2637</v>
      </c>
      <c r="D73" s="2857" t="s">
        <v>2638</v>
      </c>
      <c r="E73" s="2857" t="s">
        <v>2639</v>
      </c>
      <c r="F73" s="2857" t="s">
        <v>2640</v>
      </c>
    </row>
    <row r="74" spans="1:7" ht="13.5">
      <c r="A74" s="2857"/>
      <c r="B74" s="2857"/>
      <c r="C74" s="2857" t="s">
        <v>2641</v>
      </c>
      <c r="D74" s="2857"/>
      <c r="E74" s="2857" t="s">
        <v>2612</v>
      </c>
      <c r="F74" s="2857" t="s">
        <v>2612</v>
      </c>
    </row>
    <row r="75" spans="1:7" ht="13.5">
      <c r="A75" s="2857">
        <v>1</v>
      </c>
      <c r="B75" s="3496" t="s">
        <v>2642</v>
      </c>
      <c r="C75" s="2831" t="s">
        <v>2643</v>
      </c>
      <c r="D75" s="2831" t="s">
        <v>2644</v>
      </c>
      <c r="E75" s="2857">
        <v>0.2</v>
      </c>
      <c r="F75" s="2857">
        <v>25</v>
      </c>
    </row>
    <row r="76" spans="1:7" ht="24">
      <c r="A76" s="2857">
        <v>2</v>
      </c>
      <c r="B76" s="3498"/>
      <c r="C76" s="2831" t="s">
        <v>2645</v>
      </c>
      <c r="D76" s="2831" t="s">
        <v>2646</v>
      </c>
      <c r="E76" s="2857">
        <v>0.2</v>
      </c>
      <c r="F76" s="2857">
        <v>25</v>
      </c>
    </row>
    <row r="77" spans="1:7" ht="24">
      <c r="A77" s="2857">
        <v>3</v>
      </c>
      <c r="B77" s="3498"/>
      <c r="C77" s="2831" t="s">
        <v>2647</v>
      </c>
      <c r="D77" s="2831" t="s">
        <v>2648</v>
      </c>
      <c r="E77" s="2857">
        <v>0.2</v>
      </c>
      <c r="F77" s="2857">
        <v>25</v>
      </c>
    </row>
    <row r="78" spans="1:7" ht="13.5">
      <c r="A78" s="2857">
        <v>4</v>
      </c>
      <c r="B78" s="3498"/>
      <c r="C78" s="2831" t="s">
        <v>2649</v>
      </c>
      <c r="D78" s="2831" t="s">
        <v>2650</v>
      </c>
      <c r="E78" s="2857">
        <v>0.15</v>
      </c>
      <c r="F78" s="2857">
        <v>20</v>
      </c>
    </row>
    <row r="79" spans="1:7" ht="24">
      <c r="A79" s="2857">
        <v>5</v>
      </c>
      <c r="B79" s="3498"/>
      <c r="C79" s="2831" t="s">
        <v>2651</v>
      </c>
      <c r="D79" s="2831" t="s">
        <v>2652</v>
      </c>
      <c r="E79" s="2857">
        <v>0.15</v>
      </c>
      <c r="F79" s="2857">
        <v>20</v>
      </c>
    </row>
    <row r="80" spans="1:7" ht="24">
      <c r="A80" s="2857">
        <v>6</v>
      </c>
      <c r="B80" s="3498"/>
      <c r="C80" s="2831" t="s">
        <v>2653</v>
      </c>
      <c r="D80" s="2831" t="s">
        <v>2654</v>
      </c>
      <c r="E80" s="2857">
        <v>0.15</v>
      </c>
      <c r="F80" s="2857">
        <v>20</v>
      </c>
    </row>
    <row r="81" spans="1:6" ht="24">
      <c r="A81" s="2857">
        <v>7</v>
      </c>
      <c r="B81" s="3498"/>
      <c r="C81" s="2831" t="s">
        <v>2655</v>
      </c>
      <c r="D81" s="2831" t="s">
        <v>2656</v>
      </c>
      <c r="E81" s="2857">
        <v>0.15</v>
      </c>
      <c r="F81" s="2857">
        <v>20</v>
      </c>
    </row>
    <row r="82" spans="1:6" ht="24">
      <c r="A82" s="2857">
        <v>8</v>
      </c>
      <c r="B82" s="3498"/>
      <c r="C82" s="2831" t="s">
        <v>2657</v>
      </c>
      <c r="D82" s="2831" t="s">
        <v>2658</v>
      </c>
      <c r="E82" s="2857">
        <v>0.1</v>
      </c>
      <c r="F82" s="2857">
        <v>15</v>
      </c>
    </row>
    <row r="83" spans="1:6" ht="24">
      <c r="A83" s="2857">
        <v>9</v>
      </c>
      <c r="B83" s="3498"/>
      <c r="C83" s="2831" t="s">
        <v>2659</v>
      </c>
      <c r="D83" s="2831" t="s">
        <v>2660</v>
      </c>
      <c r="E83" s="2857">
        <v>0.1</v>
      </c>
      <c r="F83" s="2857">
        <v>15</v>
      </c>
    </row>
    <row r="84" spans="1:6" ht="24">
      <c r="A84" s="2857">
        <v>10</v>
      </c>
      <c r="B84" s="3498"/>
      <c r="C84" s="2831" t="s">
        <v>2661</v>
      </c>
      <c r="D84" s="2831" t="s">
        <v>2662</v>
      </c>
      <c r="E84" s="2857">
        <v>0.1</v>
      </c>
      <c r="F84" s="2857">
        <v>15</v>
      </c>
    </row>
    <row r="85" spans="1:6" ht="24">
      <c r="A85" s="2857">
        <v>11</v>
      </c>
      <c r="B85" s="3498"/>
      <c r="C85" s="2831" t="s">
        <v>2663</v>
      </c>
      <c r="D85" s="2831" t="s">
        <v>2664</v>
      </c>
      <c r="E85" s="2857">
        <v>0.1</v>
      </c>
      <c r="F85" s="2857">
        <v>15</v>
      </c>
    </row>
    <row r="86" spans="1:6" ht="24">
      <c r="A86" s="2857">
        <v>12</v>
      </c>
      <c r="B86" s="3498"/>
      <c r="C86" s="2831" t="s">
        <v>2665</v>
      </c>
      <c r="D86" s="2831" t="s">
        <v>2666</v>
      </c>
      <c r="E86" s="2857">
        <v>0.1</v>
      </c>
      <c r="F86" s="2857">
        <v>15</v>
      </c>
    </row>
    <row r="87" spans="1:6" ht="13.5">
      <c r="A87" s="2857">
        <v>13</v>
      </c>
      <c r="B87" s="3498"/>
      <c r="C87" s="2831" t="s">
        <v>2667</v>
      </c>
      <c r="D87" s="2831" t="s">
        <v>2668</v>
      </c>
      <c r="E87" s="2857">
        <v>0.1</v>
      </c>
      <c r="F87" s="2857">
        <v>15</v>
      </c>
    </row>
    <row r="88" spans="1:6" ht="13.5">
      <c r="A88" s="2857">
        <v>14</v>
      </c>
      <c r="B88" s="3498"/>
      <c r="C88" s="2831" t="s">
        <v>2669</v>
      </c>
      <c r="D88" s="2831" t="s">
        <v>2670</v>
      </c>
      <c r="E88" s="2857">
        <v>0.1</v>
      </c>
      <c r="F88" s="2857">
        <v>15</v>
      </c>
    </row>
    <row r="89" spans="1:6" ht="13.5">
      <c r="A89" s="2857">
        <v>15</v>
      </c>
      <c r="B89" s="3498"/>
      <c r="C89" s="2831" t="s">
        <v>2671</v>
      </c>
      <c r="D89" s="2831" t="s">
        <v>2672</v>
      </c>
      <c r="E89" s="2857">
        <v>0.1</v>
      </c>
      <c r="F89" s="2857">
        <v>15</v>
      </c>
    </row>
    <row r="90" spans="1:6" ht="24">
      <c r="A90" s="2857">
        <v>16</v>
      </c>
      <c r="B90" s="3498"/>
      <c r="C90" s="2831" t="s">
        <v>2673</v>
      </c>
      <c r="D90" s="2831" t="s">
        <v>2674</v>
      </c>
      <c r="E90" s="2857">
        <v>0.1</v>
      </c>
      <c r="F90" s="2857">
        <v>15</v>
      </c>
    </row>
    <row r="91" spans="1:6" ht="24">
      <c r="A91" s="2857">
        <v>17</v>
      </c>
      <c r="B91" s="3497"/>
      <c r="C91" s="2831" t="s">
        <v>2675</v>
      </c>
      <c r="D91" s="2831" t="s">
        <v>2676</v>
      </c>
      <c r="E91" s="2857">
        <v>0.1</v>
      </c>
      <c r="F91" s="2857">
        <v>15</v>
      </c>
    </row>
    <row r="92" spans="1:6" ht="13.5">
      <c r="A92" s="2857">
        <v>18</v>
      </c>
      <c r="B92" s="3496" t="s">
        <v>2677</v>
      </c>
      <c r="C92" s="2831" t="s">
        <v>2678</v>
      </c>
      <c r="D92" s="2831" t="s">
        <v>2679</v>
      </c>
      <c r="E92" s="2857">
        <v>0.2</v>
      </c>
      <c r="F92" s="2857">
        <v>25</v>
      </c>
    </row>
    <row r="93" spans="1:6" ht="24">
      <c r="A93" s="2857">
        <v>19</v>
      </c>
      <c r="B93" s="3498"/>
      <c r="C93" s="2831" t="s">
        <v>2680</v>
      </c>
      <c r="D93" s="2831" t="s">
        <v>2681</v>
      </c>
      <c r="E93" s="2857">
        <v>0.2</v>
      </c>
      <c r="F93" s="2857">
        <v>25</v>
      </c>
    </row>
    <row r="94" spans="1:6" ht="13.5">
      <c r="A94" s="2857">
        <v>20</v>
      </c>
      <c r="B94" s="3498"/>
      <c r="C94" s="2831" t="s">
        <v>2682</v>
      </c>
      <c r="D94" s="2831" t="s">
        <v>2683</v>
      </c>
      <c r="E94" s="2857">
        <v>0.15</v>
      </c>
      <c r="F94" s="2857">
        <v>20</v>
      </c>
    </row>
    <row r="95" spans="1:6" ht="13.5">
      <c r="A95" s="2857">
        <v>21</v>
      </c>
      <c r="B95" s="3498"/>
      <c r="C95" s="2831" t="s">
        <v>2684</v>
      </c>
      <c r="D95" s="2831" t="s">
        <v>2685</v>
      </c>
      <c r="E95" s="2857">
        <v>0.15</v>
      </c>
      <c r="F95" s="2857">
        <v>20</v>
      </c>
    </row>
    <row r="96" spans="1:6" ht="13.5">
      <c r="A96" s="2857">
        <v>22</v>
      </c>
      <c r="B96" s="3498"/>
      <c r="C96" s="2831" t="s">
        <v>2686</v>
      </c>
      <c r="D96" s="2831" t="s">
        <v>2687</v>
      </c>
      <c r="E96" s="2857">
        <v>0.15</v>
      </c>
      <c r="F96" s="2857">
        <v>20</v>
      </c>
    </row>
    <row r="97" spans="1:6" ht="36">
      <c r="A97" s="2857">
        <v>23</v>
      </c>
      <c r="B97" s="3498"/>
      <c r="C97" s="2831" t="s">
        <v>2688</v>
      </c>
      <c r="D97" s="2831" t="s">
        <v>2689</v>
      </c>
      <c r="E97" s="2857">
        <v>0.15</v>
      </c>
      <c r="F97" s="2857">
        <v>20</v>
      </c>
    </row>
    <row r="98" spans="1:6" ht="13.5">
      <c r="A98" s="2857">
        <v>24</v>
      </c>
      <c r="B98" s="3498"/>
      <c r="C98" s="2831" t="s">
        <v>2690</v>
      </c>
      <c r="D98" s="2831" t="s">
        <v>2691</v>
      </c>
      <c r="E98" s="2857">
        <v>0.1</v>
      </c>
      <c r="F98" s="2857">
        <v>15</v>
      </c>
    </row>
    <row r="99" spans="1:6" ht="13.5">
      <c r="A99" s="2857">
        <v>25</v>
      </c>
      <c r="B99" s="3498"/>
      <c r="C99" s="2831" t="s">
        <v>2692</v>
      </c>
      <c r="D99" s="2831" t="s">
        <v>2693</v>
      </c>
      <c r="E99" s="2857">
        <v>0.1</v>
      </c>
      <c r="F99" s="2857">
        <v>15</v>
      </c>
    </row>
    <row r="100" spans="1:6" ht="24">
      <c r="A100" s="2857">
        <v>26</v>
      </c>
      <c r="B100" s="3498"/>
      <c r="C100" s="2831" t="s">
        <v>2694</v>
      </c>
      <c r="D100" s="2831" t="s">
        <v>2695</v>
      </c>
      <c r="E100" s="2857">
        <v>0.1</v>
      </c>
      <c r="F100" s="2857">
        <v>15</v>
      </c>
    </row>
    <row r="101" spans="1:6" ht="24">
      <c r="A101" s="2857">
        <v>27</v>
      </c>
      <c r="B101" s="3498"/>
      <c r="C101" s="2831" t="s">
        <v>2696</v>
      </c>
      <c r="D101" s="2831" t="s">
        <v>2697</v>
      </c>
      <c r="E101" s="2857">
        <v>0.1</v>
      </c>
      <c r="F101" s="2857">
        <v>15</v>
      </c>
    </row>
    <row r="102" spans="1:6" ht="13.5">
      <c r="A102" s="2857">
        <v>28</v>
      </c>
      <c r="B102" s="3498"/>
      <c r="C102" s="2831" t="s">
        <v>2698</v>
      </c>
      <c r="D102" s="2831" t="s">
        <v>2699</v>
      </c>
      <c r="E102" s="2857">
        <v>0.1</v>
      </c>
      <c r="F102" s="2857">
        <v>15</v>
      </c>
    </row>
    <row r="103" spans="1:6" ht="13.5">
      <c r="A103" s="2857">
        <v>29</v>
      </c>
      <c r="B103" s="3498"/>
      <c r="C103" s="2831" t="s">
        <v>2700</v>
      </c>
      <c r="D103" s="2831" t="s">
        <v>2701</v>
      </c>
      <c r="E103" s="2857">
        <v>0.1</v>
      </c>
      <c r="F103" s="2857">
        <v>15</v>
      </c>
    </row>
    <row r="104" spans="1:6" ht="13.5">
      <c r="A104" s="2857">
        <v>30</v>
      </c>
      <c r="B104" s="3498"/>
      <c r="C104" s="2831" t="s">
        <v>2702</v>
      </c>
      <c r="D104" s="2831" t="s">
        <v>2703</v>
      </c>
      <c r="E104" s="2857">
        <v>0.1</v>
      </c>
      <c r="F104" s="2857">
        <v>15</v>
      </c>
    </row>
    <row r="105" spans="1:6" ht="24">
      <c r="A105" s="2857">
        <v>31</v>
      </c>
      <c r="B105" s="3498"/>
      <c r="C105" s="2831" t="s">
        <v>2704</v>
      </c>
      <c r="D105" s="2831" t="s">
        <v>2705</v>
      </c>
      <c r="E105" s="2857">
        <v>0.1</v>
      </c>
      <c r="F105" s="2857">
        <v>15</v>
      </c>
    </row>
    <row r="106" spans="1:6" ht="24">
      <c r="A106" s="2857">
        <v>32</v>
      </c>
      <c r="B106" s="3498"/>
      <c r="C106" s="2831" t="s">
        <v>2706</v>
      </c>
      <c r="D106" s="2831" t="s">
        <v>2707</v>
      </c>
      <c r="E106" s="2857">
        <v>0.1</v>
      </c>
      <c r="F106" s="2857">
        <v>15</v>
      </c>
    </row>
    <row r="107" spans="1:6" ht="24">
      <c r="A107" s="2857">
        <v>33</v>
      </c>
      <c r="B107" s="3498"/>
      <c r="C107" s="2831" t="s">
        <v>2708</v>
      </c>
      <c r="D107" s="2831" t="s">
        <v>2709</v>
      </c>
      <c r="E107" s="2857">
        <v>0.1</v>
      </c>
      <c r="F107" s="2857">
        <v>15</v>
      </c>
    </row>
    <row r="108" spans="1:6" ht="24">
      <c r="A108" s="2857">
        <v>34</v>
      </c>
      <c r="B108" s="3497"/>
      <c r="C108" s="2831" t="s">
        <v>2710</v>
      </c>
      <c r="D108" s="2831" t="s">
        <v>2711</v>
      </c>
      <c r="E108" s="2857">
        <v>0.1</v>
      </c>
      <c r="F108" s="2857">
        <v>15</v>
      </c>
    </row>
    <row r="109" spans="1:6" ht="24">
      <c r="A109" s="2857">
        <v>35</v>
      </c>
      <c r="B109" s="3496" t="s">
        <v>2712</v>
      </c>
      <c r="C109" s="2857" t="s">
        <v>2713</v>
      </c>
      <c r="D109" s="2831" t="s">
        <v>2714</v>
      </c>
      <c r="E109" s="2857">
        <v>0.15</v>
      </c>
      <c r="F109" s="2857">
        <v>20</v>
      </c>
    </row>
    <row r="110" spans="1:6" ht="13.5">
      <c r="A110" s="2857">
        <v>36</v>
      </c>
      <c r="B110" s="3498"/>
      <c r="C110" s="2857" t="s">
        <v>2715</v>
      </c>
      <c r="D110" s="2831" t="s">
        <v>2716</v>
      </c>
      <c r="E110" s="2857">
        <v>0.15</v>
      </c>
      <c r="F110" s="2857">
        <v>20</v>
      </c>
    </row>
    <row r="111" spans="1:6" ht="13.5">
      <c r="A111" s="2857">
        <v>37</v>
      </c>
      <c r="B111" s="3498"/>
      <c r="C111" s="2857" t="s">
        <v>2717</v>
      </c>
      <c r="D111" s="2831" t="s">
        <v>2718</v>
      </c>
      <c r="E111" s="2857">
        <v>0.15</v>
      </c>
      <c r="F111" s="2857">
        <v>20</v>
      </c>
    </row>
    <row r="112" spans="1:6" ht="13.5">
      <c r="A112" s="2857">
        <v>38</v>
      </c>
      <c r="B112" s="3498"/>
      <c r="C112" s="2857" t="s">
        <v>2719</v>
      </c>
      <c r="D112" s="2831" t="s">
        <v>2720</v>
      </c>
      <c r="E112" s="2857">
        <v>0.1</v>
      </c>
      <c r="F112" s="2857">
        <v>15</v>
      </c>
    </row>
    <row r="113" spans="1:6" ht="24">
      <c r="A113" s="2857">
        <v>39</v>
      </c>
      <c r="B113" s="3498"/>
      <c r="C113" s="2857" t="s">
        <v>2721</v>
      </c>
      <c r="D113" s="2831" t="s">
        <v>2722</v>
      </c>
      <c r="E113" s="2857">
        <v>0.1</v>
      </c>
      <c r="F113" s="2857">
        <v>15</v>
      </c>
    </row>
    <row r="114" spans="1:6" ht="24">
      <c r="A114" s="2857">
        <v>40</v>
      </c>
      <c r="B114" s="3497"/>
      <c r="C114" s="2857" t="s">
        <v>2723</v>
      </c>
      <c r="D114" s="2831" t="s">
        <v>2724</v>
      </c>
      <c r="E114" s="2857">
        <v>0.1</v>
      </c>
      <c r="F114" s="2857">
        <v>15</v>
      </c>
    </row>
    <row r="115" spans="1:6" ht="13.5">
      <c r="A115" s="2857">
        <v>41</v>
      </c>
      <c r="B115" s="3495" t="s">
        <v>2725</v>
      </c>
      <c r="C115" s="2857" t="s">
        <v>2726</v>
      </c>
      <c r="D115" s="2831" t="s">
        <v>2727</v>
      </c>
      <c r="E115" s="2857">
        <v>0.1</v>
      </c>
      <c r="F115" s="2857">
        <v>15</v>
      </c>
    </row>
    <row r="116" spans="1:6" ht="13.5">
      <c r="A116" s="2857">
        <v>42</v>
      </c>
      <c r="B116" s="3495"/>
      <c r="C116" s="2857" t="s">
        <v>2728</v>
      </c>
      <c r="D116" s="2831" t="s">
        <v>2729</v>
      </c>
      <c r="E116" s="2857">
        <v>0.1</v>
      </c>
      <c r="F116" s="2857">
        <v>15</v>
      </c>
    </row>
    <row r="117" spans="1:6" ht="24">
      <c r="A117" s="2857">
        <v>43</v>
      </c>
      <c r="B117" s="3495"/>
      <c r="C117" s="2857" t="s">
        <v>2730</v>
      </c>
      <c r="D117" s="2831" t="s">
        <v>2731</v>
      </c>
      <c r="E117" s="2857">
        <v>0.1</v>
      </c>
      <c r="F117" s="2857">
        <v>15</v>
      </c>
    </row>
    <row r="118" spans="1:6" ht="13.5">
      <c r="A118" s="2857">
        <v>44</v>
      </c>
      <c r="B118" s="3496" t="s">
        <v>2732</v>
      </c>
      <c r="C118" s="2857" t="s">
        <v>2733</v>
      </c>
      <c r="D118" s="2831" t="s">
        <v>2734</v>
      </c>
      <c r="E118" s="2857">
        <v>0.1</v>
      </c>
      <c r="F118" s="2857">
        <v>15</v>
      </c>
    </row>
    <row r="119" spans="1:6" ht="24">
      <c r="A119" s="2857">
        <v>45</v>
      </c>
      <c r="B119" s="3497"/>
      <c r="C119" s="2831" t="s">
        <v>2735</v>
      </c>
      <c r="D119" s="2831" t="s">
        <v>2736</v>
      </c>
      <c r="E119" s="2857">
        <v>0.1</v>
      </c>
      <c r="F119" s="2857">
        <v>15</v>
      </c>
    </row>
    <row r="120" spans="1:6" ht="24">
      <c r="A120" s="2857">
        <v>46</v>
      </c>
      <c r="B120" s="3496" t="s">
        <v>2737</v>
      </c>
      <c r="C120" s="2857" t="s">
        <v>2738</v>
      </c>
      <c r="D120" s="2831" t="s">
        <v>2739</v>
      </c>
      <c r="E120" s="2857">
        <v>0.1</v>
      </c>
      <c r="F120" s="2857">
        <v>15</v>
      </c>
    </row>
    <row r="121" spans="1:6" ht="24">
      <c r="A121" s="2857">
        <v>47</v>
      </c>
      <c r="B121" s="3497"/>
      <c r="C121" s="2857" t="s">
        <v>2740</v>
      </c>
      <c r="D121" s="2831" t="s">
        <v>2741</v>
      </c>
      <c r="E121" s="2857">
        <v>0.1</v>
      </c>
      <c r="F121" s="2857">
        <v>15</v>
      </c>
    </row>
    <row r="122" spans="1:6" ht="13.5">
      <c r="A122" s="2857">
        <v>48</v>
      </c>
      <c r="B122" s="3496" t="s">
        <v>2742</v>
      </c>
      <c r="C122" s="2857" t="s">
        <v>2743</v>
      </c>
      <c r="D122" s="2831" t="s">
        <v>2744</v>
      </c>
      <c r="E122" s="2857">
        <v>0.1</v>
      </c>
      <c r="F122" s="2857">
        <v>15</v>
      </c>
    </row>
    <row r="123" spans="1:6" ht="13.5">
      <c r="A123" s="2857">
        <v>49</v>
      </c>
      <c r="B123" s="3497"/>
      <c r="C123" s="2857" t="s">
        <v>2745</v>
      </c>
      <c r="D123" s="2831" t="s">
        <v>2746</v>
      </c>
      <c r="E123" s="2857">
        <v>0.1</v>
      </c>
      <c r="F123" s="2857">
        <v>15</v>
      </c>
    </row>
    <row r="124" spans="1:6" ht="24">
      <c r="A124" s="2857">
        <v>50</v>
      </c>
      <c r="B124" s="3495" t="s">
        <v>2747</v>
      </c>
      <c r="C124" s="2857" t="s">
        <v>2748</v>
      </c>
      <c r="D124" s="2831" t="s">
        <v>2749</v>
      </c>
      <c r="E124" s="2857">
        <v>0.1</v>
      </c>
      <c r="F124" s="2857">
        <v>15</v>
      </c>
    </row>
    <row r="125" spans="1:6" ht="24">
      <c r="A125" s="2857">
        <v>51</v>
      </c>
      <c r="B125" s="3495"/>
      <c r="C125" s="2857" t="s">
        <v>2750</v>
      </c>
      <c r="D125" s="2831" t="s">
        <v>2751</v>
      </c>
      <c r="E125" s="2857">
        <v>0.1</v>
      </c>
      <c r="F125" s="2857">
        <v>15</v>
      </c>
    </row>
    <row r="126" spans="1:6" ht="24">
      <c r="A126" s="2857">
        <v>52</v>
      </c>
      <c r="B126" s="3495" t="s">
        <v>2752</v>
      </c>
      <c r="C126" s="2857" t="s">
        <v>2753</v>
      </c>
      <c r="D126" s="2831" t="s">
        <v>2754</v>
      </c>
      <c r="E126" s="2857">
        <v>0.1</v>
      </c>
      <c r="F126" s="2857">
        <v>15</v>
      </c>
    </row>
    <row r="127" spans="1:6" ht="24">
      <c r="A127" s="2857">
        <v>53</v>
      </c>
      <c r="B127" s="3495"/>
      <c r="C127" s="2857" t="s">
        <v>2755</v>
      </c>
      <c r="D127" s="2831" t="s">
        <v>2756</v>
      </c>
      <c r="E127" s="2857">
        <v>0.1</v>
      </c>
      <c r="F127" s="2857">
        <v>15</v>
      </c>
    </row>
    <row r="128" spans="1:6" ht="13.5">
      <c r="A128" s="2857">
        <v>54</v>
      </c>
      <c r="B128" s="2857" t="s">
        <v>2757</v>
      </c>
      <c r="C128" s="2857" t="s">
        <v>2758</v>
      </c>
      <c r="D128" s="2831" t="s">
        <v>2759</v>
      </c>
      <c r="E128" s="2857">
        <v>0.1</v>
      </c>
      <c r="F128" s="2857">
        <v>15</v>
      </c>
    </row>
    <row r="129" spans="1:6" ht="13.5">
      <c r="A129" s="2857">
        <v>55</v>
      </c>
      <c r="B129" s="3495" t="s">
        <v>2760</v>
      </c>
      <c r="C129" s="2857" t="s">
        <v>2761</v>
      </c>
      <c r="D129" s="2831" t="s">
        <v>2762</v>
      </c>
      <c r="E129" s="2857">
        <v>0.1</v>
      </c>
      <c r="F129" s="2857">
        <v>15</v>
      </c>
    </row>
    <row r="130" spans="1:6" ht="13.5">
      <c r="A130" s="2857">
        <v>56</v>
      </c>
      <c r="B130" s="3495"/>
      <c r="C130" s="2857" t="s">
        <v>2763</v>
      </c>
      <c r="D130" s="2831" t="s">
        <v>2764</v>
      </c>
      <c r="E130" s="2857">
        <v>0.1</v>
      </c>
      <c r="F130" s="2857">
        <v>15</v>
      </c>
    </row>
    <row r="131" spans="1:6" ht="24">
      <c r="A131" s="2857">
        <v>57</v>
      </c>
      <c r="B131" s="3495"/>
      <c r="C131" s="2857" t="s">
        <v>2765</v>
      </c>
      <c r="D131" s="2831" t="s">
        <v>2766</v>
      </c>
      <c r="E131" s="2857">
        <v>0.1</v>
      </c>
      <c r="F131" s="2857">
        <v>15</v>
      </c>
    </row>
    <row r="132" spans="1:6" ht="24">
      <c r="A132" s="2857">
        <v>58</v>
      </c>
      <c r="B132" s="3495" t="s">
        <v>2767</v>
      </c>
      <c r="C132" s="2857" t="s">
        <v>2768</v>
      </c>
      <c r="D132" s="2831" t="s">
        <v>2769</v>
      </c>
      <c r="E132" s="2857">
        <v>0.1</v>
      </c>
      <c r="F132" s="2857">
        <v>15</v>
      </c>
    </row>
    <row r="133" spans="1:6" ht="13.5">
      <c r="A133" s="2857">
        <v>59</v>
      </c>
      <c r="B133" s="3495"/>
      <c r="C133" s="2857" t="s">
        <v>2770</v>
      </c>
      <c r="D133" s="2831" t="s">
        <v>2771</v>
      </c>
      <c r="E133" s="2857">
        <v>0.1</v>
      </c>
      <c r="F133" s="2857">
        <v>15</v>
      </c>
    </row>
    <row r="134" spans="1:6" ht="13.5">
      <c r="A134" s="2857">
        <v>60</v>
      </c>
      <c r="B134" s="3496" t="s">
        <v>2772</v>
      </c>
      <c r="C134" s="2857" t="s">
        <v>2773</v>
      </c>
      <c r="D134" s="2831" t="s">
        <v>2774</v>
      </c>
      <c r="E134" s="2857">
        <v>0.1</v>
      </c>
      <c r="F134" s="2857">
        <v>15</v>
      </c>
    </row>
    <row r="135" spans="1:6" ht="13.5">
      <c r="A135" s="2857">
        <v>61</v>
      </c>
      <c r="B135" s="3497"/>
      <c r="C135" s="2857" t="s">
        <v>2775</v>
      </c>
      <c r="D135" s="2831" t="s">
        <v>2776</v>
      </c>
      <c r="E135" s="2857">
        <v>0.1</v>
      </c>
      <c r="F135" s="2857">
        <v>15</v>
      </c>
    </row>
    <row r="136" spans="1:6" ht="24">
      <c r="A136" s="2857">
        <v>62</v>
      </c>
      <c r="B136" s="2857" t="s">
        <v>2777</v>
      </c>
      <c r="C136" s="2857" t="s">
        <v>2778</v>
      </c>
      <c r="D136" s="2831" t="s">
        <v>2779</v>
      </c>
      <c r="E136" s="2857">
        <v>0.1</v>
      </c>
      <c r="F136" s="2857">
        <v>15</v>
      </c>
    </row>
    <row r="137" spans="1:6" ht="13.5">
      <c r="A137" s="2857">
        <v>63</v>
      </c>
      <c r="B137" s="3495" t="s">
        <v>2780</v>
      </c>
      <c r="C137" s="2857" t="s">
        <v>2781</v>
      </c>
      <c r="D137" s="2831" t="s">
        <v>2782</v>
      </c>
      <c r="E137" s="2857">
        <v>0.1</v>
      </c>
      <c r="F137" s="2857">
        <v>15</v>
      </c>
    </row>
    <row r="138" spans="1:6" ht="13.5">
      <c r="A138" s="2857">
        <v>64</v>
      </c>
      <c r="B138" s="3495"/>
      <c r="C138" s="2857" t="s">
        <v>2783</v>
      </c>
      <c r="D138" s="2831" t="s">
        <v>2784</v>
      </c>
      <c r="E138" s="2857">
        <v>0.1</v>
      </c>
      <c r="F138" s="2857">
        <v>15</v>
      </c>
    </row>
    <row r="139" spans="1:6" ht="13.5">
      <c r="A139" s="2857">
        <v>65</v>
      </c>
      <c r="B139" s="2857" t="s">
        <v>2785</v>
      </c>
      <c r="C139" s="2857" t="s">
        <v>2786</v>
      </c>
      <c r="D139" s="2831" t="s">
        <v>2787</v>
      </c>
      <c r="E139" s="2857">
        <v>0.1</v>
      </c>
      <c r="F139" s="2857">
        <v>15</v>
      </c>
    </row>
    <row r="140" spans="1:6" ht="13.5">
      <c r="A140" s="2857"/>
      <c r="B140" s="2857"/>
      <c r="C140" s="2857"/>
      <c r="D140" s="2857"/>
      <c r="E140" s="2857" t="s">
        <v>2788</v>
      </c>
      <c r="F140" s="2857"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0"/>
      <c r="B4" s="3192" t="s">
        <v>917</v>
      </c>
      <c r="C4" s="3192"/>
      <c r="D4" s="3192"/>
      <c r="E4" s="1390"/>
    </row>
    <row r="5" spans="1:5" ht="16.5" thickTop="1">
      <c r="B5" s="3190" t="s">
        <v>909</v>
      </c>
      <c r="C5" s="1391" t="s">
        <v>910</v>
      </c>
      <c r="D5" s="796" t="e">
        <f ca="1">结果表!H101</f>
        <v>#REF!</v>
      </c>
    </row>
    <row r="6" spans="1:5" ht="15.75">
      <c r="B6" s="3190"/>
      <c r="C6" s="1391" t="s">
        <v>911</v>
      </c>
      <c r="D6" s="796" t="e">
        <f ca="1">NUMBERSTRING(INT(D5*10000),2)&amp;"元整"</f>
        <v>#REF!</v>
      </c>
    </row>
    <row r="7" spans="1:5" ht="15.75">
      <c r="B7" s="3195"/>
      <c r="C7" s="1392" t="s">
        <v>912</v>
      </c>
      <c r="D7" s="797" t="e">
        <f ca="1">结果表!H102</f>
        <v>#REF!</v>
      </c>
    </row>
    <row r="8" spans="1:5" ht="15.75">
      <c r="B8" s="3196" t="str">
        <f>结果表!E103</f>
        <v>2.估价师知悉的法定优先受偿款</v>
      </c>
      <c r="C8" s="1393" t="s">
        <v>913</v>
      </c>
      <c r="D8" s="797">
        <f>结果表!H103</f>
        <v>0</v>
      </c>
    </row>
    <row r="9" spans="1:5" ht="15.75">
      <c r="B9" s="3198"/>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9" t="str">
        <f>结果表!E107</f>
        <v>3.房地产抵押价值</v>
      </c>
      <c r="C13" s="1396" t="s">
        <v>910</v>
      </c>
      <c r="D13" s="799" t="e">
        <f ca="1">结果表!H107</f>
        <v>#REF!</v>
      </c>
    </row>
    <row r="14" spans="1:5" ht="15.75">
      <c r="B14" s="3190"/>
      <c r="C14" s="1391" t="s">
        <v>911</v>
      </c>
      <c r="D14" s="796" t="e">
        <f ca="1">NUMBERSTRING(INT(D13*10000),2)&amp;"元整"</f>
        <v>#REF!</v>
      </c>
    </row>
    <row r="15" spans="1:5" ht="15">
      <c r="B15" s="3195"/>
      <c r="C15" s="1392" t="s">
        <v>921</v>
      </c>
      <c r="D15" s="805" t="e">
        <f ca="1">结果表!H108</f>
        <v>#REF!</v>
      </c>
    </row>
    <row r="16" spans="1:5" ht="15">
      <c r="B16" s="3196" t="str">
        <f>结果表!E109</f>
        <v>——</v>
      </c>
      <c r="C16" s="1396" t="s">
        <v>922</v>
      </c>
      <c r="D16" s="1397" t="str">
        <f>结果表!H109</f>
        <v>——</v>
      </c>
    </row>
    <row r="17" spans="1:5" ht="15.75">
      <c r="B17" s="3197"/>
      <c r="C17" s="1391" t="s">
        <v>923</v>
      </c>
      <c r="D17" s="796" t="e">
        <f>NUMBERSTRING(INT(D16*10000),2)&amp;"元整"</f>
        <v>#VALUE!</v>
      </c>
    </row>
    <row r="18" spans="1:5" ht="15">
      <c r="B18" s="3198"/>
      <c r="C18" s="1392" t="s">
        <v>912</v>
      </c>
      <c r="D18" s="805" t="str">
        <f>结果表!H110</f>
        <v>——</v>
      </c>
    </row>
    <row r="19" spans="1:5" ht="15.75">
      <c r="B19" s="3189" t="str">
        <f>结果表!E111</f>
        <v>——</v>
      </c>
      <c r="C19" s="1396" t="s">
        <v>910</v>
      </c>
      <c r="D19" s="797" t="str">
        <f>结果表!H111</f>
        <v>——</v>
      </c>
    </row>
    <row r="20" spans="1:5" ht="15.75">
      <c r="B20" s="3190"/>
      <c r="C20" s="1391" t="s">
        <v>923</v>
      </c>
      <c r="D20" s="796" t="e">
        <f>NUMBERSTRING(INT(D19*10000),2)&amp;"元整"</f>
        <v>#VALUE!</v>
      </c>
    </row>
    <row r="21" spans="1:5" ht="15.75" thickBot="1">
      <c r="B21" s="3191"/>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6"/>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26957</v>
      </c>
      <c r="C2" s="2" t="s">
        <v>106</v>
      </c>
      <c r="D2" s="190"/>
      <c r="E2" s="190"/>
      <c r="F2" s="190"/>
      <c r="G2" s="190"/>
    </row>
    <row r="3" spans="1:7" s="191" customFormat="1" ht="18" customHeight="1" thickBot="1">
      <c r="A3" s="194" t="s">
        <v>58</v>
      </c>
      <c r="B3" s="195">
        <f ca="1">ROUND(B2*10000/'数据-汇总表'!E3,0)</f>
        <v>3634978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v>
      </c>
      <c r="D10" s="794">
        <f>'数据-汇总表'!E6</f>
        <v>74.16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v>
      </c>
      <c r="D19" s="203">
        <f>'数据-汇总表'!E3</f>
        <v>74.16</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1323</v>
      </c>
      <c r="D22" s="226">
        <f ca="1">C26</f>
        <v>5.9999999999999995E-4</v>
      </c>
      <c r="E22" s="227" t="s">
        <v>99</v>
      </c>
      <c r="F22" s="228">
        <f ca="1">'数据-取费表'!B40</f>
        <v>3.1300000000000001E-2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1310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13</v>
      </c>
      <c r="D25" s="229"/>
      <c r="E25" s="232"/>
      <c r="F25" s="230"/>
      <c r="G25" s="233" t="s">
        <v>83</v>
      </c>
    </row>
    <row r="26" spans="1:7" s="205" customFormat="1">
      <c r="A26" s="733" t="s">
        <v>350</v>
      </c>
      <c r="B26" s="206" t="s">
        <v>422</v>
      </c>
      <c r="C26" s="229">
        <f ca="1">ROUND(IF('数据-取费表'!B22&lt;=1,F21*F22*'数据-取费表'!B23/2,F21*(POWER((1+F22),'数据-取费表'!B23/2)-1)),4)</f>
        <v>5.9999999999999995E-4</v>
      </c>
      <c r="D26" s="229"/>
      <c r="E26" s="232"/>
      <c r="F26" s="230"/>
      <c r="G26" s="234"/>
    </row>
    <row r="27" spans="1:7" s="205" customFormat="1" ht="24.75">
      <c r="A27" s="730" t="s">
        <v>342</v>
      </c>
      <c r="B27" s="235" t="s">
        <v>85</v>
      </c>
      <c r="C27" s="236">
        <f>C28</f>
        <v>2523</v>
      </c>
      <c r="D27" s="226">
        <f>C29</f>
        <v>2.3999999999999998E-3</v>
      </c>
      <c r="E27" s="227" t="s">
        <v>99</v>
      </c>
      <c r="F27" s="237">
        <f>'数据-取费表'!Q16</f>
        <v>0.12</v>
      </c>
      <c r="G27" s="238" t="s">
        <v>431</v>
      </c>
    </row>
    <row r="28" spans="1:7" s="205" customFormat="1" ht="13.5" customHeight="1">
      <c r="A28" s="733" t="s">
        <v>349</v>
      </c>
      <c r="B28" s="239" t="s">
        <v>424</v>
      </c>
      <c r="C28" s="240">
        <f>ROUND((C5+C19+C20)*F27*'数据-取费表'!B21/'数据-取费表'!B20,0)</f>
        <v>2523</v>
      </c>
      <c r="D28" s="226"/>
      <c r="E28" s="227"/>
      <c r="F28" s="237"/>
      <c r="G28" s="238"/>
    </row>
    <row r="29" spans="1:7" s="205" customFormat="1" ht="13.5" customHeight="1">
      <c r="A29" s="733" t="s">
        <v>347</v>
      </c>
      <c r="B29" s="239" t="s">
        <v>425</v>
      </c>
      <c r="C29" s="229">
        <f>ROUND(C21*F27*'数据-取费表'!B21/'数据-取费表'!B20,4)</f>
        <v>2.3999999999999998E-3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26924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30</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v>
      </c>
      <c r="D37" s="208">
        <f>'数据-汇总表'!E3</f>
        <v>74.16</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5.9999999999999995E-4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70" t="s">
        <v>94</v>
      </c>
    </row>
    <row r="43" spans="1:7" ht="13.5" customHeight="1">
      <c r="A43" s="733" t="s">
        <v>347</v>
      </c>
      <c r="B43" s="206" t="s">
        <v>426</v>
      </c>
      <c r="C43" s="229">
        <f ca="1">ROUND(IF('数据-取费表'!B22&lt;=1,C39*F22*'数据-取费表'!B21/2,C39*(POWER((1+F22),'数据-取费表'!B21/2)-1)),0)</f>
        <v>0</v>
      </c>
      <c r="D43" s="229"/>
      <c r="E43" s="229"/>
      <c r="F43" s="230"/>
      <c r="G43" s="3371"/>
    </row>
    <row r="44" spans="1:7" ht="13.5" customHeight="1">
      <c r="A44" s="733" t="s">
        <v>348</v>
      </c>
      <c r="B44" s="206" t="s">
        <v>428</v>
      </c>
      <c r="C44" s="229">
        <f ca="1">ROUND(IF('数据-取费表'!B22&lt;=1,C40*F22*'数据-取费表'!B21/2,C40*(POWER((1+F22),'数据-取费表'!B21/2)-1)),4)</f>
        <v>5.9999999999999995E-4</v>
      </c>
      <c r="D44" s="229"/>
      <c r="E44" s="229"/>
      <c r="F44" s="230"/>
      <c r="G44" s="3372"/>
    </row>
    <row r="45" spans="1:7" s="205" customFormat="1" ht="13.5" customHeight="1">
      <c r="A45" s="730" t="s">
        <v>341</v>
      </c>
      <c r="B45" s="235" t="s">
        <v>85</v>
      </c>
      <c r="C45" s="236">
        <f>C46</f>
        <v>4</v>
      </c>
      <c r="D45" s="226">
        <f>C47</f>
        <v>2.3999999999999998E-3</v>
      </c>
      <c r="E45" s="227" t="s">
        <v>102</v>
      </c>
      <c r="F45" s="237"/>
      <c r="G45" s="238" t="s">
        <v>434</v>
      </c>
    </row>
    <row r="46" spans="1:7" s="205" customFormat="1" ht="13.5" customHeight="1">
      <c r="A46" s="733" t="s">
        <v>349</v>
      </c>
      <c r="B46" s="239" t="s">
        <v>427</v>
      </c>
      <c r="C46" s="240">
        <f>ROUND((C33+C39)*F27,0)</f>
        <v>4</v>
      </c>
      <c r="D46" s="254"/>
      <c r="E46" s="227"/>
      <c r="F46" s="237"/>
      <c r="G46" s="238"/>
    </row>
    <row r="47" spans="1:7" s="205" customFormat="1" ht="13.5" customHeight="1">
      <c r="A47" s="733" t="s">
        <v>347</v>
      </c>
      <c r="B47" s="239" t="s">
        <v>429</v>
      </c>
      <c r="C47" s="229">
        <f>ROUND(C40*F27,4)</f>
        <v>2.3999999999999998E-3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42</v>
      </c>
      <c r="D49" s="223"/>
      <c r="E49" s="223"/>
      <c r="F49" s="255"/>
      <c r="G49" s="225" t="s">
        <v>435</v>
      </c>
    </row>
    <row r="50" spans="1:7" s="249" customFormat="1" ht="24">
      <c r="A50" s="730" t="s">
        <v>344</v>
      </c>
      <c r="B50" s="201" t="s">
        <v>97</v>
      </c>
      <c r="C50" s="223"/>
      <c r="D50" s="223"/>
      <c r="E50" s="223"/>
      <c r="F50" s="255">
        <f>IF('数据-取费表'!B24=0,'数据-取费表'!N16,1)</f>
        <v>0.78</v>
      </c>
      <c r="G50" s="238" t="s">
        <v>98</v>
      </c>
    </row>
    <row r="51" spans="1:7" ht="16.5" customHeight="1">
      <c r="A51" s="730" t="s">
        <v>345</v>
      </c>
      <c r="B51" s="201" t="s">
        <v>105</v>
      </c>
      <c r="C51" s="223">
        <f ca="1">ROUND(C49*F50,0)</f>
        <v>33</v>
      </c>
      <c r="D51" s="223"/>
      <c r="E51" s="223"/>
      <c r="F51" s="255"/>
      <c r="G51" s="225" t="s">
        <v>37</v>
      </c>
    </row>
    <row r="52" spans="1:7" s="199" customFormat="1" ht="16.5" thickBot="1">
      <c r="A52" s="256" t="s">
        <v>38</v>
      </c>
      <c r="B52" s="257"/>
      <c r="C52" s="258">
        <f ca="1">C31+C51</f>
        <v>26957</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9" t="s">
        <v>3172</v>
      </c>
      <c r="B1" s="3509"/>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10" t="s">
        <v>3223</v>
      </c>
      <c r="B1" s="3510"/>
      <c r="C1" s="3510"/>
      <c r="D1" s="3510"/>
      <c r="E1" s="3510"/>
      <c r="F1" s="3511"/>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7">
        <f>基准地价修正!G23</f>
        <v>45950</v>
      </c>
      <c r="B1" s="2929" t="s">
        <v>3367</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44" s="2009" customFormat="1" ht="14.25" thickBot="1">
      <c r="B2" s="2881"/>
      <c r="C2" s="2882"/>
      <c r="D2" s="2010" t="s">
        <v>2801</v>
      </c>
      <c r="E2" s="2011" t="s">
        <v>2802</v>
      </c>
      <c r="F2" s="2011" t="s">
        <v>2803</v>
      </c>
      <c r="G2" s="2011" t="s">
        <v>2804</v>
      </c>
      <c r="H2" s="2011" t="s">
        <v>2805</v>
      </c>
      <c r="I2" s="2011" t="s">
        <v>2622</v>
      </c>
      <c r="J2" s="2883"/>
      <c r="K2" s="2010" t="s">
        <v>2801</v>
      </c>
      <c r="L2" s="2011" t="s">
        <v>2802</v>
      </c>
      <c r="M2" s="2011" t="s">
        <v>2803</v>
      </c>
      <c r="N2" s="2011" t="s">
        <v>2804</v>
      </c>
      <c r="O2" s="2011" t="s">
        <v>2806</v>
      </c>
      <c r="P2" s="2011" t="s">
        <v>2622</v>
      </c>
      <c r="Q2" s="2883"/>
      <c r="R2" s="2010" t="s">
        <v>2801</v>
      </c>
      <c r="S2" s="2011" t="s">
        <v>2802</v>
      </c>
      <c r="T2" s="2011" t="s">
        <v>2803</v>
      </c>
      <c r="U2" s="2011" t="s">
        <v>2807</v>
      </c>
      <c r="V2" s="2011" t="s">
        <v>2808</v>
      </c>
      <c r="W2" s="2011" t="s">
        <v>2622</v>
      </c>
      <c r="X2" s="2883"/>
      <c r="Y2" s="2010" t="s">
        <v>2801</v>
      </c>
      <c r="Z2" s="2011" t="s">
        <v>2802</v>
      </c>
      <c r="AA2" s="2011" t="s">
        <v>2803</v>
      </c>
      <c r="AB2" s="2011" t="s">
        <v>2809</v>
      </c>
      <c r="AC2" s="2011" t="s">
        <v>2808</v>
      </c>
      <c r="AD2" s="2011" t="s">
        <v>2622</v>
      </c>
      <c r="AF2" t="s">
        <v>3392</v>
      </c>
      <c r="AG2" t="s">
        <v>673</v>
      </c>
      <c r="AH2" t="s">
        <v>21</v>
      </c>
      <c r="AI2" t="s">
        <v>3393</v>
      </c>
      <c r="AJ2" t="s">
        <v>3</v>
      </c>
      <c r="AK2" t="s">
        <v>3394</v>
      </c>
      <c r="AM2" t="s">
        <v>3392</v>
      </c>
      <c r="AN2" t="s">
        <v>673</v>
      </c>
      <c r="AO2" t="s">
        <v>21</v>
      </c>
      <c r="AP2" t="s">
        <v>3393</v>
      </c>
      <c r="AQ2" t="s">
        <v>3</v>
      </c>
      <c r="AR2" t="s">
        <v>3394</v>
      </c>
    </row>
    <row r="3" spans="1:44" s="2886" customFormat="1" ht="12.75">
      <c r="A3" s="2884" t="s">
        <v>2810</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3391</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2.75">
      <c r="A6" s="2907" t="s">
        <v>3405</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4" customFormat="1" ht="12.75">
      <c r="A7" s="2039" t="s">
        <v>3406</v>
      </c>
      <c r="B7" s="2030">
        <v>2025</v>
      </c>
      <c r="C7" s="2041">
        <v>2</v>
      </c>
      <c r="D7" s="2006">
        <v>0.05</v>
      </c>
      <c r="E7" s="2006">
        <v>-0.62</v>
      </c>
      <c r="F7" s="2006">
        <v>-1.05</v>
      </c>
      <c r="G7" s="2006">
        <v>0.09</v>
      </c>
      <c r="H7" s="2006">
        <v>0.17</v>
      </c>
      <c r="I7" s="2007">
        <f t="shared" ref="I7" si="37">F7</f>
        <v>-1.05</v>
      </c>
      <c r="J7" s="2906"/>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6"/>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6"/>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4" customFormat="1" ht="12.75">
      <c r="A8" s="2039" t="s">
        <v>3397</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4" customFormat="1" ht="12.75">
      <c r="A9" s="2039" t="s">
        <v>3396</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4" customFormat="1" ht="12.75">
      <c r="A10" s="2039" t="s">
        <v>3371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4" customFormat="1" ht="12.75">
      <c r="A11" s="2905" t="s">
        <v>3365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4" customFormat="1" ht="12.75">
      <c r="A12" s="2905" t="s">
        <v>3364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4" customFormat="1" ht="12.75">
      <c r="A13" s="2905" t="s">
        <v>3360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4" customFormat="1" ht="12.75">
      <c r="A14" s="2905" t="s">
        <v>3359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4" customFormat="1" ht="12.75">
      <c r="A15" s="2905" t="s">
        <v>3357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4" customFormat="1" ht="12.75">
      <c r="A16" s="2905" t="s">
        <v>3356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4" customFormat="1" ht="12.75">
      <c r="A17" s="2905" t="s">
        <v>3355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4" customFormat="1" ht="12.75">
      <c r="A18" s="2905" t="s">
        <v>3353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4" customFormat="1" ht="12.75">
      <c r="A19" s="2905" t="s">
        <v>3344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4" customFormat="1" ht="12.75">
      <c r="A20" s="2905" t="s">
        <v>2811</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4" customFormat="1" ht="12.75">
      <c r="A21" s="2905" t="s">
        <v>2812</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4" customFormat="1" ht="12.75">
      <c r="A22" s="2905" t="s">
        <v>2813</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4" customFormat="1" ht="12.75">
      <c r="A23" s="2905" t="s">
        <v>2814</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25" thickTop="1"/>
    <row r="26" spans="1:44">
      <c r="A26" s="3143" t="s">
        <v>3370</v>
      </c>
    </row>
    <row r="27" spans="1:44">
      <c r="I27" s="1404" t="s">
        <v>2816</v>
      </c>
    </row>
    <row r="29" spans="1:44" s="2008" customFormat="1" ht="12.75">
      <c r="B29" s="2929" t="s">
        <v>3368</v>
      </c>
      <c r="C29" s="2930"/>
      <c r="D29" s="2930"/>
      <c r="E29" s="2930"/>
      <c r="F29" s="2930"/>
      <c r="G29" s="2930"/>
      <c r="H29" s="2930"/>
      <c r="I29" s="2930"/>
      <c r="J29" s="2896"/>
      <c r="K29" s="2930" t="s">
        <v>2817</v>
      </c>
      <c r="L29" s="2930"/>
      <c r="M29" s="2930"/>
      <c r="N29" s="2930"/>
      <c r="O29" s="2930"/>
      <c r="P29" s="2930"/>
      <c r="Q29" s="2896"/>
      <c r="R29" s="3512" t="s">
        <v>2818</v>
      </c>
      <c r="S29" s="3513"/>
      <c r="T29" s="3513"/>
      <c r="U29" s="3513"/>
      <c r="V29" s="3513"/>
      <c r="W29" s="3513"/>
      <c r="X29" s="2896"/>
      <c r="Y29" s="3512" t="s">
        <v>2819</v>
      </c>
      <c r="Z29" s="3513"/>
      <c r="AA29" s="3513"/>
      <c r="AB29" s="3513"/>
      <c r="AC29" s="3513"/>
      <c r="AD29" s="3513"/>
    </row>
    <row r="30" spans="1:44" s="2009" customFormat="1" ht="14.25" thickBot="1">
      <c r="B30" s="2881"/>
      <c r="C30" s="2882"/>
      <c r="D30" s="2010" t="s">
        <v>2820</v>
      </c>
      <c r="E30" s="2011" t="s">
        <v>2821</v>
      </c>
      <c r="F30" s="2011" t="s">
        <v>2822</v>
      </c>
      <c r="G30" s="2011" t="s">
        <v>2823</v>
      </c>
      <c r="H30" s="2011"/>
      <c r="I30" s="2011" t="s">
        <v>2824</v>
      </c>
      <c r="J30" s="2883"/>
      <c r="K30" s="2010" t="s">
        <v>2820</v>
      </c>
      <c r="L30" s="2011" t="s">
        <v>2821</v>
      </c>
      <c r="M30" s="2011" t="s">
        <v>2822</v>
      </c>
      <c r="N30" s="2011" t="s">
        <v>2823</v>
      </c>
      <c r="O30" s="2011"/>
      <c r="P30" s="2011" t="s">
        <v>2824</v>
      </c>
      <c r="Q30" s="2883"/>
      <c r="R30" s="2010" t="s">
        <v>2820</v>
      </c>
      <c r="S30" s="2011" t="s">
        <v>2821</v>
      </c>
      <c r="T30" s="2011" t="s">
        <v>2822</v>
      </c>
      <c r="U30" s="2011" t="s">
        <v>2823</v>
      </c>
      <c r="V30" s="2011"/>
      <c r="W30" s="2011" t="s">
        <v>2824</v>
      </c>
      <c r="X30" s="2883"/>
      <c r="Y30" s="2010" t="s">
        <v>2820</v>
      </c>
      <c r="Z30" s="2011" t="s">
        <v>2821</v>
      </c>
      <c r="AA30" s="2011" t="s">
        <v>2822</v>
      </c>
      <c r="AB30" s="2011" t="s">
        <v>2823</v>
      </c>
      <c r="AC30" s="2011"/>
      <c r="AD30" s="2011" t="s">
        <v>2824</v>
      </c>
      <c r="AG30" t="s">
        <v>673</v>
      </c>
      <c r="AH30" t="s">
        <v>21</v>
      </c>
      <c r="AI30" t="s">
        <v>3393</v>
      </c>
      <c r="AJ30"/>
      <c r="AK30" t="s">
        <v>3394</v>
      </c>
      <c r="AN30" t="s">
        <v>673</v>
      </c>
      <c r="AO30" t="s">
        <v>21</v>
      </c>
      <c r="AP30" t="s">
        <v>3393</v>
      </c>
      <c r="AQ30"/>
      <c r="AR30" t="s">
        <v>3394</v>
      </c>
    </row>
    <row r="31" spans="1:44" s="2886" customFormat="1" ht="12.75">
      <c r="A31" s="2884" t="s">
        <v>2825</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3391</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2.75">
      <c r="A34" s="2907" t="s">
        <v>3407</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4" customFormat="1" ht="12.75">
      <c r="A35" s="2039" t="s">
        <v>3406</v>
      </c>
      <c r="B35" s="2030">
        <v>2025</v>
      </c>
      <c r="C35" s="2041">
        <v>2</v>
      </c>
      <c r="D35" s="2006"/>
      <c r="E35" s="2006">
        <v>-0.31</v>
      </c>
      <c r="F35" s="2006">
        <v>-1.03</v>
      </c>
      <c r="G35" s="2006">
        <v>0.03</v>
      </c>
      <c r="H35" s="2006"/>
      <c r="I35" s="2007">
        <f t="shared" ref="I35" si="141">F35</f>
        <v>-1.03</v>
      </c>
      <c r="J35" s="2906"/>
      <c r="K35" s="2042"/>
      <c r="L35" s="2027">
        <f t="shared" ref="L35" si="142">E35/100</f>
        <v>-3.0999999999999999E-3</v>
      </c>
      <c r="M35" s="2027">
        <f t="shared" ref="M35" si="143">F35/100</f>
        <v>-1.03E-2</v>
      </c>
      <c r="N35" s="2027">
        <f t="shared" ref="N35" si="144">G35/100</f>
        <v>2.9999999999999997E-4</v>
      </c>
      <c r="O35" s="2027"/>
      <c r="P35" s="2027">
        <f t="shared" si="123"/>
        <v>-1.03E-2</v>
      </c>
      <c r="Q35" s="2906"/>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6"/>
      <c r="Y35" s="2027"/>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7">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4" customFormat="1" ht="12.75">
      <c r="A36" s="2039" t="s">
        <v>3395</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4" customFormat="1" ht="12.75">
      <c r="A37" s="2039" t="s">
        <v>3396</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4" customFormat="1" ht="12.75">
      <c r="A38" s="2039" t="s">
        <v>3362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4" customFormat="1" ht="12.75">
      <c r="A39" s="2905" t="s">
        <v>3366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4" customFormat="1" ht="12.75">
      <c r="A40" s="2905" t="s">
        <v>3363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4" customFormat="1" ht="12.75">
      <c r="A41" s="2905" t="s">
        <v>3361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4" customFormat="1" ht="12.75">
      <c r="A42" s="2905" t="s">
        <v>3359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4" customFormat="1" ht="12.75">
      <c r="A43" s="2905" t="s">
        <v>3358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4" customFormat="1" ht="12.75">
      <c r="A44" s="2905" t="s">
        <v>3356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4" customFormat="1" ht="12.75">
      <c r="A45" s="2905" t="s">
        <v>3355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4" customFormat="1" ht="12.75">
      <c r="A46" s="2905" t="s">
        <v>3354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4" customFormat="1" ht="12.75">
      <c r="A47" s="2905" t="s">
        <v>3344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4" customFormat="1" ht="12.75">
      <c r="A48" s="2905" t="s">
        <v>2826</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4" customFormat="1" ht="12.75">
      <c r="A49" s="2905" t="s">
        <v>2827</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4" customFormat="1" ht="12.75">
      <c r="A50" s="2905" t="s">
        <v>2828</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4" customFormat="1" ht="12.75">
      <c r="A51" s="2905" t="s">
        <v>2829</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25" thickTop="1"/>
    <row r="54" spans="1:44">
      <c r="A54" s="3143"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25" t="s">
        <v>2830</v>
      </c>
      <c r="B1" s="3525"/>
      <c r="C1" s="3525"/>
      <c r="D1" s="3525"/>
      <c r="E1" s="3525"/>
      <c r="F1" s="3525"/>
      <c r="G1" s="3526"/>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23"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24"/>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45950</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2300</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0" t="s">
        <v>925</v>
      </c>
      <c r="E3" s="800" t="s">
        <v>931</v>
      </c>
      <c r="F3" s="800" t="s">
        <v>925</v>
      </c>
      <c r="G3" s="800" t="s">
        <v>926</v>
      </c>
      <c r="H3" s="800" t="s">
        <v>925</v>
      </c>
      <c r="I3" s="800" t="s">
        <v>926</v>
      </c>
    </row>
    <row r="4" spans="1:9" ht="15">
      <c r="A4" s="1402" t="str">
        <f>项目基本情况!S2</f>
        <v>房地产</v>
      </c>
      <c r="B4" s="800">
        <f>项目基本情况!C17</f>
        <v>74.16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2" t="s">
        <v>927</v>
      </c>
      <c r="B5" s="3202"/>
      <c r="C5" s="3202"/>
      <c r="D5" s="3202" t="e">
        <f ca="1">结果表!D119</f>
        <v>#REF!</v>
      </c>
      <c r="E5" s="3202"/>
      <c r="F5" s="3202" t="e">
        <f ca="1">结果表!F119</f>
        <v>#REF!</v>
      </c>
      <c r="G5" s="3202"/>
      <c r="H5" s="3202" t="e">
        <f ca="1">结果表!H119</f>
        <v>#REF!</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t="e">
        <f ca="1">结果表!D122</f>
        <v>#REF!</v>
      </c>
      <c r="E8" s="3201"/>
      <c r="F8" s="3201"/>
      <c r="G8" s="3201"/>
      <c r="H8" s="3201"/>
      <c r="I8" s="3201"/>
    </row>
    <row r="9" spans="1:9" ht="15">
      <c r="A9" s="3202" t="s">
        <v>927</v>
      </c>
      <c r="B9" s="3202"/>
      <c r="C9" s="3202"/>
      <c r="D9" s="3202" t="e">
        <f ca="1">结果表!D123</f>
        <v>#REF!</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4" t="s">
        <v>949</v>
      </c>
      <c r="B1" s="3214"/>
      <c r="C1" s="3214"/>
      <c r="D1" s="3214"/>
    </row>
    <row r="2" spans="1:4" ht="18">
      <c r="A2" s="3215" t="s">
        <v>933</v>
      </c>
      <c r="B2" s="3215"/>
      <c r="C2" s="3215"/>
      <c r="D2" s="321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5" t="s">
        <v>939</v>
      </c>
      <c r="B6" s="3215"/>
      <c r="C6" s="3215"/>
      <c r="D6" s="321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3"/>
      <c r="C12" s="3213"/>
      <c r="D12" s="3213"/>
    </row>
    <row r="13" spans="1:4" ht="30" customHeight="1">
      <c r="A13" s="3208" t="str">
        <f>IF(项目基本情况!B8="抵押","3.抵押双方在办理抵押登记手续时，应使用本公司出具的正式《房地产评估报告》，特提醒报告使用者注意。","——")</f>
        <v>——</v>
      </c>
      <c r="B13" s="3213"/>
      <c r="C13" s="3213"/>
      <c r="D13" s="3213"/>
    </row>
    <row r="14" spans="1:4" ht="15.75" customHeight="1">
      <c r="A14" s="3208" t="str">
        <f>IF(项目基本情况!B8="抵押","4.本次评估估价师所知悉的法定优先受偿款情况说明如下：","——")</f>
        <v>——</v>
      </c>
      <c r="B14" s="3213"/>
      <c r="C14" s="3213"/>
      <c r="D14" s="3213"/>
    </row>
    <row r="15" spans="1:4" ht="42" customHeight="1">
      <c r="A15" s="3208" t="str">
        <f>IF(项目基本情况!B8="抵押","（1）"&amp;CONCATENATE(项目基本情况!L20,项目基本情况!L21,项目基本情况!L22),"——")</f>
        <v>——</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3DF3-68AE-4C6C-B0FE-8C31DD0127EA}">
  <dimension ref="A4:N26"/>
  <sheetViews>
    <sheetView workbookViewId="0">
      <selection activeCell="N22" sqref="N22"/>
    </sheetView>
  </sheetViews>
  <sheetFormatPr defaultRowHeight="13.5"/>
  <cols>
    <col min="1" max="1" width="12.625" style="3170" customWidth="1"/>
    <col min="2" max="2" width="12.375" style="3170" customWidth="1"/>
    <col min="3" max="3" width="12.625" style="3170" customWidth="1"/>
    <col min="4" max="7" width="9" style="3170"/>
    <col min="8" max="8" width="14.375" style="3170" bestFit="1" customWidth="1"/>
    <col min="9" max="9" width="7.125" style="3170" bestFit="1" customWidth="1"/>
    <col min="10" max="10" width="7.5" style="3170" bestFit="1" customWidth="1"/>
    <col min="11" max="12" width="10.5" style="3170" bestFit="1" customWidth="1"/>
    <col min="13" max="13" width="7.5" style="3170" bestFit="1" customWidth="1"/>
    <col min="14" max="14" width="12.75" style="3170" bestFit="1" customWidth="1"/>
    <col min="15" max="16384" width="9" style="3170"/>
  </cols>
  <sheetData>
    <row r="4" spans="1:14">
      <c r="A4" s="3169"/>
    </row>
    <row r="5" spans="1:14">
      <c r="A5" s="3169"/>
      <c r="H5" s="3171" t="s">
        <v>3412</v>
      </c>
      <c r="I5" s="3171"/>
      <c r="J5" s="3171"/>
      <c r="K5" s="3171"/>
      <c r="L5" s="3171"/>
      <c r="M5" s="3171"/>
      <c r="N5" s="3172"/>
    </row>
    <row r="6" spans="1:14">
      <c r="A6" s="3169"/>
      <c r="H6" s="3171"/>
      <c r="I6" s="3171"/>
      <c r="J6" s="3171" t="s">
        <v>3378</v>
      </c>
      <c r="K6" s="3171" t="s">
        <v>3413</v>
      </c>
      <c r="L6" s="3171" t="s">
        <v>3414</v>
      </c>
      <c r="M6" s="3171" t="s">
        <v>3415</v>
      </c>
      <c r="N6" s="3172"/>
    </row>
    <row r="7" spans="1:14" ht="40.5">
      <c r="A7" s="3169" t="s">
        <v>3416</v>
      </c>
      <c r="B7" s="3170" t="s">
        <v>3417</v>
      </c>
      <c r="C7" s="3170" t="s">
        <v>3418</v>
      </c>
      <c r="D7" s="3170">
        <v>1101</v>
      </c>
      <c r="E7" s="3170">
        <v>20.27</v>
      </c>
      <c r="F7" s="3170" t="s">
        <v>3419</v>
      </c>
      <c r="H7" s="3171" t="s">
        <v>3420</v>
      </c>
      <c r="I7" s="3171" t="s">
        <v>3421</v>
      </c>
      <c r="J7" s="3171">
        <v>131.16</v>
      </c>
      <c r="K7" s="3173">
        <v>44587</v>
      </c>
      <c r="L7" s="3173">
        <v>45683</v>
      </c>
      <c r="M7" s="3171">
        <v>200000</v>
      </c>
      <c r="N7" s="3172">
        <f>M7/365/J7</f>
        <v>4.1776853116762132</v>
      </c>
    </row>
    <row r="8" spans="1:14">
      <c r="A8" s="3169"/>
      <c r="D8" s="3170">
        <v>1102</v>
      </c>
      <c r="E8" s="3170">
        <v>16.600000000000001</v>
      </c>
      <c r="H8" s="3171" t="s">
        <v>3422</v>
      </c>
      <c r="I8" s="3171" t="s">
        <v>3421</v>
      </c>
      <c r="J8" s="3171">
        <v>170</v>
      </c>
      <c r="K8" s="3173">
        <v>42060</v>
      </c>
      <c r="L8" s="3173">
        <v>43885</v>
      </c>
      <c r="M8" s="3171">
        <v>250000</v>
      </c>
      <c r="N8" s="3172">
        <f t="shared" ref="N8:N10" si="0">M8/365/J8</f>
        <v>4.0290088638195005</v>
      </c>
    </row>
    <row r="9" spans="1:14">
      <c r="A9" s="3169"/>
      <c r="D9" s="3170">
        <v>1103</v>
      </c>
      <c r="E9" s="3170">
        <v>17.690000000000001</v>
      </c>
      <c r="H9" s="3171"/>
      <c r="I9" s="3171"/>
      <c r="J9" s="3171"/>
      <c r="K9" s="3173">
        <v>43886</v>
      </c>
      <c r="L9" s="3173">
        <v>45712</v>
      </c>
      <c r="M9" s="3171" t="s">
        <v>3423</v>
      </c>
      <c r="N9" s="3172" t="e">
        <f t="shared" si="0"/>
        <v>#VALUE!</v>
      </c>
    </row>
    <row r="10" spans="1:14">
      <c r="A10" s="3169"/>
      <c r="D10" s="3170">
        <v>1104</v>
      </c>
      <c r="E10" s="3170">
        <v>2.44</v>
      </c>
      <c r="H10" s="3171" t="s">
        <v>3424</v>
      </c>
      <c r="I10" s="3171" t="s">
        <v>3425</v>
      </c>
      <c r="J10" s="3171">
        <v>156</v>
      </c>
      <c r="K10" s="3173">
        <v>44619</v>
      </c>
      <c r="L10" s="3173">
        <v>46444</v>
      </c>
      <c r="M10" s="3171">
        <v>300000</v>
      </c>
      <c r="N10" s="3172">
        <f t="shared" si="0"/>
        <v>5.2687038988408847</v>
      </c>
    </row>
    <row r="11" spans="1:14">
      <c r="A11" s="3169"/>
      <c r="E11" s="3170">
        <f>SUM(E7:E10)</f>
        <v>57</v>
      </c>
    </row>
    <row r="12" spans="1:14">
      <c r="A12" s="3169"/>
    </row>
    <row r="13" spans="1:14">
      <c r="A13" s="3169"/>
    </row>
    <row r="14" spans="1:14">
      <c r="A14" s="3169"/>
    </row>
    <row r="15" spans="1:14" ht="40.5">
      <c r="A15" s="3169" t="s">
        <v>3426</v>
      </c>
      <c r="B15" s="3170" t="s">
        <v>3417</v>
      </c>
      <c r="C15" s="3170" t="s">
        <v>3418</v>
      </c>
      <c r="D15" s="3170">
        <v>1098</v>
      </c>
      <c r="E15" s="3170">
        <v>16.8</v>
      </c>
      <c r="F15" s="3170" t="s">
        <v>3419</v>
      </c>
    </row>
    <row r="16" spans="1:14">
      <c r="A16" s="3169"/>
      <c r="D16" s="3170">
        <v>1099</v>
      </c>
      <c r="E16" s="3170">
        <v>29.05</v>
      </c>
    </row>
    <row r="17" spans="1:13">
      <c r="A17" s="3169"/>
      <c r="D17" s="3170">
        <v>1100</v>
      </c>
      <c r="E17" s="3170">
        <v>28.31</v>
      </c>
    </row>
    <row r="18" spans="1:13">
      <c r="A18" s="3169"/>
      <c r="E18" s="3170">
        <f>SUM(E15:E17)</f>
        <v>74.16</v>
      </c>
    </row>
    <row r="19" spans="1:13">
      <c r="A19" s="3169"/>
    </row>
    <row r="20" spans="1:13">
      <c r="A20" s="3169"/>
      <c r="H20" s="3174"/>
      <c r="I20" s="3174"/>
      <c r="J20" s="3174"/>
      <c r="K20" s="3174"/>
      <c r="L20" s="3174"/>
      <c r="M20" s="3174"/>
    </row>
    <row r="21" spans="1:13">
      <c r="A21" s="3169"/>
    </row>
    <row r="22" spans="1:13" ht="40.5">
      <c r="A22" s="3169" t="s">
        <v>3427</v>
      </c>
      <c r="B22" s="3170" t="s">
        <v>3428</v>
      </c>
      <c r="C22" s="3170" t="s">
        <v>3429</v>
      </c>
      <c r="E22" s="3170">
        <v>314.05</v>
      </c>
      <c r="F22" s="3170" t="s">
        <v>3419</v>
      </c>
      <c r="G22" s="3170">
        <f>E11+E18+E22</f>
        <v>445.21000000000004</v>
      </c>
    </row>
    <row r="23" spans="1:13">
      <c r="A23" s="3169"/>
    </row>
    <row r="24" spans="1:13">
      <c r="A24" s="3169"/>
    </row>
    <row r="25" spans="1:13">
      <c r="A25" s="3169"/>
    </row>
    <row r="26" spans="1:13">
      <c r="A26" s="3169"/>
    </row>
  </sheetData>
  <phoneticPr fontId="134"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2" t="s">
        <v>956</v>
      </c>
      <c r="B15" s="3217" t="s">
        <v>109</v>
      </c>
      <c r="C15" s="3218"/>
    </row>
    <row r="16" spans="1:7" ht="13.5">
      <c r="A16" s="3223"/>
      <c r="B16" s="3217" t="s">
        <v>42</v>
      </c>
      <c r="C16" s="3218"/>
    </row>
    <row r="17" spans="1:3" ht="13.5">
      <c r="A17" s="3223"/>
      <c r="B17" s="3220" t="s">
        <v>957</v>
      </c>
      <c r="C17" s="1428" t="s">
        <v>956</v>
      </c>
    </row>
    <row r="18" spans="1:3" ht="13.5">
      <c r="A18" s="3223"/>
      <c r="B18" s="3220"/>
      <c r="C18" s="1428" t="s">
        <v>958</v>
      </c>
    </row>
    <row r="19" spans="1:3" ht="13.5">
      <c r="A19" s="3223"/>
      <c r="B19" s="3220"/>
      <c r="C19" s="1428" t="s">
        <v>959</v>
      </c>
    </row>
    <row r="20" spans="1:3" ht="13.5">
      <c r="A20" s="3224"/>
      <c r="B20" s="3219" t="s">
        <v>960</v>
      </c>
      <c r="C20" s="3218"/>
    </row>
    <row r="21" spans="1:3" ht="13.5">
      <c r="A21" s="1429" t="s">
        <v>961</v>
      </c>
      <c r="B21" s="1430"/>
      <c r="C21" s="1431"/>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8" t="s">
        <v>967</v>
      </c>
    </row>
    <row r="26" spans="1:3" ht="13.5">
      <c r="A26" s="3221"/>
      <c r="B26" s="3220"/>
      <c r="C26" s="1428" t="s">
        <v>968</v>
      </c>
    </row>
    <row r="27" spans="1:3" ht="13.5">
      <c r="A27" s="3221"/>
      <c r="B27" s="3220"/>
      <c r="C27" s="1428" t="s">
        <v>969</v>
      </c>
    </row>
    <row r="28" spans="1:3" ht="13.5">
      <c r="A28" s="3221"/>
      <c r="B28" s="3220"/>
      <c r="C28" s="1428" t="s">
        <v>970</v>
      </c>
    </row>
    <row r="29" spans="1:3" ht="13.5">
      <c r="A29" s="3221"/>
      <c r="B29" s="3220"/>
      <c r="C29" s="1428" t="s">
        <v>971</v>
      </c>
    </row>
    <row r="30" spans="1:3" ht="13.5">
      <c r="A30" s="3221"/>
      <c r="B30" s="3220"/>
      <c r="C30" s="1428" t="s">
        <v>972</v>
      </c>
    </row>
    <row r="31" spans="1:3" ht="13.5">
      <c r="A31" s="3221"/>
      <c r="B31" s="3220"/>
      <c r="C31" s="1428" t="s">
        <v>973</v>
      </c>
    </row>
    <row r="32" spans="1:3" ht="13.5">
      <c r="A32" s="3221"/>
      <c r="B32" s="3220"/>
      <c r="C32" s="1428" t="s">
        <v>974</v>
      </c>
    </row>
    <row r="33" spans="1:3" ht="13.5">
      <c r="A33" s="3221"/>
      <c r="B33" s="322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面积</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2025-10-23T06:26:12Z</dcterms:modified>
</cp:coreProperties>
</file>