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7" i="65" l="1"/>
  <c r="E37" i="65"/>
  <c r="F37" i="65"/>
  <c r="AA37" i="65"/>
  <c r="R49" i="65"/>
  <c r="G37" i="65"/>
  <c r="H37" i="65"/>
  <c r="AB37" i="65"/>
  <c r="T49" i="65"/>
  <c r="I37" i="65"/>
  <c r="J37" i="65"/>
  <c r="AC37" i="65"/>
  <c r="V49" i="65"/>
  <c r="R50" i="65"/>
  <c r="C50" i="65"/>
  <c r="B29" i="1"/>
  <c r="V48" i="65"/>
  <c r="T48" i="65"/>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D112" i="65"/>
  <c r="E112" i="65"/>
  <c r="F112"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J38" i="65"/>
  <c r="AC38" i="65"/>
  <c r="J39" i="65"/>
  <c r="AC39" i="65"/>
  <c r="J40" i="65"/>
  <c r="AC40" i="65"/>
  <c r="J41" i="65"/>
  <c r="AC41" i="65"/>
  <c r="J42" i="65"/>
  <c r="AC42" i="65"/>
  <c r="J43" i="65"/>
  <c r="AC43" i="65"/>
  <c r="J44" i="65"/>
  <c r="AC44" i="65"/>
  <c r="J45" i="65"/>
  <c r="AC45" i="65"/>
  <c r="J46" i="65"/>
  <c r="AC46" i="65"/>
  <c r="J47" i="65"/>
  <c r="AC47"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F38" i="65"/>
  <c r="AA38" i="65"/>
  <c r="F39" i="65"/>
  <c r="AA39" i="65"/>
  <c r="F40" i="65"/>
  <c r="AA40" i="65"/>
  <c r="F41" i="65"/>
  <c r="AA41" i="65"/>
  <c r="F42" i="65"/>
  <c r="AA42" i="65"/>
  <c r="F43" i="65"/>
  <c r="AA43" i="65"/>
  <c r="F44" i="65"/>
  <c r="AA44" i="65"/>
  <c r="F45" i="65"/>
  <c r="AA45" i="65"/>
  <c r="F46" i="65"/>
  <c r="AA46" i="65"/>
  <c r="F47" i="65"/>
  <c r="AA47" i="65"/>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F60"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F31"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R49" i="34"/>
  <c r="R50" i="34"/>
  <c r="C50" i="34"/>
  <c r="B2" i="34"/>
  <c r="C19" i="9"/>
  <c r="J61" i="15"/>
  <c r="L47" i="15"/>
  <c r="B2" i="15"/>
  <c r="D19" i="9"/>
  <c r="G19" i="9"/>
  <c r="C20" i="9"/>
  <c r="B3" i="15"/>
  <c r="D20" i="9"/>
  <c r="G20" i="9"/>
  <c r="C32" i="9"/>
  <c r="I121" i="9"/>
  <c r="H121" i="9"/>
  <c r="D14" i="62"/>
  <c r="E14" i="62"/>
  <c r="D109" i="57"/>
  <c r="I111" i="57"/>
  <c r="D128" i="57"/>
  <c r="I102" i="9"/>
  <c r="I110" i="9"/>
  <c r="D125" i="9"/>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K68" i="39"/>
  <c r="J70" i="39"/>
  <c r="K63" i="40"/>
  <c r="J65" i="40"/>
  <c r="D20" i="57"/>
  <c r="B3" i="34"/>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E2" i="11"/>
  <c r="E2" i="37"/>
  <c r="E2" i="35"/>
  <c r="E2" i="36"/>
  <c r="E2" i="21"/>
  <c r="C19" i="57"/>
  <c r="C20" i="57"/>
  <c r="E2" i="33"/>
  <c r="E2" i="34"/>
  <c r="B2" i="36"/>
  <c r="B3" i="36"/>
  <c r="B2" i="35"/>
  <c r="B2" i="37"/>
  <c r="B3" i="37"/>
  <c r="B2" i="33"/>
  <c r="B3" i="33"/>
  <c r="B2" i="21"/>
  <c r="B3" i="21"/>
  <c r="D101" i="9"/>
  <c r="C102" i="57"/>
  <c r="B2" i="11"/>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G121" i="9"/>
  <c r="F121" i="9"/>
  <c r="G4" i="52"/>
  <c r="B41" i="60"/>
  <c r="M48" i="9"/>
  <c r="D8" i="50"/>
  <c r="B22" i="60"/>
  <c r="B29" i="60"/>
  <c r="D28" i="50"/>
  <c r="D29" i="50"/>
  <c r="F122" i="9"/>
  <c r="F5" i="52"/>
  <c r="B42" i="60"/>
  <c r="E80" i="9"/>
  <c r="E81" i="9"/>
  <c r="I103" i="9"/>
  <c r="D9" i="50"/>
  <c r="B21" i="60"/>
  <c r="C64" i="9"/>
  <c r="C63" i="9"/>
  <c r="C67" i="9"/>
  <c r="C68" i="9"/>
  <c r="D54" i="9"/>
  <c r="E121" i="9"/>
  <c r="D121" i="9"/>
  <c r="D4" i="52"/>
  <c r="B37" i="60"/>
  <c r="D122" i="9"/>
  <c r="D5" i="52"/>
  <c r="B39" i="60"/>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<sst xmlns="http://schemas.openxmlformats.org/spreadsheetml/2006/main" count="7236" uniqueCount="2899">
  <si>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</si>
  <si>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</si>
  <si>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</si>
  <si>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</si>
  <si>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</si>
  <si>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</si>
  <si>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</si>
  <si>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</si>
  <si>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</si>
  <si>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</si>
  <si>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</si>
  <si>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</si>
  <si>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</si>
  <si>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</si>
  <si>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</si>
  <si>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</si>
  <si>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</si>
  <si>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</si>
  <si>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</si>
  <si>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</si>
  <si>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</si>
  <si>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</si>
  <si>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</si>
  <si>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</si>
  <si>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</si>
  <si>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</si>
  <si>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</si>
  <si>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</si>
  <si>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</si>
  <si>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</si>
  <si>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</si>
  <si>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</si>
  <si>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</si>
  <si>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</si>
  <si>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</si>
  <si>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</si>
  <si>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</si>
  <si>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</si>
  <si>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</si>
  <si>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</si>
  <si>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</si>
  <si>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</si>
  <si>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</si>
  <si>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</si>
  <si>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</si>
  <si>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</si>
  <si>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</si>
  <si>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</si>
  <si>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</si>
  <si>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</si>
  <si>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</si>
  <si>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</si>
  <si>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</si>
  <si>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</si>
  <si>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</si>
  <si>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</si>
  <si>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</si>
  <si>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</si>
  <si>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</si>
  <si>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</si>
  <si>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</si>
  <si>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</si>
  <si>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</si>
  <si>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</si>
  <si>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</si>
  <si>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</si>
  <si>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</si>
  <si>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</si>
  <si>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</si>
  <si>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</si>
  <si>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</si>
  <si>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</si>
  <si>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</si>
  <si>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</si>
  <si>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</si>
  <si>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</si>
  <si>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</si>
  <si>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</si>
  <si>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</si>
  <si>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</si>
  <si>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</si>
  <si>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</si>
  <si>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</si>
  <si>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</si>
  <si>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</si>
  <si>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</si>
  <si>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</si>
  <si>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</si>
  <si>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</si>
  <si>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</si>
  <si>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</si>
  <si>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</si>
  <si>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</si>
  <si>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</si>
  <si>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</si>
  <si>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</si>
  <si>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</si>
  <si>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</si>
  <si>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</si>
  <si>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</si>
  <si>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</si>
  <si>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</si>
  <si>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</si>
  <si>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</si>
  <si>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</si>
  <si>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</si>
  <si>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</si>
  <si>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</si>
  <si>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</si>
  <si>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</si>
  <si>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</si>
  <si>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</si>
  <si>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</si>
  <si>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</si>
  <si>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</si>
  <si>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</si>
  <si>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</si>
  <si>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</si>
  <si>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</si>
  <si>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</si>
  <si>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</si>
  <si>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</si>
  <si>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</si>
  <si>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</si>
  <si>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</si>
  <si>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</si>
  <si>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</si>
  <si>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</si>
  <si>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</si>
  <si>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</si>
  <si>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</si>
  <si>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</si>
  <si>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</si>
  <si>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</si>
  <si>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</si>
  <si>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</si>
  <si>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</si>
  <si>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</si>
  <si>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</si>
  <si>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</si>
  <si>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</si>
  <si>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</si>
  <si>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</si>
  <si>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</si>
  <si>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</si>
  <si>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</si>
  <si>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</si>
  <si>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</si>
  <si>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</si>
  <si>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</si>
  <si>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</si>
  <si>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</si>
  <si>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</si>
  <si>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</si>
  <si>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</si>
  <si>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</si>
  <si>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</si>
  <si>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</si>
  <si>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</si>
  <si>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</si>
  <si>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</si>
  <si>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</si>
  <si>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</si>
  <si>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</si>
  <si>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</si>
  <si>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</si>
  <si>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</si>
  <si>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</si>
  <si>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</si>
  <si>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</si>
  <si>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</si>
  <si>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</si>
  <si>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</si>
  <si>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</si>
  <si>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</si>
  <si>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</si>
  <si>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</si>
  <si>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</si>
  <si>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</si>
  <si>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</si>
  <si>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</si>
  <si>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</si>
  <si>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</si>
  <si>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</si>
  <si>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</si>
  <si>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</si>
  <si>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</si>
  <si>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</si>
  <si>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</si>
  <si>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</si>
  <si>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</si>
  <si>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</si>
  <si>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</si>
  <si>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</si>
  <si>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</si>
  <si>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</si>
  <si>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</si>
  <si>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</si>
  <si>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</si>
  <si>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</si>
  <si>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</si>
  <si>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</si>
  <si>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</si>
  <si>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</si>
  <si>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</si>
  <si>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</si>
  <si>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</si>
  <si>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</si>
  <si>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</si>
  <si>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</si>
  <si>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</si>
  <si>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</si>
  <si>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</si>
  <si>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</si>
  <si>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</si>
  <si>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</si>
  <si>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</si>
  <si>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</si>
  <si>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</si>
  <si>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</si>
  <si>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</si>
  <si>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</si>
  <si>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</si>
  <si>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</si>
  <si>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</si>
  <si>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</si>
  <si>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</si>
  <si>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</si>
  <si>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</si>
  <si>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</si>
  <si>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</si>
  <si>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</si>
  <si>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</si>
  <si>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</si>
  <si>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</si>
  <si>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</si>
  <si>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</si>
  <si>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</si>
  <si>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</si>
  <si>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</si>
  <si>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</si>
  <si>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</si>
  <si>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</si>
  <si>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</si>
  <si>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</si>
  <si>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</si>
  <si>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</si>
  <si>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</si>
  <si>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</si>
  <si>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</si>
  <si>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</si>
  <si>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</si>
  <si>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</si>
  <si>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</si>
  <si>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</si>
  <si>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</si>
  <si>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</si>
  <si>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</si>
  <si>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</si>
  <si>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</si>
  <si>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</si>
  <si>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</si>
  <si>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</si>
  <si>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</si>
  <si>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</si>
  <si>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</si>
  <si>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</si>
  <si>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</si>
  <si>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</si>
  <si>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</si>
  <si>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</si>
  <si>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</si>
  <si>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</si>
  <si>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</si>
  <si>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</si>
  <si>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</si>
  <si>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</si>
  <si>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</si>
  <si>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</si>
  <si>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</si>
  <si>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</si>
  <si>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</si>
  <si>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</si>
  <si>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</si>
  <si>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</si>
  <si>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</si>
  <si>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</si>
  <si>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</si>
  <si>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</si>
  <si>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</si>
  <si>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</si>
  <si>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</si>
  <si>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</si>
  <si>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</si>
  <si>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</si>
  <si>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</si>
  <si>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</si>
  <si>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</si>
  <si>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</si>
  <si>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</si>
  <si>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</si>
  <si>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</si>
  <si>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</si>
  <si>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</si>
  <si>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</si>
  <si>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</si>
  <si>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</si>
  <si>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</si>
  <si>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</si>
  <si>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</si>
  <si>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</si>
  <si>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</si>
  <si>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</si>
  <si>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</si>
  <si>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</si>
  <si>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</si>
  <si>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</si>
  <si>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</si>
  <si>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</si>
  <si>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</si>
  <si>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</si>
  <si>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</si>
  <si>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</si>
  <si>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</si>
  <si>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</si>
  <si>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</si>
  <si>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</si>
  <si>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</si>
  <si>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</si>
  <si>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</si>
  <si>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</si>
  <si>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</si>
  <si>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</si>
  <si>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</si>
  <si>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</si>
  <si>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</si>
  <si>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</si>
  <si>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</si>
  <si>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</si>
  <si>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</si>
  <si>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</si>
  <si>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</si>
  <si>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</si>
  <si>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</si>
  <si>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</si>
  <si>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</si>
  <si>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</si>
  <si>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</si>
  <si>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</si>
  <si>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</si>
  <si>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</si>
  <si>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</si>
  <si>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</si>
  <si>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</si>
  <si>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</si>
  <si>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</si>
  <si>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</si>
  <si>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</si>
  <si>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</si>
  <si>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</si>
  <si>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</si>
  <si>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</si>
  <si>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</si>
  <si>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</si>
  <si>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</si>
  <si>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</si>
  <si>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</si>
  <si>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</si>
  <si>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</si>
  <si>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</si>
  <si>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</si>
  <si>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</si>
  <si>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</si>
  <si>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</si>
  <si>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</si>
  <si>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</si>
  <si>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</si>
  <si>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</si>
  <si>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</si>
  <si>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</si>
  <si>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</si>
  <si>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</si>
  <si>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</si>
  <si>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</si>
  <si>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</si>
  <si>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</si>
  <si>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</si>
  <si>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</si>
  <si>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</si>
  <si>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</si>
  <si>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</si>
  <si>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</si>
  <si>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</si>
  <si>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</si>
  <si>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</si>
  <si>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</si>
  <si>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</si>
  <si>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</si>
  <si>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</si>
  <si>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</si>
  <si>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</si>
  <si>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</si>
  <si>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</si>
  <si>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</si>
  <si>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</si>
  <si>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</si>
  <si>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</si>
  <si>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</si>
  <si>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</si>
  <si>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</si>
  <si>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</si>
  <si>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</si>
  <si>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</si>
  <si>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</si>
  <si>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</si>
  <si>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</si>
  <si>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</si>
  <si>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</si>
  <si>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</si>
  <si>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</si>
  <si>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</si>
  <si>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</si>
  <si>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</si>
  <si>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</si>
  <si>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</si>
  <si>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</si>
  <si>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</si>
  <si>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</si>
  <si>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</si>
  <si>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</si>
  <si>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</si>
  <si>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</si>
  <si>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</si>
  <si>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</si>
  <si>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</si>
  <si>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</si>
  <si>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</si>
  <si>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</si>
  <si>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</si>
  <si>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</si>
  <si>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</si>
  <si>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</si>
  <si>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</si>
  <si>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</si>
  <si>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</si>
  <si>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</si>
  <si>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</si>
  <si>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</si>
  <si>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</si>
  <si>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</si>
  <si>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</si>
  <si>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</si>
  <si>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</si>
  <si>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</si>
  <si>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</si>
  <si>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</si>
  <si>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</si>
  <si>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</si>
  <si>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</si>
  <si>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</si>
  <si>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</si>
  <si>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</si>
  <si>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</si>
  <si>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</si>
  <si>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</si>
  <si>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</si>
  <si>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</si>
  <si>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</si>
  <si>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</si>
  <si>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</si>
  <si>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</si>
  <si>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</si>
  <si>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</si>
  <si>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</si>
  <si>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</si>
  <si>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</si>
  <si>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</si>
  <si>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</si>
  <si>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</si>
  <si>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</si>
  <si>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</si>
  <si>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</si>
  <si>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</si>
  <si>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</si>
  <si>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</si>
  <si>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</si>
  <si>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</si>
  <si>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</si>
  <si>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</si>
  <si>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</si>
  <si>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</si>
  <si>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</si>
  <si>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</si>
  <si>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</si>
  <si>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</si>
  <si>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</si>
  <si>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</si>
  <si>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</si>
  <si>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</si>
  <si>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</si>
  <si>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</si>
  <si>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</si>
  <si>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</si>
  <si>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</si>
  <si>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</si>
  <si>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</si>
  <si>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</si>
  <si>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</si>
  <si>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</si>
  <si>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</si>
  <si>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</si>
  <si>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</si>
  <si>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</si>
  <si>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</si>
  <si>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</si>
  <si>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</si>
  <si>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</si>
  <si>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</si>
  <si>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</si>
  <si>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</si>
  <si>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</si>
  <si>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</si>
  <si>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</si>
  <si>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</si>
  <si>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</si>
  <si>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</si>
  <si>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</si>
  <si>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</si>
  <si>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</si>
  <si>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</si>
  <si>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</si>
  <si>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</si>
  <si>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</si>
  <si>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</si>
  <si>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</si>
  <si>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</si>
  <si>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</si>
  <si>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</si>
  <si>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</si>
  <si>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</si>
  <si>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</si>
  <si>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</si>
  <si>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</si>
  <si>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</si>
  <si>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</si>
  <si>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</si>
  <si>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</si>
  <si>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</si>
  <si>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</si>
  <si>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</si>
  <si>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</si>
  <si>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</si>
  <si>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</si>
  <si>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</si>
  <si>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</si>
  <si>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</si>
  <si>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</si>
  <si>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</si>
  <si>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</si>
  <si>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</si>
  <si>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</si>
  <si>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</si>
  <si>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</si>
  <si>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</si>
  <si>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</si>
  <si>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</si>
  <si>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</si>
  <si>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</si>
  <si>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</si>
  <si>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</si>
  <si>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</si>
  <si>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</si>
  <si>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</si>
  <si>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</si>
  <si>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</si>
  <si>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</si>
  <si>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</si>
  <si>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</si>
  <si>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</si>
  <si>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</si>
  <si>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</si>
  <si>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</si>
  <si>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</si>
  <si>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</si>
  <si>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</si>
  <si>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</si>
  <si>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</si>
  <si>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</si>
  <si>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</si>
  <si>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</si>
  <si>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</si>
  <si>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</si>
  <si>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</si>
  <si>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</si>
  <si>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</si>
  <si>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</si>
  <si>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</si>
  <si>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</si>
  <si>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</si>
  <si>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</si>
  <si>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</si>
  <si>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</si>
  <si>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</si>
  <si>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</si>
  <si>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</si>
  <si>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</si>
  <si>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</si>
  <si>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</si>
  <si>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</si>
  <si>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</si>
  <si>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</si>
  <si>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</si>
  <si>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</si>
  <si>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</si>
  <si>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</si>
  <si>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</si>
  <si>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</si>
  <si>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</si>
  <si>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</si>
  <si>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</si>
  <si>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</si>
  <si>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</si>
  <si>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</si>
  <si>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</si>
  <si>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</si>
  <si>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</si>
  <si>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</si>
  <si>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</si>
  <si>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</si>
  <si>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</si>
  <si>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</si>
  <si>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</si>
  <si>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</si>
  <si>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</si>
  <si>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</si>
  <si>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</si>
  <si>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</si>
  <si>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</si>
  <si>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</si>
  <si>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</si>
  <si>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</si>
  <si>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</si>
  <si>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</si>
  <si>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</si>
  <si>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</si>
  <si>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</si>
  <si>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</si>
  <si>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</si>
  <si>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</si>
  <si>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</si>
  <si>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</si>
  <si>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</si>
  <si>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</si>
  <si>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</si>
  <si>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</si>
  <si>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</si>
  <si>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</si>
  <si>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</si>
  <si>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</si>
  <si>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</si>
  <si>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</si>
  <si>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</si>
  <si>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</si>
  <si>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</si>
  <si>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</si>
  <si>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</si>
  <si>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</si>
  <si>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</si>
  <si>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</si>
  <si>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</si>
  <si>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</si>
  <si>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</si>
  <si>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</si>
  <si>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</si>
  <si>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</si>
  <si>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</si>
  <si>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</si>
  <si>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</si>
  <si>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</si>
  <si>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</si>
  <si>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</si>
  <si>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</si>
  <si>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</si>
  <si>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</si>
  <si>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</si>
  <si>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</si>
  <si>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</si>
  <si>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</si>
  <si>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</si>
  <si>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</si>
  <si>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</si>
  <si>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</si>
  <si>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</si>
  <si>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</si>
  <si>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</si>
  <si>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</si>
  <si>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</si>
  <si>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</si>
  <si>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</si>
  <si>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</si>
  <si>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</si>
  <si>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</si>
  <si>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</si>
  <si>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</si>
  <si>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</si>
  <si>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</si>
  <si>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</si>
  <si>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</si>
  <si>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</si>
  <si>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</si>
  <si>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</si>
  <si>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</si>
  <si>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</si>
  <si>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</si>
  <si>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</si>
  <si>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</si>
  <si>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</si>
  <si>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</si>
  <si>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</si>
  <si>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</si>
  <si>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</si>
  <si>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</si>
  <si>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</si>
  <si>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</si>
  <si>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</si>
  <si>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</si>
  <si>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</si>
  <si>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</si>
  <si>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</si>
  <si>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</si>
  <si>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</si>
  <si>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</si>
  <si>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</si>
  <si>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</si>
  <si>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</si>
  <si>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</si>
  <si>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</si>
  <si>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</si>
  <si>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</si>
  <si>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</si>
  <si>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</si>
  <si>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</si>
  <si>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</si>
  <si>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</si>
  <si>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</si>
  <si>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</si>
  <si>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</si>
  <si>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</si>
  <si>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</si>
  <si>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</si>
  <si>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</si>
  <si>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</si>
  <si>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</si>
  <si>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</si>
  <si>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</si>
  <si>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</si>
  <si>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</si>
  <si>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</si>
  <si>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</si>
  <si>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</si>
  <si>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</si>
  <si>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</si>
  <si>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</si>
  <si>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</si>
  <si>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</si>
  <si>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</si>
  <si>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</si>
  <si>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</si>
  <si>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</si>
  <si>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</si>
  <si>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</si>
  <si>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</si>
  <si>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</si>
  <si>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</si>
  <si>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</si>
  <si>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</si>
  <si>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</si>
  <si>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</si>
  <si>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</si>
  <si>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</si>
  <si>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</si>
  <si>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</si>
  <si>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</si>
  <si>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</si>
  <si>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</si>
  <si>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</si>
  <si>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</si>
  <si>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</si>
  <si>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</si>
  <si>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</si>
  <si>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</si>
  <si>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</si>
  <si>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</si>
  <si>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</si>
  <si>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</si>
  <si>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</si>
  <si>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</si>
  <si>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</si>
  <si>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</si>
  <si>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</si>
  <si>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</si>
  <si>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</si>
  <si>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</si>
  <si>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</si>
  <si>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</si>
  <si>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</si>
  <si>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</si>
  <si>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</si>
  <si>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</si>
  <si>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</si>
  <si>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</si>
  <si>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</si>
  <si>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</si>
  <si>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</si>
  <si>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</si>
  <si>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</si>
  <si>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</si>
  <si>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</si>
  <si>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</si>
  <si>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</si>
  <si>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</si>
  <si>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</si>
  <si>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</si>
  <si>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</si>
  <si>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</si>
  <si>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</si>
  <si>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</si>
  <si>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</si>
  <si>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</si>
  <si>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</si>
  <si>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</si>
  <si>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</si>
  <si>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</si>
  <si>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</si>
  <si>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</si>
  <si>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</si>
  <si>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</si>
  <si>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</si>
  <si>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</si>
  <si>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</si>
  <si>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</si>
  <si>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</si>
  <si>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</si>
  <si>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</si>
  <si>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</si>
  <si>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</si>
  <si>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</si>
  <si>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</si>
  <si>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</si>
  <si>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</si>
  <si>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</si>
  <si>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</si>
  <si>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</si>
  <si>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</si>
  <si>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</si>
  <si>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</si>
  <si>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</si>
  <si>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</si>
  <si>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</si>
  <si>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</si>
  <si>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</si>
  <si>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</si>
  <si>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</si>
  <si>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</si>
  <si>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</si>
  <si>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</si>
  <si>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</si>
  <si>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</si>
  <si>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</si>
  <si>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</si>
  <si>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</si>
  <si>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</si>
  <si>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</si>
  <si>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</si>
  <si>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</si>
  <si>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</si>
  <si>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</si>
  <si>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</si>
  <si>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</si>
  <si>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</si>
  <si>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</si>
  <si>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</si>
  <si>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</si>
  <si>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</si>
  <si>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</si>
  <si>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</si>
  <si>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</si>
  <si>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</si>
  <si>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</si>
  <si>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</si>
  <si>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</si>
  <si>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</si>
  <si>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</si>
  <si>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</si>
  <si>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</si>
  <si>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</si>
  <si>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</si>
  <si>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</si>
  <si>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</si>
  <si>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</si>
  <si>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</si>
  <si>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</si>
  <si>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</si>
  <si>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</si>
  <si>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</si>
  <si>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</si>
  <si>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</si>
  <si>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</si>
  <si>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</si>
  <si>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</si>
  <si>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</si>
  <si>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</si>
  <si>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</si>
  <si>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</si>
  <si>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</si>
  <si>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</si>
  <si>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</si>
  <si>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</si>
  <si>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</si>
  <si>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</si>
  <si>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</si>
  <si>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</si>
  <si>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</si>
  <si>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</si>
  <si>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</si>
  <si>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</si>
  <si>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</si>
  <si>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</si>
  <si>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</si>
  <si>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</si>
  <si>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</si>
  <si>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</si>
  <si>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</si>
  <si>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</si>
  <si>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</si>
  <si>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</si>
  <si>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</si>
  <si>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</si>
  <si>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</si>
  <si>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</si>
  <si>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</si>
  <si>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</si>
  <si>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</si>
  <si>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</si>
  <si>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</si>
  <si>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</si>
  <si>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</si>
  <si>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</si>
  <si>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</si>
  <si>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</si>
  <si>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</si>
  <si>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</si>
  <si>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</si>
  <si>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</si>
  <si>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</si>
  <si>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</si>
  <si>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</si>
  <si>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</si>
  <si>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</si>
  <si>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</si>
  <si>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</si>
  <si>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</si>
  <si>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</si>
  <si>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</si>
  <si>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</si>
  <si>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</si>
  <si>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</si>
  <si>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</si>
  <si>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</si>
  <si>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</si>
  <si>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</si>
  <si>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</si>
  <si>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</si>
  <si>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</si>
  <si>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</si>
  <si>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</si>
  <si>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</si>
  <si>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</si>
  <si>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</si>
  <si>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</si>
  <si>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</si>
  <si>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</si>
  <si>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</si>
  <si>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</si>
  <si>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</si>
  <si>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</si>
  <si>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</si>
  <si>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</si>
  <si>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</si>
  <si>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</si>
  <si>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</si>
  <si>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</si>
  <si>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</si>
  <si>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</si>
  <si>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</si>
  <si>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</si>
  <si>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</si>
  <si>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</si>
  <si>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</si>
  <si>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</si>
  <si>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</si>
  <si>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</si>
  <si>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</si>
  <si>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</si>
  <si>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</si>
  <si>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</si>
  <si>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</si>
  <si>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</si>
  <si>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</si>
  <si>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</si>
  <si>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</si>
  <si>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</si>
  <si>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</si>
  <si>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</si>
  <si>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</si>
  <si>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</si>
  <si>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</si>
  <si>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</si>
  <si>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</si>
  <si>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</si>
  <si>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</si>
  <si>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</si>
  <si>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</si>
  <si>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</si>
  <si>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</si>
  <si>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</si>
  <si>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</si>
  <si>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</si>
  <si>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</si>
  <si>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</si>
  <si>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</si>
  <si>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</si>
  <si>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</si>
  <si>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</si>
  <si>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</si>
  <si>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</si>
  <si>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</si>
  <si>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</si>
  <si>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</si>
  <si>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</si>
  <si>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</si>
  <si>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</si>
  <si>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</si>
  <si>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</si>
  <si>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</si>
  <si>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</si>
  <si>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</si>
  <si>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</si>
  <si>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</si>
  <si>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</si>
  <si>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</si>
  <si>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</si>
  <si>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</si>
  <si>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</si>
  <si>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</si>
  <si>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</si>
  <si>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</si>
  <si>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</si>
  <si>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</si>
  <si>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</si>
  <si>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</si>
  <si>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</si>
  <si>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</si>
  <si>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</si>
  <si>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</si>
  <si>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</si>
  <si>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</si>
  <si>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</si>
  <si>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</si>
  <si>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</si>
  <si>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</si>
  <si>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</si>
  <si>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</si>
  <si>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</si>
  <si>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</si>
  <si>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</si>
  <si>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</si>
  <si>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</si>
  <si>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</si>
  <si>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</si>
  <si>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</si>
  <si>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</si>
  <si>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</si>
  <si>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</si>
  <si>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</si>
  <si>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</si>
  <si>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</si>
  <si>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</si>
  <si>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</si>
  <si>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</si>
  <si>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</si>
  <si>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</si>
  <si>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</si>
  <si>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</si>
  <si>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</si>
  <si>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</si>
  <si>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</si>
  <si>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</si>
  <si>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</si>
  <si>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</si>
  <si>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</si>
  <si>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</si>
  <si>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</si>
  <si>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</si>
  <si>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</si>
  <si>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</si>
  <si>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</si>
  <si>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</si>
  <si>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</si>
  <si>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</si>
  <si>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</si>
  <si>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</si>
  <si>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</si>
  <si>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</si>
  <si>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</si>
  <si>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</si>
  <si>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</si>
  <si>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</si>
  <si>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</si>
  <si>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</si>
  <si>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</si>
  <si>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</si>
  <si>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</si>
  <si>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</si>
  <si>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</si>
  <si>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</si>
  <si>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</si>
  <si>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</si>
  <si>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</si>
  <si>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</si>
  <si>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</si>
  <si>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</si>
  <si>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</si>
  <si>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</si>
  <si>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</si>
  <si>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</si>
  <si>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</si>
  <si>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</si>
  <si>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</si>
  <si>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</si>
  <si>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</si>
  <si>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</si>
  <si>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</si>
  <si>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</si>
  <si>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</si>
  <si>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</si>
  <si>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</si>
  <si>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</si>
  <si>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</si>
  <si>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</si>
  <si>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</si>
  <si>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</si>
  <si>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</si>
  <si>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</si>
  <si>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</si>
  <si>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</si>
  <si>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</si>
  <si>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</si>
  <si>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</si>
  <si>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</si>
  <si>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</si>
  <si>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</si>
  <si>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</si>
  <si>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</si>
  <si>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</si>
  <si>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</si>
  <si>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</si>
  <si>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</si>
  <si>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</si>
  <si>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</si>
  <si>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</si>
  <si>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</si>
  <si>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</si>
  <si>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</si>
  <si>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</si>
  <si>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</si>
  <si>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</si>
  <si>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</si>
  <si>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</si>
  <si>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</si>
  <si>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</si>
  <si>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</si>
  <si>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</si>
  <si>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</si>
  <si>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</si>
  <si>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</si>
  <si>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</si>
  <si>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</si>
  <si>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</si>
  <si>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</si>
  <si>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</si>
  <si>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</si>
  <si>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</si>
  <si>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</si>
  <si>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</si>
  <si>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</si>
  <si>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</si>
  <si>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</si>
  <si>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</si>
  <si>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</si>
  <si>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</si>
  <si>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</si>
  <si>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</si>
  <si>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</si>
  <si>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</si>
  <si>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</si>
  <si>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</si>
  <si>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</si>
  <si>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</si>
  <si>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</si>
  <si>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</si>
  <si>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</si>
  <si>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</si>
  <si>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</si>
  <si>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</si>
  <si>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</si>
  <si>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</si>
  <si>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</si>
  <si>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</si>
  <si>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</si>
  <si>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</si>
  <si>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</si>
  <si>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</si>
  <si>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</si>
  <si>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</si>
  <si>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</si>
  <si>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</si>
  <si>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</si>
  <si>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</si>
  <si>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</si>
  <si>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</si>
  <si>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</si>
  <si>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</si>
  <si>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</si>
  <si>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</si>
  <si>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</si>
  <si>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</si>
  <si>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</si>
  <si>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</si>
  <si>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</si>
  <si>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</si>
  <si>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</si>
  <si>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</si>
  <si>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</si>
  <si>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</si>
  <si>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</si>
  <si>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</si>
  <si>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</si>
  <si>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</si>
  <si>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</si>
  <si>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</si>
  <si>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</si>
  <si>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</si>
  <si>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</si>
  <si>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</si>
  <si>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</si>
  <si>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</si>
  <si>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</si>
  <si>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</si>
  <si>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</si>
  <si>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</si>
  <si>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</si>
  <si>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</si>
  <si>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</si>
  <si>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</si>
  <si>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</si>
  <si>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</si>
  <si>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</si>
  <si>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</si>
  <si>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</si>
  <si>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</si>
  <si>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</si>
  <si>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</si>
  <si>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</si>
  <si>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</si>
  <si>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</si>
  <si>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</si>
  <si>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</si>
  <si>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</si>
  <si>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</si>
  <si>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</si>
  <si>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</si>
  <si>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</si>
  <si>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</si>
  <si>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</si>
  <si>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</si>
  <si>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</si>
  <si>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</si>
  <si>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</si>
  <si>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</si>
  <si>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</si>
  <si>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</si>
  <si>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</si>
  <si>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</si>
  <si>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</si>
  <si>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</si>
  <si>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</si>
  <si>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</si>
  <si>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</si>
  <si>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</si>
  <si>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</si>
  <si>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</si>
  <si>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</si>
  <si>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</si>
  <si>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</si>
  <si>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</si>
  <si>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</si>
  <si>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</si>
  <si>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</si>
  <si>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</si>
  <si>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</si>
  <si>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</si>
  <si>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</si>
  <si>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</si>
  <si>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</si>
  <si>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</si>
  <si>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</si>
  <si>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</si>
  <si>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</si>
  <si>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</si>
  <si>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</si>
  <si>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</si>
  <si>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</si>
  <si>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</si>
  <si>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</si>
  <si>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</si>
  <si>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</si>
  <si>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</si>
  <si>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</si>
  <si>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</si>
  <si>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</si>
  <si>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</si>
  <si>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</si>
  <si>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</si>
  <si>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</si>
  <si>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</si>
  <si>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</si>
  <si>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</si>
  <si>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</si>
  <si>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</si>
  <si>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</si>
  <si>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</si>
  <si>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</si>
  <si>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</si>
  <si>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</si>
  <si>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</si>
  <si>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</si>
  <si>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</si>
  <si>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</si>
  <si>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</si>
  <si>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</si>
  <si>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</si>
  <si>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</si>
  <si>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</si>
  <si>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</si>
  <si>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</si>
  <si>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</si>
  <si>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</si>
  <si>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</si>
  <si>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</si>
  <si>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</si>
  <si>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</si>
  <si>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</si>
  <si>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</si>
  <si>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</si>
  <si>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</si>
  <si>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</si>
  <si>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</si>
  <si>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</si>
  <si>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</si>
  <si>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</si>
  <si>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</si>
  <si>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</si>
  <si>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</si>
  <si>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</si>
  <si>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</si>
  <si>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</si>
  <si>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</si>
  <si>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</si>
  <si>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</si>
  <si>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</si>
  <si>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</si>
  <si>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</si>
  <si>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</si>
  <si>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</si>
  <si>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</si>
  <si>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</si>
  <si>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</si>
  <si>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</si>
  <si>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</si>
  <si>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</si>
  <si>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</si>
  <si>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</si>
  <si>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</si>
  <si>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</si>
  <si>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</si>
  <si>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</si>
  <si>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</si>
  <si>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</si>
  <si>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</si>
  <si>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</si>
  <si>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</si>
  <si>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</si>
  <si>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</si>
  <si>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</si>
  <si>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</si>
  <si>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</si>
  <si>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</si>
  <si>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</si>
  <si>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</si>
  <si>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</si>
  <si>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</si>
  <si>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</si>
  <si>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</si>
  <si>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</si>
  <si>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</si>
  <si>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</si>
  <si>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</si>
  <si>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</si>
  <si>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</si>
  <si>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</si>
  <si>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</si>
  <si>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</si>
  <si>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</si>
  <si>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</si>
  <si>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</si>
  <si>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</si>
  <si>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</si>
  <si>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</si>
  <si>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</si>
  <si>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</si>
  <si>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</si>
  <si>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</si>
  <si>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</si>
  <si>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</si>
  <si>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</si>
  <si>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</si>
  <si>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</si>
  <si>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</si>
  <si>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</si>
  <si>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</si>
  <si>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</si>
  <si>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</si>
  <si>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</si>
  <si>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</si>
  <si>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</si>
  <si>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</si>
  <si>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</si>
  <si>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</si>
  <si>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</si>
  <si>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</si>
  <si>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</si>
  <si>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</si>
  <si>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</si>
  <si>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</si>
  <si>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</si>
  <si>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</si>
  <si>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</si>
  <si>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</si>
  <si>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</si>
  <si>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</si>
  <si>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</si>
  <si>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</si>
  <si>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</si>
  <si>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</si>
  <si>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</si>
  <si>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</si>
  <si>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</si>
  <si>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</si>
  <si>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</si>
  <si>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</si>
  <si>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</si>
  <si>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</si>
  <si>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</si>
  <si>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</si>
  <si>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</si>
  <si>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</si>
  <si>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</si>
  <si>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</si>
  <si>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</si>
  <si>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</si>
  <si>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</si>
  <si>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</si>
  <si>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</si>
  <si>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</si>
  <si>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</si>
  <si>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</si>
  <si>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</si>
  <si>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</si>
  <si>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</si>
  <si>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</si>
  <si>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</si>
  <si>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</si>
  <si>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</si>
  <si>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</si>
  <si>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</si>
  <si>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</si>
  <si>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</si>
  <si>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</si>
  <si>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</si>
  <si>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</si>
  <si>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</si>
  <si>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</si>
  <si>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</si>
  <si>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</si>
  <si>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</si>
  <si>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</si>
  <si>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</si>
  <si>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</si>
  <si>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</si>
  <si>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</si>
  <si>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</si>
  <si>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</si>
  <si>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</si>
  <si>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</si>
  <si>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</si>
  <si>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</si>
  <si>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</si>
  <si>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</si>
  <si>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</si>
  <si>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</si>
  <si>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</si>
  <si>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</si>
  <si>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</si>
  <si>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</si>
  <si>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</si>
  <si>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</si>
  <si>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</si>
  <si>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</si>
  <si>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</si>
  <si>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</si>
  <si>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</si>
  <si>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</si>
  <si>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</si>
  <si>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</si>
  <si>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</si>
  <si>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</si>
  <si>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</si>
  <si>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</si>
  <si>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</si>
  <si>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</si>
  <si>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</si>
  <si>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</si>
  <si>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</si>
  <si>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</si>
  <si>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</si>
  <si>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</si>
  <si>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</si>
  <si>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</si>
  <si>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</si>
  <si>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</si>
  <si>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</si>
  <si>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</si>
  <si>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</si>
  <si>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</si>
  <si>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</si>
  <si>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</si>
  <si>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</si>
  <si>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</si>
  <si>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</si>
  <si>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</si>
  <si>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</si>
  <si>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</si>
  <si>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</si>
  <si>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</si>
  <si>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</si>
  <si>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</si>
  <si>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</si>
  <si>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</si>
  <si>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</si>
  <si>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</si>
  <si>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</si>
  <si>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</si>
  <si>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</si>
  <si>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</si>
  <si>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</si>
  <si>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</si>
  <si>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</si>
  <si>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</si>
  <si>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</si>
  <si>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</si>
  <si>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</si>
  <si>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</si>
  <si>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</si>
  <si>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</si>
  <si>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</si>
  <si>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</si>
  <si>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</si>
  <si>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</si>
  <si>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</si>
  <si>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</si>
  <si>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</si>
  <si>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</si>
  <si>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</si>
  <si>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</si>
  <si>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</si>
  <si>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</si>
  <si>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</si>
  <si>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</si>
  <si>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</si>
  <si>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</si>
  <si>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</si>
  <si>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</si>
  <si>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</si>
  <si>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</si>
  <si>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</si>
  <si>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</si>
  <si>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</si>
  <si>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</si>
  <si>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</si>
  <si>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</si>
  <si>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</si>
  <si>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</si>
  <si>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</si>
  <si>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</si>
  <si>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</si>
  <si>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</si>
  <si>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</si>
  <si>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</si>
  <si>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</si>
  <si>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</si>
  <si>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</si>
  <si>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</si>
  <si>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</si>
  <si>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</si>
  <si>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</si>
  <si>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</si>
  <si>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</si>
  <si>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</si>
  <si>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</si>
  <si>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</si>
  <si>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</si>
  <si>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</si>
  <si>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</si>
  <si>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</si>
  <si>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</si>
  <si>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</si>
  <si>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</si>
  <si>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</si>
  <si>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</si>
  <si>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</si>
  <si>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</si>
  <si>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</si>
  <si>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</si>
  <si>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</si>
  <si>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</si>
  <si>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</si>
  <si>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</si>
  <si>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</si>
  <si>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</si>
  <si>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</si>
  <si>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</si>
  <si>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</si>
  <si>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</si>
  <si>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</si>
  <si>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</si>
  <si>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</si>
  <si>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</si>
  <si>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</si>
  <si>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</si>
  <si>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</si>
  <si>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</si>
  <si>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</si>
  <si>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</si>
  <si>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</si>
  <si>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</si>
  <si>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</si>
  <si>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</si>
  <si>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</si>
  <si>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</si>
  <si>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</si>
  <si>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</si>
  <si>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</si>
  <si>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</si>
  <si>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</si>
  <si>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</si>
  <si>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</si>
  <si>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</si>
  <si>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</si>
  <si>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</si>
  <si>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</si>
  <si>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</si>
  <si>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</si>
  <si>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</si>
  <si>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</si>
  <si>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</si>
  <si>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</si>
  <si>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</si>
  <si>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</si>
  <si>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</si>
  <si>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</si>
  <si>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</si>
  <si>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</si>
  <si>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</si>
  <si>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</si>
  <si>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</si>
  <si>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</si>
  <si>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</si>
  <si>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</si>
  <si>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</si>
  <si>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</si>
  <si>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</si>
  <si>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</si>
  <si>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</si>
  <si>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</si>
  <si>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</si>
  <si>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</si>
  <si>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</si>
  <si>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</si>
  <si>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</si>
  <si>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</si>
  <si>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</si>
  <si>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</si>
  <si>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</si>
  <si>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</si>
  <si>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</si>
  <si>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</si>
  <si>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</si>
  <si>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</si>
  <si>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</si>
  <si>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</si>
  <si>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</si>
  <si>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</si>
  <si>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</si>
  <si>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</si>
  <si>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</si>
  <si>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</si>
  <si>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</si>
  <si>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</si>
  <si>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</si>
  <si>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</si>
  <si>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</si>
  <si>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</si>
  <si>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</si>
  <si>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</si>
  <si>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</si>
  <si>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</si>
  <si>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</si>
  <si>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</si>
  <si>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</si>
  <si>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</si>
  <si>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</si>
  <si>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</si>
  <si>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</si>
  <si>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</si>
  <si>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</si>
  <si>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</si>
  <si>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</si>
  <si>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</si>
  <si>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</si>
  <si>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</si>
  <si>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</si>
  <si>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</si>
  <si>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</si>
  <si>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</si>
  <si>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</si>
  <si>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</si>
  <si>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</si>
  <si>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</si>
  <si>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</si>
  <si>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</si>
  <si>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</si>
  <si>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</si>
  <si>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</si>
  <si>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</si>
  <si>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</si>
  <si>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</si>
  <si>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</si>
  <si>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</si>
  <si>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</si>
  <si>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</si>
  <si>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</si>
  <si>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</si>
  <si>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</si>
  <si>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</si>
  <si>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</si>
  <si>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</si>
  <si>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</si>
  <si>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</si>
  <si>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</si>
  <si>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</si>
  <si>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</si>
  <si>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</si>
  <si>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</si>
  <si>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</si>
  <si>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</si>
  <si>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</si>
  <si>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</si>
  <si>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</si>
  <si>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</si>
  <si>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</si>
  <si>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</si>
  <si>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</si>
  <si>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</si>
  <si>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</si>
  <si>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</si>
  <si>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</si>
  <si>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</si>
  <si>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</si>
  <si>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</si>
  <si>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</si>
  <si>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</si>
  <si>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</si>
  <si>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</si>
  <si>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</si>
  <si>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</si>
  <si>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</si>
  <si>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</si>
  <si>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</si>
  <si>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</si>
  <si>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</si>
  <si>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</si>
  <si>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</si>
  <si>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</si>
  <si>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</si>
  <si>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</si>
  <si>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</si>
  <si>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</si>
  <si>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</si>
  <si>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</si>
  <si>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</si>
  <si>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</si>
  <si>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</si>
  <si>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</si>
  <si>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</si>
  <si>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</si>
  <si>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</si>
  <si>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</si>
  <si>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</si>
  <si>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</si>
  <si>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</si>
  <si>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</si>
  <si>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</si>
  <si>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</si>
  <si>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</si>
  <si>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</si>
  <si>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</si>
  <si>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</si>
  <si>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</si>
  <si>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</si>
  <si>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</si>
  <si>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</si>
  <si>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</si>
  <si>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</si>
  <si>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</si>
  <si>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</si>
  <si>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</si>
  <si>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</si>
  <si>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</si>
  <si>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</si>
  <si>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</si>
  <si>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</si>
  <si>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</si>
  <si>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</si>
  <si>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</si>
  <si>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</si>
  <si>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</si>
  <si>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</si>
  <si>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</si>
  <si>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</si>
  <si>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</si>
  <si>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</si>
  <si>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</si>
  <si>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</si>
  <si>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</si>
  <si>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</si>
  <si>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</si>
  <si>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</si>
  <si>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</si>
  <si>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</si>
  <si>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</si>
  <si>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</si>
  <si>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</si>
  <si>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</si>
  <si>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</si>
  <si>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</si>
  <si>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</si>
  <si>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</si>
  <si>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</si>
  <si>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</si>
  <si>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</si>
  <si>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</si>
  <si>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</si>
  <si>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</si>
  <si>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</si>
  <si>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</si>
  <si>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</si>
  <si>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</si>
  <si>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</si>
  <si>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</si>
  <si>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</si>
  <si>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</si>
  <si>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</si>
  <si>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</si>
  <si>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</si>
  <si>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</si>
  <si>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</si>
  <si>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</si>
  <si>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</si>
  <si>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</si>
  <si>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</si>
  <si>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</si>
  <si>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</si>
  <si>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</si>
  <si>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</si>
  <si>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</si>
  <si>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</si>
  <si>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</si>
  <si>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</si>
  <si>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</si>
  <si>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</si>
  <si>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</si>
  <si>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</si>
  <si>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</si>
  <si>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</si>
  <si>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</si>
  <si>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</si>
  <si>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</si>
  <si>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</si>
  <si>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</si>
  <si>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</si>
  <si>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</si>
  <si>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</si>
  <si>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</si>
  <si>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</si>
  <si>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</si>
  <si>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</si>
  <si>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</si>
  <si>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</si>
  <si>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</si>
  <si>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</si>
  <si>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</si>
  <si>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</si>
  <si>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</si>
  <si>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</si>
  <si>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</si>
  <si>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</si>
  <si>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</si>
  <si>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</si>
  <si>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</si>
  <si>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</si>
  <si>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</si>
  <si>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</si>
  <si>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</si>
  <si>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</si>
  <si>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</si>
  <si>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</si>
  <si>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</si>
  <si>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</si>
  <si>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</si>
  <si>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</si>
  <si>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</si>
  <si>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</si>
  <si>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</si>
  <si>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</si>
  <si>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</si>
  <si>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</si>
  <si>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</si>
  <si>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</si>
  <si>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</si>
  <si>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</si>
  <si>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</si>
  <si>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</si>
  <si>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</si>
  <si>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</si>
  <si>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</si>
  <si>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</si>
  <si>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</si>
  <si>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</si>
  <si>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</si>
  <si>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</si>
  <si>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</si>
  <si>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</si>
  <si>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</si>
  <si>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</si>
  <si>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</si>
  <si>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</si>
  <si>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</si>
  <si>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</si>
  <si>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</si>
  <si>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</si>
  <si>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</si>
  <si>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</si>
  <si>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</si>
  <si>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</si>
  <si>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</si>
  <si>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</si>
  <si>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</si>
  <si>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</si>
  <si>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</si>
  <si>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</si>
  <si>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</si>
  <si>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</si>
  <si>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</si>
  <si>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</si>
  <si>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</si>
  <si>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</si>
  <si>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</si>
  <si>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</si>
  <si>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</si>
  <si>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</si>
  <si>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</si>
  <si>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</si>
  <si>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</si>
  <si>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</si>
  <si>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</si>
  <si>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</si>
  <si>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</si>
  <si>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</si>
  <si>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</si>
  <si>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</si>
  <si>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</si>
  <si>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</si>
  <si>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</si>
  <si>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</si>
  <si>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</si>
  <si>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</si>
  <si>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</si>
  <si>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</si>
  <si>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</si>
  <si>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</si>
  <si>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</si>
  <si>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</si>
  <si>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</si>
  <si>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</si>
  <si>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</si>
  <si>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</si>
  <si>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</si>
  <si>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</si>
  <si>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</si>
  <si>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</si>
  <si>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</si>
  <si>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</si>
  <si>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</si>
  <si>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</si>
  <si>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</si>
  <si>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</si>
  <si>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</si>
  <si>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</si>
  <si>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</si>
  <si>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</si>
  <si>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</si>
  <si>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</si>
  <si>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</si>
  <si>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</si>
  <si>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</si>
  <si>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</si>
  <si>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</si>
  <si>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</si>
  <si>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</si>
  <si>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</si>
  <si>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</si>
  <si>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</si>
  <si>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</si>
  <si>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</si>
  <si>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</si>
  <si>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</si>
  <si>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</si>
  <si>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</si>
  <si>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</si>
  <si>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</si>
  <si>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</si>
  <si>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</si>
  <si>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</si>
  <si>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</si>
  <si>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</si>
  <si>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</si>
  <si>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</si>
  <si>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</si>
  <si>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</si>
  <si>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</si>
  <si>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</si>
  <si>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</si>
  <si>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</si>
  <si>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</si>
  <si>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</si>
  <si>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</si>
  <si>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</si>
  <si>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</si>
  <si>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</si>
  <si>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</si>
  <si>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</si>
  <si>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</si>
  <si>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</si>
  <si>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</si>
  <si>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</si>
  <si>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</si>
  <si>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</si>
  <si>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</si>
  <si>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</si>
  <si>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</si>
  <si>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</si>
  <si>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</si>
  <si>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</si>
  <si>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</si>
  <si>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</si>
  <si>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</si>
  <si>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</si>
  <si>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</si>
  <si>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</si>
  <si>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</si>
  <si>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</si>
  <si>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</si>
  <si>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</si>
  <si>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</si>
  <si>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</si>
  <si>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</si>
  <si>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</si>
  <si>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</si>
  <si>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</si>
  <si>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</si>
  <si>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</si>
  <si>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</si>
  <si>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</si>
  <si>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</si>
  <si>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</si>
  <si>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</si>
  <si>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</si>
  <si>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</si>
  <si>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</si>
  <si>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</si>
  <si>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</si>
  <si>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</si>
  <si>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</si>
  <si>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</si>
  <si>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</si>
  <si>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</si>
  <si>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</si>
  <si>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</si>
  <si>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</si>
  <si>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</si>
  <si>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</si>
  <si>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</si>
  <si>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</si>
  <si>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</si>
  <si>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</si>
  <si>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</si>
  <si>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</si>
  <si>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</si>
  <si>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</si>
  <si>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</si>
  <si>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</si>
  <si>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</si>
  <si>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</si>
  <si>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</si>
  <si>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</si>
  <si>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</si>
  <si>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</si>
  <si>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</si>
  <si>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</si>
  <si>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</si>
  <si>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</si>
  <si>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</si>
  <si>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</si>
  <si>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</si>
  <si>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</si>
  <si>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</si>
  <si>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</si>
  <si>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</si>
  <si>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</si>
  <si>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</si>
  <si>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</si>
  <si>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</si>
  <si>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</si>
  <si>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</si>
  <si>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</si>
  <si>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</si>
  <si>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</si>
  <si>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</si>
  <si>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</si>
  <si>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</si>
  <si>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</si>
  <si>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</si>
  <si>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</si>
  <si>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</si>
  <si>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</si>
  <si>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</si>
  <si>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</si>
  <si>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</si>
  <si>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</si>
  <si>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</si>
  <si>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</si>
  <si>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</si>
  <si>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</si>
  <si>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</si>
  <si>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</si>
  <si>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</si>
  <si>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</si>
  <si>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</si>
  <si>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</si>
  <si>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</si>
  <si>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</si>
  <si>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</si>
  <si>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</si>
  <si>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</si>
  <si>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</si>
  <si>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</si>
  <si>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</si>
  <si>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</si>
  <si>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</si>
  <si>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</si>
  <si>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</si>
  <si>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</si>
  <si>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</si>
  <si>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</si>
  <si>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</si>
  <si>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</si>
  <si>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</si>
  <si>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</si>
  <si>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</si>
  <si>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</si>
  <si>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</si>
  <si>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</si>
  <si>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</si>
  <si>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</si>
  <si>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</si>
  <si>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</si>
  <si>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</si>
  <si>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</si>
  <si>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</si>
  <si>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</si>
  <si>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</si>
  <si>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</si>
  <si>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</si>
  <si>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</si>
  <si>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</si>
  <si>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</si>
  <si>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</si>
  <si>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</si>
  <si>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</si>
  <si>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</si>
  <si>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</si>
  <si>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</si>
  <si>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</si>
  <si>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</si>
  <si>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</si>
  <si>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</si>
  <si>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</si>
  <si>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</si>
  <si>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</si>
  <si>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</si>
  <si>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</si>
  <si>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</si>
  <si>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</si>
  <si>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</si>
  <si>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</si>
  <si>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</si>
  <si>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</si>
  <si>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</si>
  <si>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</si>
  <si>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</si>
  <si>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</si>
  <si>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</si>
  <si>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</si>
  <si>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</si>
  <si>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</si>
  <si>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</si>
  <si>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</si>
  <si>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</si>
  <si>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</si>
  <si>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</si>
  <si>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</si>
  <si>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</si>
  <si>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</si>
  <si>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</si>
  <si>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</si>
  <si>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</si>
  <si>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</si>
  <si>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</si>
  <si>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</si>
  <si>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</si>
  <si>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</si>
  <si>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</si>
  <si>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</si>
  <si>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</si>
  <si>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</si>
  <si>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</si>
  <si>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</si>
  <si>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</si>
  <si>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</si>
  <si>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</si>
  <si>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</si>
  <si>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</si>
  <si>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</si>
  <si>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</si>
  <si>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</si>
  <si>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</si>
  <si>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</si>
  <si>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</si>
  <si>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</si>
  <si>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</si>
  <si>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</si>
  <si>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</si>
  <si>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</si>
  <si>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</si>
  <si>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</si>
  <si>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</si>
  <si>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</si>
  <si>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</si>
  <si>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</si>
  <si>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</si>
  <si>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</si>
  <si>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</si>
  <si>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</si>
  <si>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</si>
  <si>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</si>
  <si>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</si>
  <si>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</si>
  <si>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</si>
  <si>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</si>
  <si>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</si>
  <si>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</si>
  <si>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</si>
  <si>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</si>
  <si>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</si>
  <si>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</si>
  <si>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</si>
  <si>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</si>
  <si>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</si>
  <si>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</si>
  <si>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</si>
  <si>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</si>
  <si>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</si>
  <si>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</si>
  <si>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</si>
  <si>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</si>
  <si>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</si>
  <si>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</si>
  <si>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</si>
  <si>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</si>
  <si>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</si>
  <si>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</si>
  <si>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</si>
  <si>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</si>
  <si>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</si>
  <si>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</si>
  <si>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</si>
  <si>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</si>
  <si>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</si>
  <si>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</si>
  <si>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</si>
  <si>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</si>
  <si>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</si>
  <si>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</si>
  <si>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</si>
  <si>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</si>
  <si>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</si>
  <si>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</si>
  <si>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</si>
  <si>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</si>
  <si>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</si>
  <si>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</si>
  <si>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</si>
  <si>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</si>
  <si>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</si>
  <si>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</si>
  <si>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</si>
  <si>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</si>
  <si>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</si>
  <si>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</si>
  <si>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</si>
  <si>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</si>
  <si>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</si>
  <si>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</si>
  <si>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</si>
  <si>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</si>
  <si>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</si>
  <si>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</si>
  <si>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</si>
  <si>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</si>
  <si>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</si>
  <si>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</si>
  <si>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</si>
  <si>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</si>
  <si>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</si>
  <si>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</si>
  <si>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</si>
  <si>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</si>
  <si>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</si>
  <si>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</si>
  <si>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</si>
  <si>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</si>
  <si>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</si>
  <si>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</si>
  <si>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</si>
  <si>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</si>
  <si>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</si>
  <si>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</si>
  <si>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</si>
  <si>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</si>
  <si>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</si>
  <si>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</si>
  <si>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</si>
  <si>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</si>
  <si>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</si>
  <si>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</si>
  <si>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</si>
  <si>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</si>
  <si>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</si>
  <si>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</si>
  <si>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</si>
  <si>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</si>
  <si>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</si>
  <si>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</si>
  <si>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</si>
  <si>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</si>
  <si>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</si>
  <si>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</si>
  <si>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</si>
  <si>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</si>
  <si>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</si>
  <si>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</si>
  <si>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</si>
  <si>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</si>
  <si>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</si>
  <si>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</si>
  <si>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</si>
  <si>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</si>
  <si>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</si>
  <si>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</si>
  <si>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</si>
  <si>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</si>
  <si>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</si>
  <si>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</si>
  <si>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</si>
  <si>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</si>
  <si>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</si>
  <si>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</si>
  <si>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</si>
  <si>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</si>
  <si>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</si>
  <si>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</si>
  <si>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</si>
  <si>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</si>
  <si>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</si>
  <si>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</si>
  <si>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</si>
  <si>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</si>
  <si>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</si>
  <si>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</si>
  <si>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</si>
  <si>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</si>
  <si>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</si>
  <si>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</si>
  <si>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</si>
  <si>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</si>
  <si>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</si>
  <si>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</si>
  <si>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</si>
  <si>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</si>
  <si>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</si>
  <si>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</si>
  <si>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</si>
  <si>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</si>
  <si>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</si>
  <si>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</si>
  <si>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</si>
  <si>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</si>
  <si>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</si>
  <si>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</si>
  <si>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</si>
  <si>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</si>
  <si>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</si>
  <si>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</si>
  <si>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</si>
  <si>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</si>
  <si>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</si>
  <si>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</si>
  <si>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</si>
  <si>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</si>
  <si>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</si>
  <si>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</si>
  <si>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</si>
  <si>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</si>
  <si>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</si>
  <si>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</si>
  <si>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</si>
  <si>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</si>
  <si>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</si>
  <si>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</si>
  <si>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</si>
  <si>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</si>
  <si>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</si>
  <si>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</si>
  <si>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</si>
  <si>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</si>
  <si>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</si>
  <si>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</si>
  <si>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</si>
  <si>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</si>
  <si>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</si>
  <si>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</si>
  <si>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</si>
  <si>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</si>
  <si>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</si>
  <si>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</si>
  <si>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</si>
  <si>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</si>
  <si>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</si>
  <si>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</si>
  <si>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</si>
  <si>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</si>
  <si>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</si>
  <si>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</si>
  <si>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</si>
  <si>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</si>
  <si>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</si>
  <si>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</si>
  <si>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</si>
  <si>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</si>
  <si>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</si>
  <si>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</si>
  <si>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</si>
  <si>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</si>
  <si>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</si>
  <si>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</si>
  <si>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</si>
  <si>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</si>
  <si>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</si>
  <si>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</si>
  <si>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</si>
  <si>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</si>
  <si>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</si>
  <si>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</si>
  <si>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</si>
  <si>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</si>
  <si>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</si>
  <si>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</si>
  <si>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</si>
  <si>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</si>
  <si>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</si>
  <si>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</si>
  <si>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</si>
  <si>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</si>
  <si>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</si>
  <si>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</si>
  <si>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</si>
  <si>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</si>
  <si>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</si>
  <si>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</si>
  <si>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</si>
  <si>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</si>
  <si>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</si>
  <si>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</si>
  <si>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</si>
  <si>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</si>
  <si>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</si>
  <si>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</si>
  <si>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</si>
  <si>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</si>
  <si>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</si>
  <si>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</si>
  <si>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</si>
  <si>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</si>
  <si>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</si>
  <si>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</si>
  <si>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</si>
  <si>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</si>
  <si>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</si>
  <si>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</si>
  <si>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</si>
  <si>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</si>
  <si>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</si>
  <si>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</si>
  <si>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</si>
  <si>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</si>
  <si>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</si>
  <si>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</si>
  <si>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</si>
  <si>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</si>
  <si>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</si>
  <si>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</si>
  <si>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</si>
  <si>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</si>
  <si>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</si>
  <si>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</si>
  <si>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</si>
  <si>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</si>
  <si>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</si>
  <si>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</si>
  <si>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</si>
  <si>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</si>
  <si>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</si>
  <si>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</si>
  <si>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</si>
  <si>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</si>
  <si>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</si>
  <si>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</si>
  <si>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</si>
  <si>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</si>
  <si>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</si>
  <si>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</si>
  <si>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</si>
  <si>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</si>
  <si>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</si>
  <si>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</si>
  <si>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</si>
  <si>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</si>
  <si>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</si>
  <si>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</si>
  <si>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</si>
  <si>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</si>
  <si>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</si>
  <si>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</si>
  <si>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</si>
  <si>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</si>
  <si>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</si>
  <si>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</si>
  <si>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</si>
  <si>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</si>
  <si>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</si>
  <si>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</si>
  <si>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</si>
  <si>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</si>
  <si>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</si>
  <si>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</si>
  <si>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</si>
  <si>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</si>
  <si>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</si>
  <si>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</si>
  <si>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</si>
  <si>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</si>
  <si>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</si>
  <si>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</si>
  <si>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</si>
  <si>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</si>
  <si>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</si>
  <si>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</si>
  <si>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</si>
  <si>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</si>
  <si>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</si>
  <si>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</si>
  <si>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</si>
  <si>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</si>
  <si>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</si>
  <si>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</si>
  <si>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</si>
  <si>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</si>
  <si>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</si>
  <si>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</si>
  <si>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</si>
  <si>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</si>
  <si>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</si>
  <si>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</si>
  <si>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</si>
  <si>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</si>
  <si>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</si>
  <si>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</si>
  <si>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</si>
  <si>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</si>
  <si>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</si>
  <si>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</si>
  <si>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</si>
  <si>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</si>
  <si>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</si>
  <si>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</si>
  <si>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</si>
  <si>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</si>
  <si>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</si>
  <si>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</si>
  <si>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</si>
  <si>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</si>
  <si>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</si>
  <si>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</si>
  <si>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</si>
  <si>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</si>
  <si>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</si>
  <si>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</si>
  <si>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</si>
  <si>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</si>
  <si>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</si>
  <si>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</si>
  <si>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</si>
  <si>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</si>
  <si>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</si>
  <si>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</si>
  <si>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</si>
  <si>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</si>
  <si>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</si>
  <si>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</si>
  <si>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</si>
  <si>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</si>
  <si>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</si>
  <si>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</si>
  <si>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</si>
  <si>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</si>
  <si>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</si>
  <si>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</si>
  <si>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</si>
  <si>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</si>
  <si>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</si>
  <si>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</si>
  <si>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</si>
  <si>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</si>
  <si>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</si>
  <si>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</si>
  <si>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</si>
  <si>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</si>
  <si>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</si>
  <si>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</si>
  <si>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</si>
  <si>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</si>
  <si>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</si>
  <si>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</si>
  <si>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</si>
  <si>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</si>
  <si>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</si>
  <si>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</si>
  <si>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</si>
  <si>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</si>
  <si>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</si>
  <si>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</si>
  <si>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</si>
  <si>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</si>
  <si>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</si>
  <si>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</si>
  <si>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</si>
  <si>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</si>
  <si>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</si>
  <si>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</si>
  <si>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</si>
  <si>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</si>
  <si>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</si>
  <si>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</si>
  <si>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</si>
  <si>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</si>
  <si>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</si>
  <si>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</si>
  <si>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</si>
  <si>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</si>
  <si>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</si>
  <si>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</si>
  <si>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</si>
  <si>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</si>
  <si>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</si>
  <si>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</si>
  <si>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</si>
  <si>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</si>
  <si>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</si>
  <si>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</si>
  <si>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</si>
  <si>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</si>
  <si>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</si>
  <si>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</si>
  <si>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</si>
  <si>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</si>
  <si>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</si>
  <si>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</si>
  <si>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</si>
  <si>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</si>
  <si>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</si>
  <si>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</si>
  <si>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</si>
  <si>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</si>
  <si>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</si>
  <si>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</si>
  <si>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</si>
  <si>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</si>
  <si>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</si>
  <si>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</si>
  <si>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</si>
  <si>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</si>
  <si>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</si>
  <si>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</si>
  <si>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</si>
  <si>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</si>
  <si>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</si>
  <si>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</si>
  <si>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</si>
  <si>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</si>
  <si>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</si>
  <si>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</si>
  <si>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</si>
  <si>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</si>
  <si>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</si>
  <si>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</si>
  <si>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</si>
  <si>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</si>
  <si>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</si>
  <si>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</si>
  <si>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</si>
  <si>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</si>
  <si>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</si>
  <si>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</si>
  <si>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</si>
  <si>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</si>
  <si>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</si>
  <si>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</si>
  <si>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</si>
  <si>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</si>
  <si>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</si>
  <si>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</si>
  <si>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</si>
  <si>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</si>
  <si>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</si>
  <si>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</si>
  <si>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</si>
  <si>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</si>
  <si>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</si>
  <si>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</si>
  <si>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</si>
  <si>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</si>
  <si>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</si>
  <si>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</si>
  <si>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</si>
  <si>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</si>
  <si>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</si>
  <si>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</si>
  <si>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</si>
  <si>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</si>
  <si>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</si>
  <si>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</si>
  <si>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</si>
  <si>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</si>
  <si>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</si>
  <si>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</si>
  <si>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</si>
  <si>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</si>
  <si>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</si>
  <si>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</si>
  <si>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</si>
  <si>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</si>
  <si>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</si>
  <si>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</si>
  <si>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</si>
  <si>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</si>
  <si>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</si>
  <si>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</si>
  <si>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</si>
  <si>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</si>
  <si>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</si>
  <si>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</si>
  <si>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</si>
  <si>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</si>
  <si>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</si>
  <si>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</si>
  <si>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</si>
  <si>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</si>
  <si>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</si>
  <si>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</si>
  <si>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</si>
  <si>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</si>
  <si>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</si>
  <si>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</si>
  <si>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</si>
  <si>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</si>
  <si>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</si>
  <si>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</si>
  <si>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</si>
  <si>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</si>
  <si>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</si>
  <si>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</si>
  <si>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</si>
  <si>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</si>
  <si>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</si>
  <si>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</si>
  <si>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</si>
  <si>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</si>
  <si>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</si>
  <si>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</si>
  <si>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</si>
  <si>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</si>
  <si>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</si>
  <si>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</si>
  <si>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</si>
  <si>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</si>
  <si>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</si>
  <si>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</si>
  <si>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</si>
  <si>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</si>
  <si>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</si>
  <si>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</si>
  <si>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</si>
  <si>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</si>
  <si>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</si>
  <si>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</si>
  <si>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</si>
  <si>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</si>
  <si>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</si>
  <si>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</si>
  <si>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</si>
  <si>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</si>
  <si>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</si>
  <si>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</si>
  <si>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</si>
  <si>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估价对象1（结果表）</t>
  </si>
  <si>
    <t>板楼</t>
    <phoneticPr fontId="146" type="noConversion"/>
  </si>
  <si>
    <t>板塔</t>
    <phoneticPr fontId="146" type="noConversion"/>
  </si>
  <si>
    <t>塔楼</t>
  </si>
  <si>
    <t>塔楼</t>
    <phoneticPr fontId="146" type="noConversion"/>
  </si>
  <si>
    <t>板楼</t>
    <phoneticPr fontId="26" type="noConversion"/>
  </si>
  <si>
    <t>板塔</t>
    <phoneticPr fontId="26" type="noConversion"/>
  </si>
  <si>
    <t>塔楼</t>
    <phoneticPr fontId="26" type="noConversion"/>
  </si>
  <si>
    <t>按租金收入计税</t>
  </si>
  <si>
    <t>押一</t>
  </si>
  <si>
    <t>有租约不采用</t>
  </si>
  <si>
    <t>自然人</t>
  </si>
  <si>
    <t>万元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</si>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</sst>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321</v>
      </c>
    </row>
    <row r="20" spans="1:2">
      <c r="A20" s="1701" t="s">
        <v>1163</v>
      </c>
      <c r="B20" s="1688" t="str">
        <f>'预评函-2（1）'!C7</f>
        <v>总价（万元）</v>
      </c>
    </row>
    <row r="21" spans="1:2">
      <c r="A21" s="1701" t="s">
        <v>1126</v>
      </c>
      <c r="B21" s="1688">
        <f ca="1">'预评函-2（1）'!D9</f>
        <v>52160</v>
      </c>
    </row>
    <row r="22" spans="1:2">
      <c r="A22" s="1701" t="s">
        <v>1127</v>
      </c>
      <c r="B22" s="1688" t="str">
        <f ca="1">'预评函-2（1）'!D8</f>
        <v>叁佰贰拾壹万元整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321</v>
      </c>
    </row>
    <row r="30" spans="1:2">
      <c r="A30" s="1701" t="s">
        <v>1133</v>
      </c>
      <c r="B30" s="1688" t="str">
        <f ca="1">'预评函-2（1）'!D16</f>
        <v>叁佰贰拾壹万元整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276</v>
      </c>
    </row>
    <row r="38" spans="1:2">
      <c r="A38" s="1701" t="s">
        <v>1141</v>
      </c>
      <c r="B38" s="1688">
        <f ca="1">'预评函-2（2）'!E4</f>
        <v>44753</v>
      </c>
    </row>
    <row r="39" spans="1:2">
      <c r="A39" s="1701" t="s">
        <v>1142</v>
      </c>
      <c r="B39" s="1688" t="str">
        <f ca="1">'预评函-2（2）'!D5</f>
        <v>贰佰柒拾陆万元整</v>
      </c>
    </row>
    <row r="40" spans="1:2">
      <c r="A40" s="1701" t="s">
        <v>1143</v>
      </c>
      <c r="B40" s="1688">
        <f ca="1">'预评函-2（2）'!F4</f>
        <v>46</v>
      </c>
    </row>
    <row r="41" spans="1:2">
      <c r="A41" s="1701" t="s">
        <v>1144</v>
      </c>
      <c r="B41" s="1688">
        <f ca="1">'预评函-2（2）'!G4</f>
        <v>7407</v>
      </c>
    </row>
    <row r="42" spans="1:2" s="1698" customFormat="1" ht="15.75" thickBot="1">
      <c r="A42" s="1702" t="s">
        <v>1145</v>
      </c>
      <c r="B42" s="1690" t="str">
        <f ca="1">'预评函-2（2）'!F5</f>
        <v>肆拾陆万元整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52160</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I20" sqref="I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预评估</v>
      </c>
      <c r="C1" s="1062"/>
      <c r="D1" s="1995"/>
      <c r="E1" s="1062"/>
      <c r="F1" s="1996" t="s">
        <v>1544</v>
      </c>
      <c r="G1" s="1681"/>
      <c r="I1" s="1019" t="str">
        <f>IF(B6="北京市","北京市",C6)&amp;IF(E12="房屋所有权证",B28,E28)&amp;"房地产"</f>
        <v>房地产</v>
      </c>
    </row>
    <row r="2" spans="1:10" ht="13.5" thickTop="1">
      <c r="A2" s="1997" t="s">
        <v>1545</v>
      </c>
      <c r="B2" s="1087">
        <v>43284</v>
      </c>
      <c r="C2" s="1998" t="s">
        <v>1546</v>
      </c>
      <c r="D2" s="1087">
        <f>B2</f>
        <v>43284</v>
      </c>
      <c r="E2" s="1063"/>
      <c r="F2" s="1063"/>
      <c r="G2" s="1682"/>
      <c r="H2" s="1019"/>
    </row>
    <row r="3" spans="1:10" ht="13.5" thickBot="1">
      <c r="A3" s="1999" t="s">
        <v>1547</v>
      </c>
      <c r="B3" s="2000" t="s">
        <v>1548</v>
      </c>
      <c r="C3" s="1064">
        <f>SUMIF(注册房地产估价师,B3,估价师及机构信息!B3:B24)</f>
        <v>0</v>
      </c>
      <c r="D3" s="2000" t="s">
        <v>1548</v>
      </c>
      <c r="E3" s="1065">
        <f>SUMIF(注册房地产估价师,D3,估价师及机构信息!B3:B24)</f>
        <v>0</v>
      </c>
      <c r="F3" s="1066"/>
      <c r="G3" s="1683"/>
      <c r="H3" s="1019"/>
    </row>
    <row r="4" spans="1:10" ht="13.5" customHeight="1" thickTop="1">
      <c r="A4" s="2001" t="s">
        <v>1549</v>
      </c>
      <c r="B4" s="2002"/>
      <c r="C4" s="2003" t="s">
        <v>1550</v>
      </c>
      <c r="D4" s="2004" t="s">
        <v>2823</v>
      </c>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c r="C6" s="2014"/>
      <c r="D6" s="2015" t="s">
        <v>1555</v>
      </c>
      <c r="E6" s="1021"/>
      <c r="F6" s="1020"/>
      <c r="G6" s="1073"/>
      <c r="I6" s="1069" t="str">
        <f>IF(COUNTIF(B5,"*上海银行*"),"上海银行","")</f>
        <v/>
      </c>
    </row>
    <row r="7" spans="1:10" ht="13.5" thickBot="1">
      <c r="A7" s="1999" t="s">
        <v>1556</v>
      </c>
      <c r="B7" s="2016" t="s">
        <v>2896</v>
      </c>
      <c r="C7" s="2017" t="str">
        <f>IF(B7="自然人","姓名","名称")</f>
        <v>姓名</v>
      </c>
      <c r="D7" s="2018"/>
      <c r="E7" s="1067"/>
      <c r="F7" s="1066"/>
      <c r="G7" s="1683"/>
    </row>
    <row r="8" spans="1:10" ht="13.5" thickTop="1">
      <c r="A8" s="2802" t="s">
        <v>1557</v>
      </c>
      <c r="B8" s="2019" t="s">
        <v>1558</v>
      </c>
      <c r="C8" s="2815" t="s">
        <v>2821</v>
      </c>
      <c r="D8" s="2816"/>
      <c r="E8" s="2020" t="s">
        <v>1559</v>
      </c>
      <c r="F8" s="2021" t="s">
        <v>1560</v>
      </c>
      <c r="G8" s="690">
        <f>C6</f>
        <v>0</v>
      </c>
    </row>
    <row r="9" spans="1:10">
      <c r="A9" s="2802"/>
      <c r="B9" s="344" t="s">
        <v>1561</v>
      </c>
      <c r="C9" s="2006"/>
      <c r="D9" s="2022"/>
      <c r="E9" s="1009" t="s">
        <v>1562</v>
      </c>
      <c r="F9" s="995"/>
      <c r="G9" s="1011"/>
    </row>
    <row r="10" spans="1:10" ht="13.5" thickBot="1">
      <c r="A10" s="2802"/>
      <c r="B10" s="344" t="s">
        <v>1563</v>
      </c>
      <c r="C10" s="2817"/>
      <c r="D10" s="2818"/>
      <c r="E10" s="2023" t="s">
        <v>1564</v>
      </c>
      <c r="F10" s="1012"/>
      <c r="G10" s="1013"/>
    </row>
    <row r="11" spans="1:10" ht="13.5" thickBot="1">
      <c r="A11" s="2802"/>
      <c r="B11" s="2024" t="s">
        <v>1565</v>
      </c>
      <c r="C11" s="2819"/>
      <c r="D11" s="2820"/>
      <c r="E11" s="1021"/>
      <c r="F11" s="1020"/>
      <c r="G11" s="1073"/>
    </row>
    <row r="12" spans="1:10" ht="24.75" thickBot="1">
      <c r="A12" s="2806" t="s">
        <v>1566</v>
      </c>
      <c r="B12" s="2025" t="s">
        <v>1567</v>
      </c>
      <c r="C12" s="1015">
        <v>61.62</v>
      </c>
      <c r="D12" s="2025" t="s">
        <v>1568</v>
      </c>
      <c r="E12" s="2026" t="s">
        <v>1569</v>
      </c>
      <c r="F12" s="2027" t="s">
        <v>1570</v>
      </c>
      <c r="G12" s="1073"/>
    </row>
    <row r="13" spans="1:10" ht="21" customHeight="1" thickBot="1">
      <c r="A13" s="2807"/>
      <c r="B13" s="2028" t="s">
        <v>1571</v>
      </c>
      <c r="C13" s="1016"/>
      <c r="D13" s="2028" t="s">
        <v>1572</v>
      </c>
      <c r="E13" s="2029" t="s">
        <v>1569</v>
      </c>
      <c r="F13" s="1020"/>
      <c r="G13" s="1073"/>
      <c r="I13" s="2825" t="s">
        <v>1573</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1574</v>
      </c>
      <c r="C14" s="2741" t="s">
        <v>2881</v>
      </c>
      <c r="D14" s="1020"/>
      <c r="E14" s="1020"/>
      <c r="F14" s="1020"/>
      <c r="G14" s="1073"/>
      <c r="I14" s="282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2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2822</v>
      </c>
      <c r="D16" s="2037" t="s">
        <v>1578</v>
      </c>
      <c r="E16" s="2038"/>
      <c r="F16" s="2039" t="str">
        <f>IF(AND(C16="是",E16="否"),"是否提供他项权证或相关说明","")</f>
        <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9" t="s">
        <v>1597</v>
      </c>
      <c r="D27" s="2810"/>
      <c r="E27" s="1003"/>
      <c r="F27" s="1010" t="s">
        <v>1597</v>
      </c>
      <c r="G27" s="1003"/>
      <c r="I27" s="1070"/>
      <c r="K27" s="1070"/>
    </row>
    <row r="28" spans="1:15">
      <c r="A28" s="1007" t="s">
        <v>1598</v>
      </c>
      <c r="B28" s="977"/>
      <c r="C28" s="2811" t="s">
        <v>1599</v>
      </c>
      <c r="D28" s="2812"/>
      <c r="E28" s="977"/>
      <c r="F28" s="1893" t="s">
        <v>1599</v>
      </c>
      <c r="G28" s="977"/>
      <c r="I28" s="1070"/>
      <c r="K28" s="1070"/>
    </row>
    <row r="29" spans="1:15">
      <c r="A29" s="1007" t="s">
        <v>1600</v>
      </c>
      <c r="B29" s="977"/>
      <c r="C29" s="2811" t="s">
        <v>1600</v>
      </c>
      <c r="D29" s="2812"/>
      <c r="E29" s="977"/>
      <c r="F29" s="1893" t="s">
        <v>1601</v>
      </c>
      <c r="G29" s="977"/>
      <c r="I29" s="1070"/>
      <c r="K29" s="1070"/>
    </row>
    <row r="30" spans="1:15">
      <c r="A30" s="1007" t="s">
        <v>1602</v>
      </c>
      <c r="B30" s="977"/>
      <c r="C30" s="2831" t="s">
        <v>1603</v>
      </c>
      <c r="D30" s="2066"/>
      <c r="E30" s="1022" t="str">
        <f>E31&amp;" "&amp;E32&amp;" "&amp;E33&amp;" "&amp;E34</f>
        <v xml:space="preserve">   </v>
      </c>
      <c r="F30" s="1893" t="s">
        <v>1604</v>
      </c>
      <c r="G30" s="977"/>
    </row>
    <row r="31" spans="1:15">
      <c r="A31" s="1007" t="s">
        <v>1605</v>
      </c>
      <c r="B31" s="977"/>
      <c r="C31" s="2832"/>
      <c r="D31" s="1892" t="s">
        <v>1606</v>
      </c>
      <c r="E31" s="977"/>
      <c r="F31" s="1893" t="s">
        <v>1607</v>
      </c>
      <c r="G31" s="977"/>
    </row>
    <row r="32" spans="1:15" ht="24.75" thickBot="1">
      <c r="A32" s="1008" t="s">
        <v>1608</v>
      </c>
      <c r="B32" s="1004"/>
      <c r="C32" s="2832"/>
      <c r="D32" s="1892" t="s">
        <v>1609</v>
      </c>
      <c r="E32" s="977"/>
      <c r="F32" s="1893" t="s">
        <v>1610</v>
      </c>
      <c r="G32" s="977"/>
    </row>
    <row r="33" spans="1:7">
      <c r="A33" s="1006" t="s">
        <v>1611</v>
      </c>
      <c r="B33" s="1003"/>
      <c r="C33" s="2832"/>
      <c r="D33" s="1892" t="s">
        <v>1612</v>
      </c>
      <c r="E33" s="977"/>
      <c r="F33" s="1893" t="s">
        <v>1613</v>
      </c>
      <c r="G33" s="977"/>
    </row>
    <row r="34" spans="1:7" ht="13.5" thickBot="1">
      <c r="A34" s="1007" t="s">
        <v>1614</v>
      </c>
      <c r="B34" s="977"/>
      <c r="C34" s="2833"/>
      <c r="D34" s="1892" t="s">
        <v>1615</v>
      </c>
      <c r="E34" s="977"/>
      <c r="F34" s="1894" t="s">
        <v>1616</v>
      </c>
      <c r="G34" s="1005"/>
    </row>
    <row r="35" spans="1:7">
      <c r="A35" s="1007" t="s">
        <v>1567</v>
      </c>
      <c r="B35" s="977"/>
      <c r="C35" s="2811" t="s">
        <v>1617</v>
      </c>
      <c r="D35" s="2812"/>
      <c r="E35" s="977"/>
      <c r="F35" s="1018" t="s">
        <v>1618</v>
      </c>
      <c r="G35" s="1003"/>
    </row>
    <row r="36" spans="1:7" ht="13.5" thickBot="1">
      <c r="A36" s="1007" t="s">
        <v>1619</v>
      </c>
      <c r="B36" s="977"/>
      <c r="C36" s="2813" t="s">
        <v>1620</v>
      </c>
      <c r="D36" s="2814"/>
      <c r="E36" s="1004"/>
      <c r="F36" s="1890" t="s">
        <v>1621</v>
      </c>
      <c r="G36" s="977"/>
    </row>
    <row r="37" spans="1:7" ht="13.5" thickBot="1">
      <c r="A37" s="1007" t="s">
        <v>1622</v>
      </c>
      <c r="B37" s="977"/>
      <c r="C37" s="2803" t="s">
        <v>1623</v>
      </c>
      <c r="D37" s="2067" t="s">
        <v>1607</v>
      </c>
      <c r="E37" s="1003"/>
      <c r="F37" s="1894" t="s">
        <v>1624</v>
      </c>
      <c r="G37" s="1004"/>
    </row>
    <row r="38" spans="1:7">
      <c r="A38" s="1007" t="s">
        <v>1625</v>
      </c>
      <c r="B38" s="977"/>
      <c r="C38" s="2804"/>
      <c r="D38" s="1892" t="s">
        <v>1614</v>
      </c>
      <c r="E38" s="977"/>
      <c r="F38" s="1010" t="s">
        <v>1626</v>
      </c>
      <c r="G38" s="1003"/>
    </row>
    <row r="39" spans="1:7">
      <c r="A39" s="1007" t="s">
        <v>1627</v>
      </c>
      <c r="B39" s="977"/>
      <c r="C39" s="2804" t="s">
        <v>1628</v>
      </c>
      <c r="D39" s="1892" t="s">
        <v>1567</v>
      </c>
      <c r="E39" s="977"/>
      <c r="F39" s="1893" t="s">
        <v>1629</v>
      </c>
      <c r="G39" s="977"/>
    </row>
    <row r="40" spans="1:7" ht="24.75" customHeight="1" thickBot="1">
      <c r="A40" s="1008" t="s">
        <v>1630</v>
      </c>
      <c r="B40" s="1004"/>
      <c r="C40" s="2805"/>
      <c r="D40" s="1895" t="s">
        <v>1571</v>
      </c>
      <c r="E40" s="1004"/>
      <c r="F40" s="1894" t="s">
        <v>1631</v>
      </c>
      <c r="G40" s="1004"/>
    </row>
    <row r="41" spans="1:7">
      <c r="A41" s="1009" t="s">
        <v>1632</v>
      </c>
      <c r="B41" s="1059"/>
      <c r="C41" s="2826" t="s">
        <v>1632</v>
      </c>
      <c r="D41" s="2827"/>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28" t="s">
        <v>1635</v>
      </c>
      <c r="D48" s="2829"/>
      <c r="E48" s="1054"/>
      <c r="F48" s="1894" t="s">
        <v>1636</v>
      </c>
      <c r="G48" s="1004"/>
    </row>
    <row r="49" spans="1:15">
      <c r="A49" s="1007" t="s">
        <v>1637</v>
      </c>
      <c r="B49" s="1053"/>
      <c r="C49" s="2803" t="s">
        <v>1638</v>
      </c>
      <c r="D49" s="2830"/>
      <c r="E49" s="1055"/>
      <c r="F49" s="1083"/>
      <c r="G49" s="1084"/>
    </row>
    <row r="50" spans="1:15" ht="13.5" thickBot="1">
      <c r="A50" s="1007" t="s">
        <v>1639</v>
      </c>
      <c r="B50" s="1053"/>
      <c r="C50" s="2805" t="s">
        <v>1640</v>
      </c>
      <c r="D50" s="2808"/>
      <c r="E50" s="1004"/>
      <c r="F50" s="1020"/>
      <c r="G50" s="1073"/>
    </row>
    <row r="51" spans="1:15">
      <c r="A51" s="1007" t="s">
        <v>1618</v>
      </c>
      <c r="B51" s="977"/>
      <c r="C51" s="1020"/>
      <c r="D51" s="1020"/>
      <c r="E51" s="1020"/>
      <c r="F51" s="1020"/>
      <c r="G51" s="1073"/>
    </row>
    <row r="52" spans="1:15" ht="24.75" thickBot="1">
      <c r="A52" s="1008" t="s">
        <v>1641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L19" sqref="L19"/>
      <selection pane="topRight" activeCell="L19" sqref="L19"/>
      <selection pane="bottomLeft" activeCell="L19" sqref="L19"/>
      <selection pane="bottomRight" activeCell="C9" sqref="C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43284</v>
      </c>
      <c r="C2" s="1854"/>
      <c r="D2" s="283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2897</v>
      </c>
      <c r="C3" s="1854"/>
      <c r="D3" s="283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2898</v>
      </c>
      <c r="C4" s="1854"/>
      <c r="D4" s="283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61.62</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2824</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50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57886</v>
      </c>
      <c r="C12" s="1854"/>
      <c r="D12" s="2092"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0">
        <f>IF(B12="",B11-(YEAR($B$2)-B26+B23),ROUNDDOWN(MIN((B12-$B$2)/365,B11),2))</f>
        <v>40</v>
      </c>
      <c r="C13" s="2094"/>
      <c r="D13" s="2095" t="s">
        <v>1662</v>
      </c>
      <c r="E13" s="39">
        <v>12324</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1">
        <f>IF(ISERROR(ROUND(POWER(1+B15,B11-B13)*(POWER(1+B15,B13)-1)/(POWER(1+B15,B11)-1),3)),0,ROUND(POWER(1+B15,B11-B13)*(POWER(1+B15,B13)-1)/(POWER(1+B15,B11)-1),3))</f>
        <v>0.93100000000000005</v>
      </c>
      <c r="C14" s="1854"/>
      <c r="D14" s="2096" t="s">
        <v>1665</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4.4999999999999998E-2</v>
      </c>
      <c r="C15" s="1854"/>
      <c r="D15" s="2092"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0.05</v>
      </c>
      <c r="C16" s="1854"/>
      <c r="D16" s="2097" t="s">
        <v>1669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8.5000000000000006E-2</v>
      </c>
      <c r="C17" s="1854"/>
      <c r="D17" s="2083" t="s">
        <v>1671</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6">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0">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1854"/>
      <c r="J22" s="1854" t="s">
        <v>2884</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150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0">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2010</v>
      </c>
      <c r="C26" s="1854"/>
      <c r="D26" s="2092" t="s">
        <v>1690</v>
      </c>
      <c r="E26" s="40">
        <v>0.02</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2895</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0.1</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40</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c r="C41" s="1236"/>
      <c r="D41" s="2092" t="s">
        <v>1719</v>
      </c>
      <c r="E41" s="2120" t="s">
        <v>399</v>
      </c>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365</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0.02</v>
      </c>
      <c r="C44" s="1236" t="s">
        <v>969</v>
      </c>
      <c r="D44" s="2122" t="s">
        <v>1727</v>
      </c>
      <c r="E44" s="2751">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2E-3</v>
      </c>
      <c r="C45" s="1236" t="s">
        <v>970</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0.02</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8" t="s">
        <v>1736</v>
      </c>
      <c r="B1" s="2839"/>
      <c r="C1" s="2839"/>
      <c r="D1" s="2839"/>
      <c r="E1" s="2839"/>
      <c r="F1" s="2839"/>
      <c r="G1" s="2839"/>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41.25">
      <c r="A4" s="411"/>
      <c r="B4" s="1886" t="s">
        <v>1744</v>
      </c>
      <c r="C4" s="2147" t="s">
        <v>1745</v>
      </c>
      <c r="D4" s="2144"/>
      <c r="E4" s="2148"/>
      <c r="F4" s="2149" t="s">
        <v>1746</v>
      </c>
      <c r="G4" s="2150" t="s">
        <v>1747</v>
      </c>
      <c r="H4" s="2140"/>
      <c r="I4" s="2140"/>
      <c r="J4" s="2140"/>
      <c r="K4" s="2140"/>
      <c r="L4" s="2140"/>
      <c r="M4" s="2140"/>
      <c r="N4" s="2140"/>
      <c r="O4" s="2140"/>
      <c r="P4" s="2140"/>
      <c r="Q4" s="2140"/>
      <c r="R4" s="2140"/>
    </row>
    <row r="5" spans="1:29" ht="41.25">
      <c r="A5" s="411"/>
      <c r="B5" s="1886" t="s">
        <v>1748</v>
      </c>
      <c r="C5" s="2147" t="s">
        <v>1749</v>
      </c>
      <c r="D5" s="2144"/>
      <c r="E5" s="2148"/>
      <c r="F5" s="1886" t="s">
        <v>1750</v>
      </c>
      <c r="G5" s="2150" t="s">
        <v>1751</v>
      </c>
      <c r="H5" s="2140"/>
      <c r="I5" s="2140"/>
      <c r="J5" s="2140"/>
      <c r="K5" s="2140"/>
      <c r="L5" s="2140"/>
      <c r="M5" s="2140"/>
      <c r="N5" s="2140"/>
      <c r="O5" s="2140"/>
      <c r="P5" s="2140"/>
      <c r="Q5" s="2140"/>
      <c r="R5" s="2140"/>
    </row>
    <row r="6" spans="1:29" ht="54">
      <c r="A6" s="411"/>
      <c r="B6" s="1886" t="s">
        <v>1752</v>
      </c>
      <c r="C6" s="2150" t="s">
        <v>1747</v>
      </c>
      <c r="D6" s="2144"/>
      <c r="E6" s="2148"/>
      <c r="F6" s="1886" t="s">
        <v>1753</v>
      </c>
      <c r="G6" s="2150" t="s">
        <v>1754</v>
      </c>
      <c r="H6" s="2140"/>
      <c r="I6" s="2140"/>
      <c r="J6" s="2140"/>
      <c r="K6" s="2140"/>
      <c r="L6" s="2140"/>
      <c r="M6" s="2140"/>
      <c r="N6" s="2140"/>
      <c r="O6" s="2140"/>
      <c r="P6" s="2140"/>
      <c r="Q6" s="2140"/>
      <c r="R6" s="2140"/>
    </row>
    <row r="7" spans="1:29" ht="41.25" thickBot="1">
      <c r="A7" s="411"/>
      <c r="B7" s="1886" t="s">
        <v>1750</v>
      </c>
      <c r="C7" s="2150" t="s">
        <v>1751</v>
      </c>
      <c r="D7" s="2151"/>
      <c r="E7" s="2152"/>
      <c r="F7" s="2153" t="s">
        <v>1755</v>
      </c>
      <c r="G7" s="2154" t="s">
        <v>1756</v>
      </c>
      <c r="H7" s="2140"/>
      <c r="I7" s="2140"/>
      <c r="J7" s="2140"/>
      <c r="K7" s="2140"/>
      <c r="L7" s="2140"/>
      <c r="M7" s="2140"/>
      <c r="N7" s="2140"/>
      <c r="O7" s="2140"/>
      <c r="P7" s="2140"/>
      <c r="Q7" s="2140"/>
      <c r="R7" s="2140"/>
    </row>
    <row r="8" spans="1:29" ht="27">
      <c r="A8" s="411"/>
      <c r="B8" s="1886" t="s">
        <v>1753</v>
      </c>
      <c r="C8" s="2150" t="s">
        <v>1754</v>
      </c>
      <c r="D8" s="2151"/>
      <c r="E8" s="2151"/>
      <c r="F8" s="1245"/>
      <c r="G8" s="1245"/>
      <c r="H8" s="2140"/>
      <c r="I8" s="2140"/>
      <c r="J8" s="2140"/>
      <c r="K8" s="2140"/>
      <c r="L8" s="2140"/>
      <c r="M8" s="2140"/>
      <c r="N8" s="2140"/>
      <c r="O8" s="2140"/>
      <c r="P8" s="2140"/>
      <c r="Q8" s="2140"/>
      <c r="R8" s="2140"/>
    </row>
    <row r="9" spans="1:29" ht="27">
      <c r="A9" s="411"/>
      <c r="B9" s="1886" t="s">
        <v>1757</v>
      </c>
      <c r="C9" s="2147" t="s">
        <v>1758</v>
      </c>
      <c r="D9" s="2144"/>
      <c r="E9" s="2151"/>
      <c r="F9" s="1245"/>
      <c r="G9" s="1245"/>
      <c r="H9" s="2140"/>
      <c r="I9" s="2140"/>
      <c r="J9" s="2140"/>
      <c r="K9" s="2140"/>
      <c r="L9" s="2140"/>
      <c r="M9" s="2140"/>
      <c r="N9" s="2140"/>
      <c r="O9" s="2140"/>
      <c r="P9" s="2140"/>
      <c r="Q9" s="2140"/>
      <c r="R9" s="2140"/>
    </row>
    <row r="10" spans="1:29" s="35" customFormat="1" ht="15.75" thickBot="1">
      <c r="A10" s="2155"/>
      <c r="B10" s="2156" t="s">
        <v>1759</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1760</v>
      </c>
      <c r="B13" s="2162"/>
      <c r="C13" s="2162"/>
      <c r="D13" s="2137"/>
      <c r="E13" s="2162"/>
      <c r="F13" s="2162"/>
      <c r="G13" s="2162"/>
    </row>
    <row r="14" spans="1:29" ht="15.75" thickBot="1">
      <c r="A14" s="2172"/>
      <c r="B14" s="2173"/>
      <c r="C14" s="2174" t="s">
        <v>1761</v>
      </c>
      <c r="D14" s="2144"/>
      <c r="E14" s="2175"/>
      <c r="F14" s="2175"/>
      <c r="G14" s="2136" t="s">
        <v>1762</v>
      </c>
    </row>
    <row r="15" spans="1:29" ht="57">
      <c r="A15" s="25" t="s">
        <v>1763</v>
      </c>
      <c r="B15" s="2176" t="s">
        <v>1740</v>
      </c>
      <c r="C15" s="2177" t="str">
        <f>C3</f>
        <v>估价对象周边居住用地比例、居住小区规模和社区发展完善程度，综合评价居住社区成熟度一般</v>
      </c>
      <c r="D15" s="2144"/>
      <c r="E15" s="2178" t="s">
        <v>1764</v>
      </c>
      <c r="F15" s="2176" t="s">
        <v>1765</v>
      </c>
      <c r="G15" s="51" t="str">
        <f>G3</f>
        <v>估价对象位于XX开发区，园区建设成熟度XX，产业集聚程度XX</v>
      </c>
    </row>
    <row r="16" spans="1:29" ht="42.75">
      <c r="A16" s="629"/>
      <c r="B16" s="1492"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2" t="s">
        <v>1748</v>
      </c>
      <c r="C17" s="2179" t="str">
        <f>C5</f>
        <v>估价对象位于XX商圈，周边办公楼项目较多，入驻率高，办公集聚程度较好</v>
      </c>
      <c r="D17" s="2151"/>
      <c r="E17" s="2180"/>
      <c r="F17" s="2181" t="s">
        <v>1766</v>
      </c>
      <c r="G17" s="2182"/>
    </row>
    <row r="18" spans="1:18" ht="57">
      <c r="A18" s="629"/>
      <c r="B18" s="2181" t="s">
        <v>1752</v>
      </c>
      <c r="C18" s="52" t="str">
        <f>C6</f>
        <v>估价对象周边道路状况、公共交通通达情况、停车便捷程度，综合评价交通便捷度较好</v>
      </c>
      <c r="D18" s="2151"/>
      <c r="E18" s="2180"/>
      <c r="F18" s="2181" t="s">
        <v>1755</v>
      </c>
      <c r="G18" s="52" t="str">
        <f>G7</f>
        <v>该园区内是否有污染型企业，绿化情况，卫生条件，整体环境状况判断</v>
      </c>
    </row>
    <row r="19" spans="1:18" ht="28.5">
      <c r="A19" s="629"/>
      <c r="B19" s="2181" t="s">
        <v>1767</v>
      </c>
      <c r="C19" s="2182"/>
      <c r="D19" s="2144"/>
      <c r="E19" s="2180"/>
      <c r="F19" s="1886" t="s">
        <v>1750</v>
      </c>
      <c r="G19" s="52" t="str">
        <f>G5</f>
        <v>估价对象所在区域公共配套设施齐备情况</v>
      </c>
    </row>
    <row r="20" spans="1:18" ht="28.5">
      <c r="A20" s="629"/>
      <c r="B20" s="2181" t="s">
        <v>1768</v>
      </c>
      <c r="C20" s="2179" t="str">
        <f>C9</f>
        <v>区域自然环境：；人文环境；综合评价环境状况一般</v>
      </c>
      <c r="D20" s="2151"/>
      <c r="E20" s="2180"/>
      <c r="F20" s="1886" t="s">
        <v>1769</v>
      </c>
      <c r="G20" s="52" t="str">
        <f>G6</f>
        <v>估价对象所在区域基础设施水平</v>
      </c>
    </row>
    <row r="21" spans="1:18" ht="28.5">
      <c r="A21" s="629"/>
      <c r="B21" s="1886" t="s">
        <v>1750</v>
      </c>
      <c r="C21" s="52" t="str">
        <f>C7</f>
        <v>估价对象所在区域公共配套设施齐备情况</v>
      </c>
      <c r="D21" s="2144"/>
      <c r="E21" s="2180"/>
      <c r="F21" s="2181" t="s">
        <v>1770</v>
      </c>
      <c r="G21" s="2183"/>
    </row>
    <row r="22" spans="1:18" ht="28.5">
      <c r="A22" s="629"/>
      <c r="B22" s="1886" t="s">
        <v>1753</v>
      </c>
      <c r="C22" s="52" t="str">
        <f>C8</f>
        <v>估价对象所在区域基础设施水平</v>
      </c>
      <c r="D22" s="2144"/>
      <c r="E22" s="2180"/>
      <c r="F22" s="2181" t="s">
        <v>1759</v>
      </c>
      <c r="G22" s="2184"/>
    </row>
    <row r="23" spans="1:18" s="2140" customFormat="1" ht="15.75" thickBot="1">
      <c r="A23" s="629"/>
      <c r="B23" s="2181" t="s">
        <v>1770</v>
      </c>
      <c r="C23" s="2183"/>
      <c r="D23" s="2169"/>
      <c r="E23" s="2185"/>
      <c r="F23" s="2186" t="s">
        <v>1771</v>
      </c>
      <c r="G23" s="2187"/>
      <c r="H23" s="2169"/>
      <c r="I23" s="2170"/>
      <c r="J23" s="2169"/>
      <c r="K23" s="2169"/>
      <c r="L23" s="2170"/>
      <c r="M23" s="2169"/>
      <c r="N23" s="2169"/>
      <c r="O23" s="2170"/>
      <c r="P23" s="2169"/>
      <c r="Q23" s="2169"/>
      <c r="R23" s="2171"/>
    </row>
    <row r="24" spans="1:18" s="2140" customFormat="1" ht="15.75" thickBot="1">
      <c r="A24" s="2188"/>
      <c r="B24" s="2186" t="s">
        <v>1772</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321</v>
      </c>
      <c r="C5" s="1829">
        <f ca="1">ROUND(B5*10000/$B$1,0)</f>
        <v>52093</v>
      </c>
      <c r="D5" s="1829" t="e">
        <f ca="1">ROUND(B5*10000/$B$2,0)</f>
        <v>#DIV/0!</v>
      </c>
      <c r="E5" s="1830"/>
      <c r="F5" s="1834"/>
      <c r="G5" s="1834"/>
    </row>
    <row r="6" spans="1:9" ht="16.5">
      <c r="A6" s="1829" t="s">
        <v>1233</v>
      </c>
      <c r="B6" s="1829">
        <f ca="1">SUM(G14:G23)</f>
        <v>321</v>
      </c>
      <c r="C6" s="1829">
        <f t="shared" ref="C6:C8" ca="1" si="0">ROUND(B6*10000/$B$1,0)</f>
        <v>52093</v>
      </c>
      <c r="D6" s="1829" t="e">
        <f t="shared" ref="D6:D8" ca="1"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2885</v>
      </c>
      <c r="B14" s="1833">
        <f>项目基本情况!C12</f>
        <v>61.62</v>
      </c>
      <c r="C14" s="1833">
        <f>项目基本情况!C13</f>
        <v>0</v>
      </c>
      <c r="D14" s="1833">
        <f ca="1">IF('数据-取费表'!B3="万元",IF(A14="估价对象1（结果表）",结果表!H121,'结果表 (1修多)'!H124),IF(A14="估价对象1（结果表）",结果表!H121,'结果表 (1修多)'!H124)/10000)</f>
        <v>321</v>
      </c>
      <c r="E14" s="1833">
        <f ca="1">ROUND(D14*10000/B14,0)</f>
        <v>52093</v>
      </c>
      <c r="F14" s="1833" t="e">
        <f ca="1">ROUND(D14*10000/C14,0)</f>
        <v>#DIV/0!</v>
      </c>
      <c r="G14" s="1833">
        <f ca="1">IF('数据-取费表'!B3="万元",IF(A14="估价对象1（结果表）",结果表!D125,'结果表 (1修多)'!D128),IF(A14="估价对象1（结果表）",结果表!D125,'结果表 (1修多)'!D128)/10000)</f>
        <v>321</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1773</v>
      </c>
      <c r="B1" s="2195"/>
      <c r="C1" s="2195"/>
      <c r="D1" s="2195"/>
      <c r="E1" s="2195"/>
      <c r="F1" s="2195"/>
      <c r="G1" s="2195"/>
      <c r="H1" s="2195"/>
      <c r="I1" s="2195"/>
    </row>
    <row r="2" spans="1:12" ht="21.75" customHeight="1">
      <c r="A2" s="2916" t="str">
        <f>项目基本情况!B1</f>
        <v>预评估</v>
      </c>
      <c r="B2" s="2916"/>
      <c r="C2" s="2916"/>
      <c r="D2" s="2916"/>
      <c r="E2" s="2916"/>
      <c r="F2" s="2916"/>
      <c r="G2" s="2916"/>
      <c r="H2" s="2916"/>
      <c r="I2" s="2916"/>
    </row>
    <row r="3" spans="1:12" ht="12.75">
      <c r="A3" s="2922" t="s">
        <v>1774</v>
      </c>
      <c r="B3" s="2923"/>
      <c r="C3" s="2923"/>
      <c r="D3" s="2923"/>
      <c r="E3" s="2923"/>
      <c r="F3" s="2923"/>
      <c r="G3" s="2923"/>
      <c r="H3" s="2923"/>
      <c r="I3" s="2923"/>
    </row>
    <row r="4" spans="1:12" ht="14.25">
      <c r="A4" s="2197" t="s">
        <v>1775</v>
      </c>
      <c r="B4" s="2198" t="s">
        <v>1776</v>
      </c>
      <c r="C4" s="2199" t="s">
        <v>2879</v>
      </c>
      <c r="D4" s="2199" t="s">
        <v>2827</v>
      </c>
      <c r="E4" s="2927" t="s">
        <v>1777</v>
      </c>
      <c r="F4" s="2928"/>
      <c r="G4" s="2928"/>
      <c r="H4" s="2928"/>
      <c r="I4" s="292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v>8</v>
      </c>
      <c r="D14" s="2921">
        <v>2</v>
      </c>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8</v>
      </c>
      <c r="D17" s="57">
        <f>SUM(D5:D16)</f>
        <v>2</v>
      </c>
      <c r="E17" s="2195"/>
      <c r="F17" s="2195"/>
      <c r="G17" s="2195"/>
      <c r="H17" s="2195"/>
      <c r="I17" s="2195"/>
    </row>
    <row r="18" spans="1:35" ht="15.75" thickBot="1">
      <c r="A18" s="2204" t="s">
        <v>1796</v>
      </c>
      <c r="B18" s="2205"/>
      <c r="C18" s="58">
        <f>ROUND(C17/SUM(C17:D17),2)</f>
        <v>0.8</v>
      </c>
      <c r="D18" s="58">
        <f>1-C18</f>
        <v>0.19999999999999996</v>
      </c>
      <c r="E18" s="2195"/>
      <c r="F18" s="2195"/>
      <c r="G18" s="2195"/>
      <c r="H18" s="2195"/>
      <c r="I18" s="2195"/>
    </row>
    <row r="19" spans="1:35" ht="15">
      <c r="A19" s="2206" t="s">
        <v>1797</v>
      </c>
      <c r="B19" s="2207" t="s">
        <v>1798</v>
      </c>
      <c r="C19" s="59">
        <f ca="1">SUMIF(INDIRECT("'"&amp;C4&amp;"'"&amp;"!A:A"),结果表!B19,INDIRECT("'"&amp;C4&amp;"'"&amp;"!B:B"))</f>
        <v>359</v>
      </c>
      <c r="D19" s="60">
        <f ca="1">SUMIF(INDIRECT("'"&amp;D4&amp;"'"&amp;"!A:A"),结果表!B19,INDIRECT("'"&amp;D4&amp;"'"&amp;"!B:B"))</f>
        <v>172</v>
      </c>
      <c r="E19" s="2206" t="s">
        <v>1799</v>
      </c>
      <c r="F19" s="2207" t="s">
        <v>1798</v>
      </c>
      <c r="G19" s="61">
        <f ca="1">ROUND(C19*$C$18+D19*$D$18,0)</f>
        <v>322</v>
      </c>
      <c r="H19" s="2208" t="str">
        <f>'数据-取费表'!B3</f>
        <v>万元</v>
      </c>
      <c r="I19" s="2195"/>
    </row>
    <row r="20" spans="1:35" ht="15">
      <c r="A20" s="2209"/>
      <c r="B20" s="2210" t="s">
        <v>1800</v>
      </c>
      <c r="C20" s="62">
        <f ca="1">SUMIF(INDIRECT("'"&amp;C4&amp;"'"&amp;"!A:A"),结果表!B20,INDIRECT("'"&amp;C4&amp;"'"&amp;"!B:B"))</f>
        <v>58232</v>
      </c>
      <c r="D20" s="63">
        <f ca="1">SUMIF(INDIRECT("'"&amp;D4&amp;"'"&amp;"!A:A"),结果表!B20,INDIRECT("'"&amp;D4&amp;"'"&amp;"!B:B"))</f>
        <v>27873</v>
      </c>
      <c r="E20" s="2209"/>
      <c r="F20" s="2210" t="s">
        <v>1800</v>
      </c>
      <c r="G20" s="64">
        <f ca="1">ROUND(C20*$C$18+D20*$D$18,0)</f>
        <v>52160</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f ca="1">IF(C19&lt;D19,D19/C19-1,C19/D19-1)</f>
        <v>1.0872093023255816</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1808</v>
      </c>
      <c r="B30" s="67"/>
      <c r="C30" s="67"/>
      <c r="D30" s="67"/>
      <c r="E30" s="2715" t="s">
        <v>2809</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1809</v>
      </c>
      <c r="B32" s="2224" t="str">
        <f>'数据-取费表'!B4</f>
        <v>楼面单价</v>
      </c>
      <c r="C32" s="1144">
        <f ca="1">IF(B32="总价",G19-C24,G20-C25)</f>
        <v>52160</v>
      </c>
      <c r="D32" s="2195" t="str">
        <f>IF(B32="楼面单价","元/平方米",H19)</f>
        <v>元/平方米</v>
      </c>
      <c r="E32" s="2195"/>
      <c r="F32" s="2195"/>
      <c r="G32" s="2195"/>
      <c r="H32" s="2195"/>
      <c r="I32" s="2195"/>
    </row>
    <row r="33" spans="1:16" ht="15">
      <c r="A33" s="2225" t="s">
        <v>1810</v>
      </c>
      <c r="B33" s="2226"/>
      <c r="C33" s="2227"/>
      <c r="D33" s="2228"/>
      <c r="E33" s="2229" t="s">
        <v>1811</v>
      </c>
      <c r="F33" s="2230" t="str">
        <f>IF(B32="楼面单价","取值（单价）","取值（总价）")</f>
        <v>取值（单价）</v>
      </c>
      <c r="G33" s="2195"/>
      <c r="H33" s="2195"/>
      <c r="I33" s="2195"/>
    </row>
    <row r="34" spans="1:16" ht="15">
      <c r="A34" s="2231"/>
      <c r="B34" s="2232" t="s">
        <v>1812</v>
      </c>
      <c r="C34" s="72">
        <f ca="1">IF(D33="自定义",F34,C32-C35)</f>
        <v>44753</v>
      </c>
      <c r="D34" s="1090">
        <f ca="1">IF(D33="自定义",ROUND(C34/C32,3),1-D35)</f>
        <v>0.85799999999999998</v>
      </c>
      <c r="E34" s="2233" t="s">
        <v>1813</v>
      </c>
      <c r="F34" s="1827">
        <v>2000</v>
      </c>
      <c r="G34" s="2195"/>
      <c r="H34" s="2195"/>
      <c r="I34" s="2195"/>
    </row>
    <row r="35" spans="1:16" ht="15.75" thickBot="1">
      <c r="A35" s="2234"/>
      <c r="B35" s="2235" t="s">
        <v>1814</v>
      </c>
      <c r="C35" s="73">
        <f ca="1">IF(D33="自定义",F35,ROUND(C32*D35,0))</f>
        <v>7407</v>
      </c>
      <c r="D35" s="1089">
        <f ca="1">IF(D33="自定义",ROUND(C35/C32,3),IF(D33="成本法成本比率",成本法!C56,IF(D33="收益法收益比率",收益法!J38,收益法!J41)))</f>
        <v>0.14199999999999999</v>
      </c>
      <c r="E35" s="2236" t="s">
        <v>1815</v>
      </c>
      <c r="F35" s="79">
        <v>4460</v>
      </c>
      <c r="G35" s="2195"/>
      <c r="H35" s="2195"/>
      <c r="I35" s="2195"/>
    </row>
    <row r="36" spans="1:16" ht="15.75" thickBot="1">
      <c r="A36" s="2935" t="s">
        <v>1816</v>
      </c>
      <c r="B36" s="2237" t="s">
        <v>1817</v>
      </c>
      <c r="C36" s="69">
        <v>0</v>
      </c>
      <c r="D36" s="2238"/>
      <c r="E36" s="2239"/>
      <c r="F36" s="2239"/>
      <c r="G36" s="2195"/>
      <c r="H36" s="2195"/>
      <c r="I36" s="2195"/>
    </row>
    <row r="37" spans="1:16" ht="15.75" thickBot="1">
      <c r="A37" s="2936"/>
      <c r="B37" s="2240" t="s">
        <v>1818</v>
      </c>
      <c r="C37" s="71">
        <v>0</v>
      </c>
      <c r="D37" s="2205"/>
      <c r="E37" s="2205"/>
      <c r="F37" s="2239"/>
      <c r="G37" s="2205"/>
      <c r="H37" s="2205"/>
      <c r="I37" s="2205"/>
    </row>
    <row r="38" spans="1:16" ht="15.75" thickBot="1">
      <c r="A38" s="2937"/>
      <c r="B38" s="2241" t="s">
        <v>1819</v>
      </c>
      <c r="C38" s="711">
        <v>0</v>
      </c>
      <c r="D38" s="2242" t="s">
        <v>1820</v>
      </c>
      <c r="E38" s="2205"/>
      <c r="F38" s="2239"/>
      <c r="G38" s="2205"/>
      <c r="H38" s="2205"/>
      <c r="I38" s="2205"/>
    </row>
    <row r="39" spans="1:16" ht="15">
      <c r="A39" s="2209" t="s">
        <v>1821</v>
      </c>
      <c r="B39" s="2243" t="s">
        <v>1805</v>
      </c>
      <c r="C39" s="2244" t="s">
        <v>1806</v>
      </c>
      <c r="D39" s="2244" t="s">
        <v>1822</v>
      </c>
      <c r="E39" s="2245" t="s">
        <v>1807</v>
      </c>
      <c r="F39" s="2239"/>
      <c r="G39" s="2205"/>
      <c r="H39" s="2205"/>
      <c r="I39" s="2205"/>
    </row>
    <row r="40" spans="1:16" ht="14.25">
      <c r="A40" s="2246" t="s">
        <v>1823</v>
      </c>
      <c r="B40" s="74"/>
      <c r="C40" s="75"/>
      <c r="D40" s="75"/>
      <c r="E40" s="76"/>
      <c r="F40" s="2239"/>
      <c r="G40" s="2205"/>
      <c r="H40" s="2205"/>
      <c r="I40" s="2205"/>
    </row>
    <row r="41" spans="1:16" ht="14.25">
      <c r="A41" s="2246" t="s">
        <v>1824</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1825</v>
      </c>
      <c r="B44" s="2252"/>
      <c r="C44" s="2252"/>
      <c r="D44" s="2253"/>
      <c r="E44" s="2253"/>
      <c r="F44" s="2254"/>
      <c r="G44" s="2254"/>
      <c r="H44" s="2254"/>
      <c r="I44" s="2254"/>
      <c r="J44" s="2255" t="s">
        <v>1826</v>
      </c>
      <c r="K44" s="2256"/>
      <c r="L44" s="2256"/>
      <c r="M44" s="2256"/>
      <c r="N44" s="2256"/>
      <c r="O44" s="2256"/>
      <c r="P44" s="1844"/>
    </row>
    <row r="45" spans="1:16" ht="14.25" customHeight="1" thickBot="1">
      <c r="A45" s="2940" t="s">
        <v>1827</v>
      </c>
      <c r="B45" s="2941"/>
      <c r="C45" s="2942"/>
      <c r="D45" s="80">
        <f ca="1">ROUND(I102*F45,0)</f>
        <v>321</v>
      </c>
      <c r="E45" s="81" t="s">
        <v>1828</v>
      </c>
      <c r="F45" s="82">
        <v>1</v>
      </c>
      <c r="G45" s="83" t="s">
        <v>1829</v>
      </c>
      <c r="H45" s="2195"/>
      <c r="I45" s="2195"/>
      <c r="J45" s="2852" t="s">
        <v>1830</v>
      </c>
      <c r="K45" s="2852"/>
      <c r="L45" s="2852"/>
      <c r="M45" s="2852"/>
      <c r="N45" s="2852"/>
      <c r="O45" s="2852"/>
      <c r="P45" s="1844"/>
    </row>
    <row r="46" spans="1:16" ht="14.25" customHeight="1">
      <c r="A46" s="2932" t="s">
        <v>1831</v>
      </c>
      <c r="B46" s="2933"/>
      <c r="C46" s="2933"/>
      <c r="D46" s="2933"/>
      <c r="E46" s="2933"/>
      <c r="F46" s="2933"/>
      <c r="G46" s="2934"/>
      <c r="H46" s="2257"/>
      <c r="I46" s="1143"/>
      <c r="J46" s="1882">
        <v>1</v>
      </c>
      <c r="K46" s="2852" t="s">
        <v>1832</v>
      </c>
      <c r="L46" s="2852"/>
      <c r="M46" s="2853" t="str">
        <f>项目基本情况!B1</f>
        <v>预评估</v>
      </c>
      <c r="N46" s="2853"/>
      <c r="O46" s="2853"/>
      <c r="P46" s="1844"/>
    </row>
    <row r="47" spans="1:16" ht="12" customHeight="1">
      <c r="A47" s="85" t="s">
        <v>1833</v>
      </c>
      <c r="B47" s="86"/>
      <c r="C47" s="87"/>
      <c r="D47" s="88" t="s">
        <v>1834</v>
      </c>
      <c r="E47" s="14" t="s">
        <v>1835</v>
      </c>
      <c r="F47" s="89" t="s">
        <v>1836</v>
      </c>
      <c r="G47" s="90" t="s">
        <v>1837</v>
      </c>
      <c r="H47" s="2257"/>
      <c r="I47" s="1143"/>
      <c r="J47" s="1882">
        <v>2</v>
      </c>
      <c r="K47" s="2852" t="s">
        <v>1838</v>
      </c>
      <c r="L47" s="2852"/>
      <c r="M47" s="2854">
        <f>'数据-取费表'!B2</f>
        <v>43284</v>
      </c>
      <c r="N47" s="2854"/>
      <c r="O47" s="2854"/>
      <c r="P47" s="1844"/>
    </row>
    <row r="48" spans="1:16" ht="25.5">
      <c r="A48" s="2938" t="s">
        <v>1839</v>
      </c>
      <c r="B48" s="2939"/>
      <c r="C48" s="2939"/>
      <c r="D48" s="56">
        <f ca="1">IF(H48="情况1",0,IF(H48="情况2",D52,IF(H48="情况3",D53,IF(H48="情况4",D54))))</f>
        <v>17</v>
      </c>
      <c r="E48" s="1892" t="str">
        <f>IF(H48="情况4","(销售额-原购置价)×税（费）率","销售额×税（费）率")</f>
        <v>销售额×税（费）率</v>
      </c>
      <c r="F48" s="91">
        <f>IF(H48="情况1","免征",'数据-取费表'!E29)</f>
        <v>5.6000000000000001E-2</v>
      </c>
      <c r="G48" s="2258" t="s">
        <v>1840</v>
      </c>
      <c r="H48" s="2259" t="s">
        <v>1841</v>
      </c>
      <c r="I48" s="2257"/>
      <c r="J48" s="1882">
        <v>3</v>
      </c>
      <c r="K48" s="2852" t="s">
        <v>1842</v>
      </c>
      <c r="L48" s="2852"/>
      <c r="M48" s="2853">
        <f ca="1">I102</f>
        <v>321</v>
      </c>
      <c r="N48" s="2853"/>
      <c r="O48" s="2853"/>
      <c r="P48" s="1844"/>
    </row>
    <row r="49" spans="1:16" ht="25.5" customHeight="1">
      <c r="A49" s="92" t="s">
        <v>1843</v>
      </c>
      <c r="B49" s="2919" t="s">
        <v>1844</v>
      </c>
      <c r="C49" s="2919"/>
      <c r="D49" s="93">
        <v>0</v>
      </c>
      <c r="E49" s="13" t="s">
        <v>1845</v>
      </c>
      <c r="F49" s="18" t="s">
        <v>48</v>
      </c>
      <c r="G49" s="2843"/>
      <c r="H49" s="2195"/>
      <c r="I49" s="2260"/>
      <c r="J49" s="1882">
        <v>4</v>
      </c>
      <c r="K49" s="2852" t="str">
        <f>IF(项目基本情况!F5="房地产抵押价值","房地产抵押价值","抵押担保权已注销时的房地产抵押价值")</f>
        <v>抵押担保权已注销时的房地产抵押价值</v>
      </c>
      <c r="L49" s="2852"/>
      <c r="M49" s="2853" t="str">
        <f>IF(项目基本情况!F5="房地产抵押价值",I110,I112)</f>
        <v>——</v>
      </c>
      <c r="N49" s="2853"/>
      <c r="O49" s="2853"/>
      <c r="P49" s="1844"/>
    </row>
    <row r="50" spans="1:16" ht="25.5" customHeight="1">
      <c r="A50" s="94"/>
      <c r="B50" s="2919" t="s">
        <v>1846</v>
      </c>
      <c r="C50" s="2919"/>
      <c r="D50" s="95"/>
      <c r="E50" s="21"/>
      <c r="F50" s="96"/>
      <c r="G50" s="2844"/>
      <c r="H50" s="2195"/>
      <c r="I50" s="2260"/>
      <c r="J50" s="2852" t="s">
        <v>1847</v>
      </c>
      <c r="K50" s="2852"/>
      <c r="L50" s="2852"/>
      <c r="M50" s="2852"/>
      <c r="N50" s="2852"/>
      <c r="O50" s="2852"/>
      <c r="P50" s="1844"/>
    </row>
    <row r="51" spans="1:16" ht="12" customHeight="1">
      <c r="A51" s="97"/>
      <c r="B51" s="2919" t="s">
        <v>1848</v>
      </c>
      <c r="C51" s="2919"/>
      <c r="D51" s="98"/>
      <c r="E51" s="20"/>
      <c r="F51" s="96"/>
      <c r="G51" s="2845"/>
      <c r="H51" s="2195"/>
      <c r="I51" s="2260"/>
      <c r="J51" s="2261" t="s">
        <v>1849</v>
      </c>
      <c r="K51" s="2852" t="s">
        <v>1850</v>
      </c>
      <c r="L51" s="2852"/>
      <c r="M51" s="2261" t="s">
        <v>1851</v>
      </c>
      <c r="N51" s="2261" t="s">
        <v>1852</v>
      </c>
      <c r="O51" s="2261" t="s">
        <v>1853</v>
      </c>
      <c r="P51" s="1844"/>
    </row>
    <row r="52" spans="1:16" ht="24" customHeight="1">
      <c r="A52" s="99" t="s">
        <v>1854</v>
      </c>
      <c r="B52" s="2919" t="s">
        <v>1855</v>
      </c>
      <c r="C52" s="2919"/>
      <c r="D52" s="98">
        <f ca="1">ROUND(D45*'数据-取费表'!E29/(1+'数据-取费表'!F30),0)</f>
        <v>17</v>
      </c>
      <c r="E52" s="10" t="s">
        <v>1856</v>
      </c>
      <c r="F52" s="100">
        <f>'数据-取费表'!E29</f>
        <v>5.6000000000000001E-2</v>
      </c>
      <c r="G52" s="2262"/>
      <c r="H52" s="2195"/>
      <c r="I52" s="2260"/>
      <c r="J52" s="1882">
        <v>1</v>
      </c>
      <c r="K52" s="2842" t="s">
        <v>1857</v>
      </c>
      <c r="L52" s="2842"/>
      <c r="M52" s="777">
        <f ca="1">D48</f>
        <v>17</v>
      </c>
      <c r="N52" s="1882" t="str">
        <f>E48</f>
        <v>销售额×税（费）率</v>
      </c>
      <c r="O52" s="778">
        <f>F48</f>
        <v>5.6000000000000001E-2</v>
      </c>
      <c r="P52" s="1844"/>
    </row>
    <row r="53" spans="1:16" ht="12" customHeight="1">
      <c r="A53" s="99" t="s">
        <v>1858</v>
      </c>
      <c r="B53" s="2918" t="s">
        <v>1859</v>
      </c>
      <c r="C53" s="2812"/>
      <c r="D53" s="98">
        <f ca="1">ROUND(D45*'数据-取费表'!E29/(1+'数据-取费表'!F30),0)</f>
        <v>17</v>
      </c>
      <c r="E53" s="10" t="s">
        <v>1856</v>
      </c>
      <c r="F53" s="100">
        <f>'数据-取费表'!E29</f>
        <v>5.6000000000000001E-2</v>
      </c>
      <c r="G53" s="2262"/>
      <c r="H53" s="2195"/>
      <c r="I53" s="2260"/>
      <c r="J53" s="1882">
        <v>2</v>
      </c>
      <c r="K53" s="2842" t="s">
        <v>1860</v>
      </c>
      <c r="L53" s="2842"/>
      <c r="M53" s="777">
        <f t="shared" ref="M53:O54" ca="1" si="1">D55</f>
        <v>0</v>
      </c>
      <c r="N53" s="1882" t="str">
        <f t="shared" si="1"/>
        <v>销售额×税（费）率</v>
      </c>
      <c r="O53" s="778">
        <f t="shared" si="1"/>
        <v>5.0000000000000001E-4</v>
      </c>
      <c r="P53" s="1844"/>
    </row>
    <row r="54" spans="1:16" ht="12" customHeight="1">
      <c r="A54" s="99" t="s">
        <v>1861</v>
      </c>
      <c r="B54" s="2918" t="s">
        <v>1862</v>
      </c>
      <c r="C54" s="2812"/>
      <c r="D54" s="98">
        <f ca="1">C68</f>
        <v>17</v>
      </c>
      <c r="E54" s="20" t="s">
        <v>1863</v>
      </c>
      <c r="F54" s="100">
        <f>'数据-取费表'!E29</f>
        <v>5.6000000000000001E-2</v>
      </c>
      <c r="G54" s="2262"/>
      <c r="H54" s="2263"/>
      <c r="I54" s="2260"/>
      <c r="J54" s="1882">
        <v>3</v>
      </c>
      <c r="K54" s="2842" t="s">
        <v>1864</v>
      </c>
      <c r="L54" s="2842"/>
      <c r="M54" s="777">
        <f t="shared" ca="1" si="1"/>
        <v>182</v>
      </c>
      <c r="N54" s="1882" t="str">
        <f t="shared" si="1"/>
        <v>增值额×税（费）率</v>
      </c>
      <c r="O54" s="779" t="str">
        <f t="shared" si="1"/>
        <v>——</v>
      </c>
      <c r="P54" s="1844"/>
    </row>
    <row r="55" spans="1:16" ht="24" customHeight="1">
      <c r="A55" s="2804" t="s">
        <v>1865</v>
      </c>
      <c r="B55" s="2939"/>
      <c r="C55" s="2939"/>
      <c r="D55" s="101">
        <f ca="1">IF(H55="个人住宅",0,ROUND(D45*I55,0))</f>
        <v>0</v>
      </c>
      <c r="E55" s="10" t="s">
        <v>1866</v>
      </c>
      <c r="F55" s="100">
        <f>IF(H55="正常",I55,"免征")</f>
        <v>5.0000000000000001E-4</v>
      </c>
      <c r="G55" s="2262"/>
      <c r="H55" s="2259" t="s">
        <v>1867</v>
      </c>
      <c r="I55" s="102">
        <f>'数据-取费表'!E37</f>
        <v>5.0000000000000001E-4</v>
      </c>
      <c r="J55" s="1882">
        <f>IF(H59="非个人房产","",4)</f>
        <v>4</v>
      </c>
      <c r="K55" s="2842" t="str">
        <f>IF(H59="非个人房产","——","个人所得税")</f>
        <v>个人所得税</v>
      </c>
      <c r="L55" s="2842"/>
      <c r="M55" s="780">
        <f ca="1">D59</f>
        <v>3</v>
      </c>
      <c r="N55" s="1885" t="str">
        <f>E59</f>
        <v>销售额×税（费）率</v>
      </c>
      <c r="O55" s="781">
        <f>F59</f>
        <v>0.01</v>
      </c>
      <c r="P55" s="1844"/>
    </row>
    <row r="56" spans="1:16" ht="24.75">
      <c r="A56" s="2804" t="s">
        <v>1868</v>
      </c>
      <c r="B56" s="2939"/>
      <c r="C56" s="2939"/>
      <c r="D56" s="101">
        <f ca="1">IF(H56="个人住宅",D57,D58)</f>
        <v>182</v>
      </c>
      <c r="E56" s="10" t="s">
        <v>1869</v>
      </c>
      <c r="F56" s="100" t="str">
        <f>IF(H56="正常",F58,"免征")</f>
        <v>——</v>
      </c>
      <c r="G56" s="2264" t="s">
        <v>1870</v>
      </c>
      <c r="H56" s="2265" t="s">
        <v>1867</v>
      </c>
      <c r="I56" s="1021"/>
      <c r="J56" s="1882" t="str">
        <f>IF(项目基本情况!I6="上海银行",IF(J55="",4,J55+1),"")</f>
        <v/>
      </c>
      <c r="K56" s="2859" t="str">
        <f>IF(项目基本情况!I6="上海银行","其他处置费用","")</f>
        <v/>
      </c>
      <c r="L56" s="2860"/>
      <c r="M56" s="777" t="str">
        <f>IF(项目基本情况!I6="上海银行",M69,"")</f>
        <v/>
      </c>
      <c r="N56" s="2840" t="str">
        <f>IF(项目基本情况!I6="上海银行","包含处置中涉及的律师、诉讼、拍卖、评估等费用","")</f>
        <v/>
      </c>
      <c r="O56" s="2841"/>
      <c r="P56" s="1844"/>
    </row>
    <row r="57" spans="1:16" ht="12.75">
      <c r="A57" s="99" t="s">
        <v>1843</v>
      </c>
      <c r="B57" s="2927" t="s">
        <v>1871</v>
      </c>
      <c r="C57" s="2929"/>
      <c r="D57" s="103">
        <v>0</v>
      </c>
      <c r="E57" s="13" t="s">
        <v>1845</v>
      </c>
      <c r="F57" s="70"/>
      <c r="G57" s="2262"/>
      <c r="H57" s="1021"/>
      <c r="I57" s="1021"/>
      <c r="J57" s="2842">
        <f>IF(AND(J55="",J56=""),4,IF(项目基本情况!I6="上海银行",J56+1,J55+1))</f>
        <v>5</v>
      </c>
      <c r="K57" s="2842" t="s">
        <v>1872</v>
      </c>
      <c r="L57" s="2266" t="s">
        <v>1873</v>
      </c>
      <c r="M57" s="782"/>
      <c r="N57" s="783">
        <f ca="1">SUMIF(M52:M56,"&lt;9e307")</f>
        <v>202</v>
      </c>
      <c r="O57" s="2267"/>
      <c r="P57" s="1840" t="e">
        <f ca="1">N57/M49</f>
        <v>#VALUE!</v>
      </c>
    </row>
    <row r="58" spans="1:16" ht="24.75">
      <c r="A58" s="99" t="s">
        <v>1854</v>
      </c>
      <c r="B58" s="2927" t="s">
        <v>1874</v>
      </c>
      <c r="C58" s="2928"/>
      <c r="D58" s="101">
        <f ca="1">IF(H58="转让取得",C81,C97)</f>
        <v>182</v>
      </c>
      <c r="E58" s="10" t="s">
        <v>1869</v>
      </c>
      <c r="F58" s="14" t="s">
        <v>48</v>
      </c>
      <c r="G58" s="2262"/>
      <c r="H58" s="2265" t="s">
        <v>1875</v>
      </c>
      <c r="I58" s="1021"/>
      <c r="J58" s="2842"/>
      <c r="K58" s="2842"/>
      <c r="L58" s="2266" t="s">
        <v>1876</v>
      </c>
      <c r="M58" s="784"/>
      <c r="N58" s="2268" t="str">
        <f ca="1">IF(H19="元",NUMBERSTRING(INT(N57),2)&amp;"元整",NUMBERSTRING(INT(N57*10000),2)&amp;"元整")</f>
        <v>贰佰零贰万元整</v>
      </c>
      <c r="O58" s="2269"/>
      <c r="P58" s="1844"/>
    </row>
    <row r="59" spans="1:16" ht="26.25" thickBot="1">
      <c r="A59" s="2805" t="s">
        <v>1877</v>
      </c>
      <c r="B59" s="2808"/>
      <c r="C59" s="2808"/>
      <c r="D59" s="104">
        <f ca="1">IF(H59="非个人房产","——",IF(H59="个人住宅",0,ROUND(D45*I59,0)))</f>
        <v>3</v>
      </c>
      <c r="E59" s="105" t="str">
        <f>IF(H59="非个人房产","——","销售额×税（费）率")</f>
        <v>销售额×税（费）率</v>
      </c>
      <c r="F59" s="106">
        <f>IF(H59="非个人房产","——",IF(H59="个人住宅","免征",I59))</f>
        <v>0.01</v>
      </c>
      <c r="G59" s="2270" t="s">
        <v>1870</v>
      </c>
      <c r="H59" s="2265" t="s">
        <v>1878</v>
      </c>
      <c r="I59" s="107">
        <v>0.01</v>
      </c>
      <c r="J59" s="2896">
        <f>J57+1</f>
        <v>6</v>
      </c>
      <c r="K59" s="2842" t="s">
        <v>1879</v>
      </c>
      <c r="L59" s="1882" t="s">
        <v>1873</v>
      </c>
      <c r="M59" s="785"/>
      <c r="N59" s="786" t="e">
        <f ca="1">M49-N57</f>
        <v>#VALUE!</v>
      </c>
      <c r="O59" s="2271"/>
      <c r="P59" s="1844"/>
    </row>
    <row r="60" spans="1:16" ht="12" customHeight="1">
      <c r="A60" s="2066"/>
      <c r="B60" s="2195"/>
      <c r="C60" s="2195"/>
      <c r="D60" s="2195"/>
      <c r="E60" s="1021"/>
      <c r="F60" s="1021"/>
      <c r="G60" s="1021"/>
      <c r="H60" s="2248"/>
      <c r="I60" s="2195"/>
      <c r="J60" s="2897"/>
      <c r="K60" s="2842"/>
      <c r="L60" s="2266" t="s">
        <v>1876</v>
      </c>
      <c r="M60" s="784"/>
      <c r="N60" s="2268" t="e">
        <f ca="1">IF(H19="元",NUMBERSTRING(INT(N59),2)&amp;"元整",NUMBERSTRING(INT(N59*10000),2)&amp;"元整")</f>
        <v>#VALUE!</v>
      </c>
      <c r="O60" s="2269"/>
      <c r="P60" s="1844"/>
    </row>
    <row r="61" spans="1:16" ht="13.5" thickBot="1">
      <c r="A61" s="2943" t="s">
        <v>1880</v>
      </c>
      <c r="B61" s="2943"/>
      <c r="C61" s="2943"/>
      <c r="D61" s="2943"/>
      <c r="E61" s="2943"/>
      <c r="F61" s="1021"/>
      <c r="G61" s="1021"/>
      <c r="H61" s="2248"/>
      <c r="I61" s="2195"/>
      <c r="J61" s="1882">
        <f>J59+1</f>
        <v>7</v>
      </c>
      <c r="K61" s="2842" t="s">
        <v>1881</v>
      </c>
      <c r="L61" s="2842"/>
      <c r="M61" s="787"/>
      <c r="N61" s="788" t="e">
        <f ca="1">IF(H19="元",ROUND(N59/项目基本情况!C12,0),ROUND(N59*10000/项目基本情况!C12,0))</f>
        <v>#VALUE!</v>
      </c>
      <c r="O61" s="2272"/>
      <c r="P61" s="1844"/>
    </row>
    <row r="62" spans="1:16" ht="12.75">
      <c r="A62" s="2880" t="s">
        <v>1882</v>
      </c>
      <c r="B62" s="2881"/>
      <c r="C62" s="1884"/>
      <c r="D62" s="1884" t="s">
        <v>1883</v>
      </c>
      <c r="E62" s="108" t="s">
        <v>1884</v>
      </c>
      <c r="F62" s="1021"/>
      <c r="G62" s="1021"/>
      <c r="H62" s="2248"/>
      <c r="I62" s="2195"/>
      <c r="J62" s="1844"/>
      <c r="K62" s="1844"/>
      <c r="L62" s="1844"/>
      <c r="M62" s="1844"/>
      <c r="N62" s="1844"/>
      <c r="O62" s="1844"/>
      <c r="P62" s="1844"/>
    </row>
    <row r="63" spans="1:16" ht="12.75">
      <c r="A63" s="109">
        <v>1</v>
      </c>
      <c r="B63" s="110" t="s">
        <v>1885</v>
      </c>
      <c r="C63" s="111">
        <f ca="1">ROUND((C64+C65)/(1+'数据-取费表'!F30),0)</f>
        <v>306</v>
      </c>
      <c r="D63" s="112"/>
      <c r="E63" s="113"/>
      <c r="F63" s="1021"/>
      <c r="G63" s="1021"/>
      <c r="H63" s="2248"/>
      <c r="I63" s="2195"/>
      <c r="J63" s="2861" t="s">
        <v>1886</v>
      </c>
      <c r="K63" s="2273" t="s">
        <v>1887</v>
      </c>
      <c r="L63" s="1843" t="e">
        <f>IF(M49&gt;10000,M49*0.5%,IF(AND(M49&gt;1000,M49&lt;=10000),M49*1%,IF(AND(M49&gt;100,M49&lt;=1000),M49*3%,IF(AND(M49&gt;10,M49&lt;=100),M49*5%,M49*8%))))</f>
        <v>#VALUE!</v>
      </c>
      <c r="M63" s="14" t="e">
        <f>ROUND(L63,1)</f>
        <v>#VALUE!</v>
      </c>
      <c r="N63" s="1844"/>
      <c r="O63" s="1844"/>
      <c r="P63" s="1844"/>
    </row>
    <row r="64" spans="1:16" ht="12.75">
      <c r="A64" s="114" t="s">
        <v>71</v>
      </c>
      <c r="B64" s="115" t="s">
        <v>1888</v>
      </c>
      <c r="C64" s="116">
        <f ca="1">D45</f>
        <v>321</v>
      </c>
      <c r="D64" s="117" t="s">
        <v>41</v>
      </c>
      <c r="E64" s="118"/>
      <c r="F64" s="1021"/>
      <c r="G64" s="1021"/>
      <c r="H64" s="2248"/>
      <c r="I64" s="2195"/>
      <c r="J64" s="2861"/>
      <c r="K64" s="2273" t="s">
        <v>1889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1890</v>
      </c>
      <c r="O64" s="1844"/>
      <c r="P64" s="1844"/>
    </row>
    <row r="65" spans="1:35" ht="12.75">
      <c r="A65" s="114" t="s">
        <v>72</v>
      </c>
      <c r="B65" s="115" t="s">
        <v>1891</v>
      </c>
      <c r="C65" s="119"/>
      <c r="D65" s="117"/>
      <c r="E65" s="118"/>
      <c r="F65" s="1021"/>
      <c r="G65" s="1021"/>
      <c r="H65" s="2248"/>
      <c r="I65" s="2195"/>
      <c r="J65" s="2861"/>
      <c r="K65" s="2273" t="s">
        <v>1892</v>
      </c>
      <c r="L65" s="1843" t="e">
        <f>IF(M49&gt;1000,M49*0.1%,IF(AND(M49&gt;500,M49&lt;=1000),M49*0.5%,IF(AND(M49&gt;50,M49&lt;=500),M49*1%,IF(AND(M49&gt;1,M49&lt;=50),M49*1.5%))))</f>
        <v>#VALUE!</v>
      </c>
      <c r="M65" s="14" t="e">
        <f t="shared" si="2"/>
        <v>#VALUE!</v>
      </c>
      <c r="N65" s="1844" t="s">
        <v>1890</v>
      </c>
      <c r="O65" s="1844"/>
      <c r="P65" s="1844"/>
    </row>
    <row r="66" spans="1:35" ht="12.75">
      <c r="A66" s="120" t="s">
        <v>47</v>
      </c>
      <c r="B66" s="121" t="s">
        <v>1893</v>
      </c>
      <c r="C66" s="122"/>
      <c r="D66" s="123" t="s">
        <v>41</v>
      </c>
      <c r="E66" s="1860" t="s">
        <v>1894</v>
      </c>
      <c r="F66" s="1021"/>
      <c r="G66" s="1021"/>
      <c r="H66" s="2248"/>
      <c r="I66" s="2195"/>
      <c r="J66" s="2861"/>
      <c r="K66" s="2273" t="s">
        <v>1895</v>
      </c>
      <c r="L66" s="1843" t="e">
        <f>M49*0.5%</f>
        <v>#VALUE!</v>
      </c>
      <c r="M66" s="14" t="e">
        <f>IF(L66&gt;0.5,0.5,ROUND(L66,0))</f>
        <v>#VALUE!</v>
      </c>
      <c r="N66" s="1844" t="s">
        <v>1896</v>
      </c>
      <c r="O66" s="1844"/>
      <c r="P66" s="1844"/>
    </row>
    <row r="67" spans="1:35" ht="12.75">
      <c r="A67" s="120" t="s">
        <v>42</v>
      </c>
      <c r="B67" s="121" t="s">
        <v>1897</v>
      </c>
      <c r="C67" s="124">
        <f ca="1">C63-C66</f>
        <v>306</v>
      </c>
      <c r="D67" s="117" t="s">
        <v>41</v>
      </c>
      <c r="E67" s="118"/>
      <c r="F67" s="1021"/>
      <c r="G67" s="1021"/>
      <c r="H67" s="2248"/>
      <c r="I67" s="2195"/>
      <c r="J67" s="2861"/>
      <c r="K67" s="2273" t="s">
        <v>1898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1899</v>
      </c>
      <c r="C68" s="127">
        <f ca="1">IF(C67&lt;=0,0,ROUND(C67*D68,0))</f>
        <v>17</v>
      </c>
      <c r="D68" s="128">
        <f>'数据-取费表'!E29</f>
        <v>5.6000000000000001E-2</v>
      </c>
      <c r="E68" s="129"/>
      <c r="F68" s="1021"/>
      <c r="G68" s="1021"/>
      <c r="H68" s="2248"/>
      <c r="I68" s="2195"/>
      <c r="J68" s="2861"/>
      <c r="K68" s="2273" t="s">
        <v>1900</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61"/>
      <c r="K69" s="2273" t="s">
        <v>1901</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882" t="s">
        <v>1902</v>
      </c>
      <c r="B70" s="2883"/>
      <c r="C70" s="2883"/>
      <c r="D70" s="2883"/>
      <c r="E70" s="2883"/>
      <c r="F70" s="2883"/>
      <c r="G70" s="2883"/>
      <c r="H70" s="2883"/>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880" t="s">
        <v>1882</v>
      </c>
      <c r="B71" s="2881"/>
      <c r="C71" s="1884"/>
      <c r="D71" s="1884" t="s">
        <v>1883</v>
      </c>
      <c r="E71" s="130" t="s">
        <v>1884</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1903</v>
      </c>
      <c r="C72" s="124">
        <f ca="1">ROUND(D45/(1+'数据-取费表'!F30),0)</f>
        <v>306</v>
      </c>
      <c r="D72" s="117" t="s">
        <v>41</v>
      </c>
      <c r="E72" s="12" t="s">
        <v>1904</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1905</v>
      </c>
      <c r="C73" s="124">
        <f ca="1">C74+C78</f>
        <v>2</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1906</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1907</v>
      </c>
      <c r="C75" s="137"/>
      <c r="D75" s="117" t="s">
        <v>41</v>
      </c>
      <c r="E75" s="138" t="s">
        <v>1908</v>
      </c>
      <c r="F75" s="2284" t="s">
        <v>1909</v>
      </c>
      <c r="G75" s="138" t="s">
        <v>1910</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1911</v>
      </c>
      <c r="C76" s="117">
        <f>IF(F75="购房发票",ROUND(C75*H75*D76,0),0)</f>
        <v>0</v>
      </c>
      <c r="D76" s="141">
        <v>0.05</v>
      </c>
      <c r="E76" s="2918" t="s">
        <v>1912</v>
      </c>
      <c r="F76" s="2919"/>
      <c r="G76" s="2919"/>
      <c r="H76" s="292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5" t="s">
        <v>1915</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1916</v>
      </c>
      <c r="C78" s="144">
        <f ca="1">ROUND(D45*D78/(1+'数据-取费表'!F30),0)</f>
        <v>2</v>
      </c>
      <c r="D78" s="145">
        <f>'数据-取费表'!E31</f>
        <v>6.000000000000001E-3</v>
      </c>
      <c r="E78" s="2849" t="s">
        <v>1917</v>
      </c>
      <c r="F78" s="2850"/>
      <c r="G78" s="2850"/>
      <c r="H78" s="2870"/>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1918</v>
      </c>
      <c r="C79" s="124">
        <f ca="1">C72-C73</f>
        <v>304</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1919</v>
      </c>
      <c r="C80" s="147">
        <f ca="1">IF(C79&lt;=0,0,C79/C73)</f>
        <v>152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1920</v>
      </c>
      <c r="C81" s="149">
        <f ca="1">ROUND(IF(C79&lt;=0,0,IF(C80&gt;=200%,C79*60%-C73*35%,IF(C80&gt;=100%,C79*50%-C73*15%,IF(C80&gt;=50%,C79*40%-C73*5%,IF(C80&lt;50%,C79*30%,0))))),0)</f>
        <v>182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882" t="s">
        <v>1921</v>
      </c>
      <c r="B83" s="2883"/>
      <c r="C83" s="2883"/>
      <c r="D83" s="2883"/>
      <c r="E83" s="2883"/>
      <c r="F83" s="2883"/>
      <c r="G83" s="2883"/>
      <c r="H83" s="2883"/>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880" t="s">
        <v>1882</v>
      </c>
      <c r="B84" s="288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1903</v>
      </c>
      <c r="C85" s="124">
        <f ca="1">ROUND(D45/(1+'数据-取费表'!F30),0)</f>
        <v>306</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1905</v>
      </c>
      <c r="C86" s="124">
        <f ca="1">IF(H88="仅含出让金",C87+C90+C91+C92+C93+C94,C87+C91+C92+C93+C94)</f>
        <v>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1923</v>
      </c>
      <c r="C88" s="157"/>
      <c r="D88" s="145"/>
      <c r="E88" s="158" t="s">
        <v>1924</v>
      </c>
      <c r="F88" s="1881"/>
      <c r="G88" s="159" t="s">
        <v>1925</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1928</v>
      </c>
      <c r="C91" s="144">
        <f>IF(H91="——",成本法!C33,I91)</f>
        <v>0</v>
      </c>
      <c r="D91" s="145"/>
      <c r="E91" s="2849" t="s">
        <v>1929</v>
      </c>
      <c r="F91" s="2850"/>
      <c r="G91" s="2850"/>
      <c r="H91" s="2288" t="s">
        <v>1930</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1931</v>
      </c>
      <c r="C92" s="144">
        <f>ROUND((C87+C90+C91)*D92,0)</f>
        <v>0</v>
      </c>
      <c r="D92" s="145">
        <v>0.1</v>
      </c>
      <c r="E92" s="2849" t="s">
        <v>1932</v>
      </c>
      <c r="F92" s="2850"/>
      <c r="G92" s="2850"/>
      <c r="H92" s="2870"/>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1916</v>
      </c>
      <c r="C93" s="144">
        <f ca="1">ROUND(D45*D93/(1+'数据-取费表'!F30),0)</f>
        <v>2</v>
      </c>
      <c r="D93" s="145">
        <f>'数据-取费表'!E31</f>
        <v>6.000000000000001E-3</v>
      </c>
      <c r="E93" s="2849" t="s">
        <v>1917</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1933</v>
      </c>
      <c r="C94" s="144">
        <f>ROUND((C87+C90+C91)*D94,0)</f>
        <v>0</v>
      </c>
      <c r="D94" s="145">
        <v>0.2</v>
      </c>
      <c r="E94" s="2849" t="s">
        <v>1934</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1918</v>
      </c>
      <c r="C95" s="124">
        <f ca="1">ROUND(C85-C86,0)</f>
        <v>304</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1919</v>
      </c>
      <c r="C96" s="147">
        <f ca="1">IF(C95&lt;=0,0,C95/C86)</f>
        <v>152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1920</v>
      </c>
      <c r="C97" s="149">
        <f ca="1">ROUND(IF(C95&lt;=0,0,IF(C96&gt;=200%,C95*60%-C86*35%,IF(C96&gt;=100%,C95*50%-C86*15%,IF(C96&gt;=50%,C95*40%-C86*5%,IF(C96&lt;50%,C95*30%,0))))),0)</f>
        <v>182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1935</v>
      </c>
      <c r="B98" s="2195"/>
      <c r="C98" s="2195"/>
      <c r="D98" s="2195"/>
      <c r="E98" s="1021"/>
      <c r="F98" s="1021"/>
      <c r="G98" s="1021"/>
      <c r="H98" s="2248"/>
      <c r="I98" s="2195"/>
    </row>
    <row r="99" spans="1:35" ht="15.75">
      <c r="A99" s="2867" t="s">
        <v>1936</v>
      </c>
      <c r="B99" s="2868"/>
      <c r="C99" s="2868"/>
      <c r="D99" s="2869"/>
      <c r="E99" s="2195"/>
      <c r="F99" s="2877" t="s">
        <v>1937</v>
      </c>
      <c r="G99" s="2878"/>
      <c r="H99" s="2878"/>
      <c r="I99" s="2879"/>
    </row>
    <row r="100" spans="1:35" ht="15.75">
      <c r="A100" s="2884" t="s">
        <v>1938</v>
      </c>
      <c r="B100" s="2885"/>
      <c r="C100" s="719" t="str">
        <f>C4</f>
        <v>比较法-办公</v>
      </c>
      <c r="D100" s="720" t="str">
        <f>D4</f>
        <v>收益法</v>
      </c>
      <c r="E100" s="2195"/>
      <c r="F100" s="2886" t="s">
        <v>1939</v>
      </c>
      <c r="G100" s="2888"/>
      <c r="H100" s="2886" t="s">
        <v>1940</v>
      </c>
      <c r="I100" s="2887"/>
    </row>
    <row r="101" spans="1:35" ht="15.75">
      <c r="A101" s="2906" t="s">
        <v>1941</v>
      </c>
      <c r="B101" s="2290" t="str">
        <f>IF(H19="元","总价（元）","总价（万元）")</f>
        <v>总价（万元）</v>
      </c>
      <c r="C101" s="719">
        <f ca="1">C19</f>
        <v>359</v>
      </c>
      <c r="D101" s="720">
        <f ca="1">D19</f>
        <v>172</v>
      </c>
      <c r="E101" s="2195"/>
      <c r="F101" s="2886" t="str">
        <f>项目基本情况!I1</f>
        <v>房地产</v>
      </c>
      <c r="G101" s="2888"/>
      <c r="H101" s="2947">
        <f>项目基本情况!C12</f>
        <v>61.62</v>
      </c>
      <c r="I101" s="2887"/>
    </row>
    <row r="102" spans="1:35" ht="15.75">
      <c r="A102" s="2906"/>
      <c r="B102" s="2290" t="s">
        <v>1942</v>
      </c>
      <c r="C102" s="721">
        <f ca="1">C20</f>
        <v>58232</v>
      </c>
      <c r="D102" s="722">
        <f ca="1">D20</f>
        <v>27873</v>
      </c>
      <c r="E102" s="2195"/>
      <c r="F102" s="2961" t="s">
        <v>1943</v>
      </c>
      <c r="G102" s="2962"/>
      <c r="H102" s="2291" t="str">
        <f>C106</f>
        <v>总价（万元）</v>
      </c>
      <c r="I102" s="1861">
        <f ca="1">H121</f>
        <v>321</v>
      </c>
    </row>
    <row r="103" spans="1:35" ht="15">
      <c r="A103" s="2906" t="s">
        <v>1944</v>
      </c>
      <c r="B103" s="2292" t="str">
        <f>B101</f>
        <v>总价（万元）</v>
      </c>
      <c r="C103" s="723">
        <f ca="1">H121</f>
        <v>321</v>
      </c>
      <c r="D103" s="724"/>
      <c r="E103" s="2195"/>
      <c r="F103" s="2961"/>
      <c r="G103" s="2962"/>
      <c r="H103" s="2291" t="s">
        <v>1942</v>
      </c>
      <c r="I103" s="1049">
        <f ca="1">I121</f>
        <v>52160</v>
      </c>
    </row>
    <row r="104" spans="1:35" ht="16.5" thickBot="1">
      <c r="A104" s="2907"/>
      <c r="B104" s="2293" t="s">
        <v>1942</v>
      </c>
      <c r="C104" s="725">
        <f ca="1">I121</f>
        <v>52160</v>
      </c>
      <c r="D104" s="726"/>
      <c r="E104" s="2195"/>
      <c r="F104" s="2873"/>
      <c r="G104" s="2874"/>
      <c r="H104" s="2908"/>
      <c r="I104" s="2909"/>
    </row>
    <row r="105" spans="1:35" ht="15.75">
      <c r="A105" s="2867" t="s">
        <v>1945</v>
      </c>
      <c r="B105" s="2868"/>
      <c r="C105" s="2868"/>
      <c r="D105" s="2869"/>
      <c r="E105" s="2195"/>
      <c r="F105" s="2912" t="s">
        <v>1946</v>
      </c>
      <c r="G105" s="2913"/>
      <c r="H105" s="2294" t="str">
        <f>C108</f>
        <v>总额（万元）</v>
      </c>
      <c r="I105" s="1861">
        <f>SUMIF(I106:I108,"&lt;9E307")</f>
        <v>0</v>
      </c>
    </row>
    <row r="106" spans="1:35" ht="15">
      <c r="A106" s="2914" t="s">
        <v>1947</v>
      </c>
      <c r="B106" s="2915"/>
      <c r="C106" s="2291" t="str">
        <f>B101</f>
        <v>总价（万元）</v>
      </c>
      <c r="D106" s="1050">
        <f ca="1">H121</f>
        <v>321</v>
      </c>
      <c r="E106" s="2195"/>
      <c r="F106" s="2875" t="s">
        <v>1948</v>
      </c>
      <c r="G106" s="2876"/>
      <c r="H106" s="2294" t="str">
        <f>C109</f>
        <v>总额（万元）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4"/>
      <c r="B107" s="2915"/>
      <c r="C107" s="2291" t="s">
        <v>1942</v>
      </c>
      <c r="D107" s="1051">
        <f ca="1">I121</f>
        <v>52160</v>
      </c>
      <c r="E107" s="2195"/>
      <c r="F107" s="2875" t="s">
        <v>1949</v>
      </c>
      <c r="G107" s="2876"/>
      <c r="H107" s="2294" t="str">
        <f>C110</f>
        <v>总额（万元）</v>
      </c>
      <c r="I107" s="1049">
        <f>C37</f>
        <v>0</v>
      </c>
      <c r="K107" s="2295"/>
    </row>
    <row r="108" spans="1:35" ht="15">
      <c r="A108" s="2957" t="s">
        <v>1950</v>
      </c>
      <c r="B108" s="2958"/>
      <c r="C108" s="2294" t="str">
        <f>IF(H19="元","总额（元）","总额（万元）")</f>
        <v>总额（万元）</v>
      </c>
      <c r="D108" s="1050">
        <f>IF(D36="正常操作",I106+I107+I108,I107+I108)</f>
        <v>0</v>
      </c>
      <c r="E108" s="2195"/>
      <c r="F108" s="2875" t="s">
        <v>1951</v>
      </c>
      <c r="G108" s="2876"/>
      <c r="H108" s="2294" t="str">
        <f>C111</f>
        <v>总额（万元）</v>
      </c>
      <c r="I108" s="1049">
        <f>C38</f>
        <v>0</v>
      </c>
    </row>
    <row r="109" spans="1:35" ht="15.75">
      <c r="A109" s="2875" t="s">
        <v>1948</v>
      </c>
      <c r="B109" s="2876"/>
      <c r="C109" s="2294" t="str">
        <f>C108</f>
        <v>总额（万元）</v>
      </c>
      <c r="D109" s="637">
        <f>IF(D36="同一抵押权人同一抵押物续贷",C36&amp;"（未扣减，详见特别提示）",C36)</f>
        <v>0</v>
      </c>
      <c r="E109" s="2195"/>
      <c r="F109" s="2873"/>
      <c r="G109" s="2874"/>
      <c r="H109" s="2910"/>
      <c r="I109" s="2911"/>
    </row>
    <row r="110" spans="1:35" ht="28.5" customHeight="1">
      <c r="A110" s="2875" t="s">
        <v>1949</v>
      </c>
      <c r="B110" s="2876"/>
      <c r="C110" s="2294" t="str">
        <f>C108</f>
        <v>总额（万元）</v>
      </c>
      <c r="D110" s="637">
        <f>C37</f>
        <v>0</v>
      </c>
      <c r="E110" s="2195"/>
      <c r="F110" s="2855" t="str">
        <f>IF(项目基本情况!F5="已注销","——","3.房地产抵押价值")</f>
        <v>3.房地产抵押价值</v>
      </c>
      <c r="G110" s="2856"/>
      <c r="H110" s="2296" t="str">
        <f>C112</f>
        <v>总价（万元）</v>
      </c>
      <c r="I110" s="1862">
        <f ca="1">IF(F110="——","——",I102-I105)</f>
        <v>321</v>
      </c>
    </row>
    <row r="111" spans="1:35" ht="15">
      <c r="A111" s="2875" t="s">
        <v>1951</v>
      </c>
      <c r="B111" s="2876"/>
      <c r="C111" s="2294" t="str">
        <f>C108</f>
        <v>总额（万元）</v>
      </c>
      <c r="D111" s="637">
        <f>C38</f>
        <v>0</v>
      </c>
      <c r="E111" s="2195"/>
      <c r="F111" s="2857"/>
      <c r="G111" s="2858"/>
      <c r="H111" s="2291" t="s">
        <v>1942</v>
      </c>
      <c r="I111" s="2297">
        <f ca="1">D113</f>
        <v>52160</v>
      </c>
    </row>
    <row r="112" spans="1:35" ht="26.25" customHeight="1">
      <c r="A112" s="2914" t="str">
        <f>IF(项目基本情况!F5="已注销","——","3.房地产抵押价值")</f>
        <v>3.房地产抵押价值</v>
      </c>
      <c r="B112" s="2915"/>
      <c r="C112" s="2291" t="str">
        <f>B101</f>
        <v>总价（万元）</v>
      </c>
      <c r="D112" s="1050">
        <f ca="1">IF(A112="——","——",D106-D108)</f>
        <v>321</v>
      </c>
      <c r="E112" s="2195"/>
      <c r="F112" s="2855" t="str">
        <f>IF(项目基本情况!F5="已注销及未注销","4.抵押担保权已注销时的房地产抵押价值",IF(项目基本情况!F5="已注销","3.抵押担保权已注销时的房地产抵押价值","——"))</f>
        <v>——</v>
      </c>
      <c r="G112" s="2856"/>
      <c r="H112" s="2296" t="str">
        <f>C114</f>
        <v>总价（万元）</v>
      </c>
      <c r="I112" s="1862" t="str">
        <f>IF(F112="——","——",I102-I107-I108)</f>
        <v>——</v>
      </c>
    </row>
    <row r="113" spans="1:15" ht="15">
      <c r="A113" s="2914"/>
      <c r="B113" s="2915"/>
      <c r="C113" s="2291" t="s">
        <v>1942</v>
      </c>
      <c r="D113" s="1051">
        <f ca="1">ROUND(IF(D112=D106,D107,IF(H19="元",D112/项目基本情况!C12,D112*10000/项目基本情况!C12)),0)</f>
        <v>52160</v>
      </c>
      <c r="E113" s="2195"/>
      <c r="F113" s="2857"/>
      <c r="G113" s="2858"/>
      <c r="H113" s="2291" t="s">
        <v>1942</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总价（万元）</v>
      </c>
      <c r="D114" s="1050" t="str">
        <f>IF(A114="——","——",D106-D110-D111)</f>
        <v>——</v>
      </c>
      <c r="E114" s="2195"/>
      <c r="F114" s="2855" t="str">
        <f>IF(项目基本情况!G5="抵押净值",IF(OR(项目基本情况!F5="已注销",项目基本情况!F5="房地产抵押价值"),"4.抵押净值","5.抵押净值"),"——")</f>
        <v>——</v>
      </c>
      <c r="G114" s="2856"/>
      <c r="H114" s="2291" t="str">
        <f>C116</f>
        <v>总价（万元）</v>
      </c>
      <c r="I114" s="1861" t="str">
        <f>IF(F114="——","——",N59)</f>
        <v>——</v>
      </c>
    </row>
    <row r="115" spans="1:15" ht="15.75" thickBot="1">
      <c r="A115" s="2914"/>
      <c r="B115" s="2915"/>
      <c r="C115" s="2291" t="s">
        <v>1942</v>
      </c>
      <c r="D115" s="1051" t="str">
        <f>IF(A114="——","——",ROUND(IF(D114=D106,D107,IF(H19="元",D114/项目基本情况!C12,D114*10000/项目基本情况!C12)),0))</f>
        <v>——</v>
      </c>
      <c r="E115" s="2195"/>
      <c r="F115" s="2948"/>
      <c r="G115" s="2949"/>
      <c r="H115" s="2299" t="s">
        <v>1942</v>
      </c>
      <c r="I115" s="1863" t="str">
        <f ca="1">D117</f>
        <v>——</v>
      </c>
    </row>
    <row r="116" spans="1:15" ht="15.75">
      <c r="A116" s="2914" t="str">
        <f>IF(项目基本情况!G5="抵押净值",IF(OR(项目基本情况!F5="已注销",项目基本情况!F5="房地产抵押价值"),"4.抵押净值","5.抵押净值"),"——")</f>
        <v>——</v>
      </c>
      <c r="B116" s="2915"/>
      <c r="C116" s="2291" t="str">
        <f>B101</f>
        <v>总价（万元）</v>
      </c>
      <c r="D116" s="1050" t="str">
        <f>IF(A116="——","——",N59)</f>
        <v>——</v>
      </c>
      <c r="E116" s="2195"/>
      <c r="F116" s="2851"/>
      <c r="G116" s="2851"/>
      <c r="H116" s="2893"/>
      <c r="I116" s="2893"/>
      <c r="N116" s="55"/>
      <c r="O116" s="55"/>
    </row>
    <row r="117" spans="1:15" ht="15.75" thickBot="1">
      <c r="A117" s="2955"/>
      <c r="B117" s="2956"/>
      <c r="C117" s="2299" t="s">
        <v>1942</v>
      </c>
      <c r="D117" s="1052" t="str">
        <f ca="1">IF(D116=D112,D113,IF(A116="——","——",N61))</f>
        <v>——</v>
      </c>
      <c r="E117" s="2195"/>
      <c r="F117" s="2945" t="str">
        <f>IF(B32="总价","（以上估价结果中单价为总价除以建筑面积得出）","（以上估价结果中总价为楼面单价乘以建筑面积得出）")</f>
        <v>（以上估价结果中总价为楼面单价乘以建筑面积得出）</v>
      </c>
      <c r="G117" s="2945"/>
      <c r="H117" s="2945"/>
      <c r="I117" s="2945"/>
      <c r="N117" s="55"/>
      <c r="O117" s="55"/>
    </row>
    <row r="118" spans="1:15" ht="15">
      <c r="A118" s="2894" t="s">
        <v>1952</v>
      </c>
      <c r="B118" s="2895"/>
      <c r="C118" s="2895"/>
      <c r="D118" s="2895"/>
      <c r="E118" s="2895"/>
      <c r="F118" s="2895"/>
      <c r="G118" s="2895"/>
      <c r="H118" s="2895"/>
      <c r="I118" s="2895"/>
    </row>
    <row r="119" spans="1:15" ht="14.25">
      <c r="A119" s="2866" t="s">
        <v>1953</v>
      </c>
      <c r="B119" s="2864" t="s">
        <v>1954</v>
      </c>
      <c r="C119" s="2864" t="s">
        <v>1955</v>
      </c>
      <c r="D119" s="2871" t="s">
        <v>1956</v>
      </c>
      <c r="E119" s="2872"/>
      <c r="F119" s="2862" t="s">
        <v>1814</v>
      </c>
      <c r="G119" s="2862"/>
      <c r="H119" s="2862" t="s">
        <v>1957</v>
      </c>
      <c r="I119" s="2863"/>
    </row>
    <row r="120" spans="1:15" ht="14.25">
      <c r="A120" s="2866"/>
      <c r="B120" s="2865"/>
      <c r="C120" s="2865"/>
      <c r="D120" s="1886" t="s">
        <v>1958</v>
      </c>
      <c r="E120" s="1886" t="s">
        <v>1959</v>
      </c>
      <c r="F120" s="1886" t="s">
        <v>1958</v>
      </c>
      <c r="G120" s="1886" t="s">
        <v>1960</v>
      </c>
      <c r="H120" s="1886" t="s">
        <v>1958</v>
      </c>
      <c r="I120" s="637" t="s">
        <v>1960</v>
      </c>
    </row>
    <row r="121" spans="1:15" ht="14.25">
      <c r="A121" s="2181" t="str">
        <f>项目基本情况!I1</f>
        <v>房地产</v>
      </c>
      <c r="B121" s="1886">
        <f>项目基本情况!C12</f>
        <v>61.62</v>
      </c>
      <c r="C121" s="1886">
        <f>项目基本情况!C13</f>
        <v>0</v>
      </c>
      <c r="D121" s="1886">
        <f ca="1">ROUND(IF(B32="总价",C34,IF('数据-取费表'!B3="万元",E121*B121/10000,E121*B121)),0)</f>
        <v>276</v>
      </c>
      <c r="E121" s="1886">
        <f ca="1">ROUND(IF(B32="楼面单价",C34,IF(H19="元",D121/B121,D121*10000/B121)),0)</f>
        <v>44753</v>
      </c>
      <c r="F121" s="1886">
        <f ca="1">ROUND(IF(B32="总价",C35,IF('数据-取费表'!B3="万元",G121*B121/10000,G121*B121)),0)</f>
        <v>46</v>
      </c>
      <c r="G121" s="1886">
        <f ca="1">ROUND(IF(B32="楼面单价",C35,IF(H19="元",F121/B121,F121*10000/B121)),0)</f>
        <v>7407</v>
      </c>
      <c r="H121" s="1886">
        <f ca="1">ROUND(IF(B32="总价",C32,IF('数据-取费表'!B3="万元",I121*B121/10000,I121*B121)),0)</f>
        <v>321</v>
      </c>
      <c r="I121" s="637">
        <f ca="1">ROUND(IF(B32="楼面单价",C32,IF(H19="元",H121/B121,H121*10000/B121)),0)</f>
        <v>52160</v>
      </c>
    </row>
    <row r="122" spans="1:15" ht="14.25">
      <c r="A122" s="2866" t="s">
        <v>1961</v>
      </c>
      <c r="B122" s="2862"/>
      <c r="C122" s="2862"/>
      <c r="D122" s="2898" t="str">
        <f ca="1">IF(H19="元",NUMBERSTRING(INT(D121),2)&amp;"元整",NUMBERSTRING(INT(D121*10000),2)&amp;"元整")</f>
        <v>贰佰柒拾陆万元整</v>
      </c>
      <c r="E122" s="2899"/>
      <c r="F122" s="2898" t="str">
        <f ca="1">IF(H19="元",NUMBERSTRING(INT(F121),2)&amp;"元整",NUMBERSTRING(INT(F121*10000),2)&amp;"元整")</f>
        <v>肆拾陆万元整</v>
      </c>
      <c r="G122" s="2899"/>
      <c r="H122" s="2898" t="str">
        <f ca="1">IF(H19="元",NUMBERSTRING(INT(H121),2)&amp;"元整",NUMBERSTRING(INT(H121*10000),2)&amp;"元整")</f>
        <v>叁佰贰拾壹万元整</v>
      </c>
      <c r="I122" s="2963"/>
    </row>
    <row r="123" spans="1:15" ht="15">
      <c r="A123" s="2900" t="str">
        <f>IF(项目基本情况!D5="房地产市场价值","——",MID(A108,3,LEN(A108)-2))</f>
        <v>估价师所知悉的法定优先受偿款</v>
      </c>
      <c r="B123" s="2901"/>
      <c r="C123" s="2902"/>
      <c r="D123" s="2891">
        <f>I105</f>
        <v>0</v>
      </c>
      <c r="E123" s="2901"/>
      <c r="F123" s="2901"/>
      <c r="G123" s="2901"/>
      <c r="H123" s="2901"/>
      <c r="I123" s="2950"/>
    </row>
    <row r="124" spans="1:15" ht="14.25">
      <c r="A124" s="2903" t="s">
        <v>1961</v>
      </c>
      <c r="B124" s="2904"/>
      <c r="C124" s="2905"/>
      <c r="D124" s="2951">
        <f>H109</f>
        <v>0</v>
      </c>
      <c r="E124" s="2952"/>
      <c r="F124" s="2952"/>
      <c r="G124" s="2952"/>
      <c r="H124" s="2952"/>
      <c r="I124" s="2953"/>
    </row>
    <row r="125" spans="1:15" ht="15">
      <c r="A125" s="2889" t="str">
        <f>IF(项目基本情况!D5="房地产市场价值","——",MID(A112,3,LEN(A112)-2))</f>
        <v>房地产抵押价值</v>
      </c>
      <c r="B125" s="2890"/>
      <c r="C125" s="2890"/>
      <c r="D125" s="2891">
        <f ca="1">I110</f>
        <v>321</v>
      </c>
      <c r="E125" s="2901"/>
      <c r="F125" s="2901"/>
      <c r="G125" s="2901"/>
      <c r="H125" s="2901"/>
      <c r="I125" s="2950"/>
    </row>
    <row r="126" spans="1:15" ht="14.25">
      <c r="A126" s="2866" t="s">
        <v>1961</v>
      </c>
      <c r="B126" s="2862"/>
      <c r="C126" s="2862"/>
      <c r="D126" s="2951">
        <f ca="1">I111</f>
        <v>52160</v>
      </c>
      <c r="E126" s="2952"/>
      <c r="F126" s="2952"/>
      <c r="G126" s="2952"/>
      <c r="H126" s="2952"/>
      <c r="I126" s="2953"/>
    </row>
    <row r="127" spans="1:15" ht="15.75" thickBot="1">
      <c r="A127" s="2889" t="str">
        <f>IF(项目基本情况!D5="房地产市场价值","——",MID(A114,3,LEN(A114)-2))</f>
        <v/>
      </c>
      <c r="B127" s="2890"/>
      <c r="C127" s="2890"/>
      <c r="D127" s="2846" t="str">
        <f>I112</f>
        <v>——</v>
      </c>
      <c r="E127" s="2847"/>
      <c r="F127" s="2847"/>
      <c r="G127" s="2847"/>
      <c r="H127" s="2847"/>
      <c r="I127" s="2848"/>
    </row>
    <row r="128" spans="1:15" ht="15.75" thickTop="1" thickBot="1">
      <c r="A128" s="2866" t="s">
        <v>1961</v>
      </c>
      <c r="B128" s="2862"/>
      <c r="C128" s="2946"/>
      <c r="D128" s="2892" t="str">
        <f>I113</f>
        <v>——</v>
      </c>
      <c r="E128" s="2892"/>
      <c r="F128" s="2892"/>
      <c r="G128" s="2892"/>
      <c r="H128" s="2892"/>
      <c r="I128" s="2892"/>
    </row>
    <row r="129" spans="1:9" ht="16.5" thickTop="1" thickBot="1">
      <c r="A129" s="2889" t="str">
        <f>IF(项目基本情况!D5="房地产市场价值","——",MID(F114,3,LEN(F114)-2))</f>
        <v/>
      </c>
      <c r="B129" s="2890"/>
      <c r="C129" s="2891"/>
      <c r="D129" s="2954" t="str">
        <f>I114</f>
        <v>——</v>
      </c>
      <c r="E129" s="2954"/>
      <c r="F129" s="2954"/>
      <c r="G129" s="2954"/>
      <c r="H129" s="2954"/>
      <c r="I129" s="2954"/>
    </row>
    <row r="130" spans="1:9" ht="15.75" thickTop="1" thickBot="1">
      <c r="A130" s="2959" t="s">
        <v>1961</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（以上估价结果中总价为楼面单价乘以建筑面积得出）</v>
      </c>
      <c r="B132" s="2944"/>
      <c r="C132" s="2944"/>
      <c r="D132" s="2944"/>
      <c r="E132" s="2944"/>
      <c r="F132" s="2944"/>
      <c r="G132" s="2944"/>
      <c r="H132" s="2944"/>
      <c r="I132" s="2944"/>
    </row>
    <row r="133" spans="1:9" ht="21.75" customHeight="1">
      <c r="A133" s="2300" t="s">
        <v>1962</v>
      </c>
      <c r="B133" s="2301"/>
      <c r="C133" s="2302" t="s">
        <v>1963</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1964</v>
      </c>
      <c r="G139" s="2314"/>
      <c r="H139" s="2314"/>
      <c r="I139" s="2315" t="s">
        <v>1965</v>
      </c>
    </row>
    <row r="140" spans="1:9" ht="21.75" customHeight="1">
      <c r="A140" s="797"/>
      <c r="B140" s="2316" t="s">
        <v>1966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1967</v>
      </c>
    </row>
    <row r="143" spans="1:9" ht="21.75" customHeight="1">
      <c r="A143" s="797"/>
      <c r="B143" s="2316" t="s">
        <v>1968</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1967</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1969</v>
      </c>
      <c r="B1" s="2195"/>
      <c r="C1" s="2195"/>
      <c r="D1" s="2195"/>
      <c r="E1" s="2195"/>
      <c r="F1" s="2195"/>
      <c r="G1" s="2195"/>
      <c r="H1" s="2195"/>
      <c r="I1" s="2195"/>
    </row>
    <row r="2" spans="1:12" ht="21.75" customHeight="1">
      <c r="A2" s="2968" t="s">
        <v>1970</v>
      </c>
      <c r="B2" s="2968"/>
      <c r="C2" s="2968"/>
      <c r="D2" s="2968"/>
      <c r="E2" s="2968"/>
      <c r="F2" s="2968"/>
      <c r="G2" s="2968"/>
      <c r="H2" s="2968"/>
      <c r="I2" s="2968"/>
    </row>
    <row r="3" spans="1:12" ht="12.75">
      <c r="A3" s="2922" t="s">
        <v>1774</v>
      </c>
      <c r="B3" s="2923"/>
      <c r="C3" s="2923"/>
      <c r="D3" s="2923"/>
      <c r="E3" s="2923"/>
      <c r="F3" s="2923"/>
      <c r="G3" s="2923"/>
      <c r="H3" s="2923"/>
      <c r="I3" s="2923"/>
    </row>
    <row r="4" spans="1:12" ht="14.25">
      <c r="A4" s="2197" t="s">
        <v>1775</v>
      </c>
      <c r="B4" s="2198" t="s">
        <v>1776</v>
      </c>
      <c r="C4" s="2199"/>
      <c r="D4" s="2199"/>
      <c r="E4" s="2927" t="s">
        <v>1971</v>
      </c>
      <c r="F4" s="2928"/>
      <c r="G4" s="2928"/>
      <c r="H4" s="2928"/>
      <c r="I4" s="292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c r="D14" s="2921"/>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0</v>
      </c>
      <c r="D17" s="57">
        <f>SUM(D5:D16)</f>
        <v>0</v>
      </c>
      <c r="E17" s="2195"/>
      <c r="F17" s="2195"/>
      <c r="G17" s="2195"/>
      <c r="H17" s="2195"/>
      <c r="I17" s="2195"/>
    </row>
    <row r="18" spans="1:35" ht="15.75" thickBot="1">
      <c r="A18" s="2204" t="s">
        <v>1796</v>
      </c>
      <c r="B18" s="2205"/>
      <c r="C18" s="58" t="e">
        <f>ROUND(C17/SUM(C17:D17),2)</f>
        <v>#DIV/0!</v>
      </c>
      <c r="D18" s="58" t="e">
        <f>1-C18</f>
        <v>#DIV/0!</v>
      </c>
      <c r="E18" s="2195"/>
      <c r="F18" s="2195"/>
      <c r="G18" s="2195"/>
      <c r="H18" s="2195"/>
      <c r="I18" s="2195"/>
    </row>
    <row r="19" spans="1:35" ht="15">
      <c r="A19" s="2206" t="s">
        <v>1797</v>
      </c>
      <c r="B19" s="2207" t="s">
        <v>1798</v>
      </c>
      <c r="C19" s="59" t="e">
        <f ca="1">SUMIF(INDIRECT("'"&amp;C4&amp;"'"&amp;"!A:A"),'结果表 (1修多)'!B19,INDIRECT("'"&amp;C4&amp;"'"&amp;"!B:B"))</f>
        <v>#REF!</v>
      </c>
      <c r="D19" s="60" t="e">
        <f ca="1">SUMIF(INDIRECT("'"&amp;D4&amp;"'"&amp;"!A:A"),'结果表 (1修多)'!B19,INDIRECT("'"&amp;D4&amp;"'"&amp;"!B:B"))</f>
        <v>#REF!</v>
      </c>
      <c r="E19" s="2206" t="s">
        <v>1799</v>
      </c>
      <c r="F19" s="2207" t="s">
        <v>1798</v>
      </c>
      <c r="G19" s="61" t="e">
        <f ca="1">ROUND(C19*$C$18+D19*$D$18,0)</f>
        <v>#REF!</v>
      </c>
      <c r="H19" s="2208" t="str">
        <f>'数据-取费表'!B3</f>
        <v>万元</v>
      </c>
      <c r="I19" s="2195"/>
    </row>
    <row r="20" spans="1:35" ht="15">
      <c r="A20" s="2209"/>
      <c r="B20" s="2210" t="s">
        <v>1800</v>
      </c>
      <c r="C20" s="62" t="e">
        <f ca="1">SUMIF(INDIRECT("'"&amp;C4&amp;"'"&amp;"!A:A"),'结果表 (1修多)'!B20,INDIRECT("'"&amp;C4&amp;"'"&amp;"!B:B"))</f>
        <v>#REF!</v>
      </c>
      <c r="D20" s="63" t="e">
        <f ca="1">SUMIF(INDIRECT("'"&amp;D4&amp;"'"&amp;"!A:A"),'结果表 (1修多)'!B20,INDIRECT("'"&amp;D4&amp;"'"&amp;"!B:B"))</f>
        <v>#REF!</v>
      </c>
      <c r="E20" s="2209"/>
      <c r="F20" s="2210" t="s">
        <v>1800</v>
      </c>
      <c r="G20" s="64" t="e">
        <f ca="1">ROUND(C20*$C$18+D20*$D$18,0)</f>
        <v>#REF!</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t="s">
        <v>1972</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1973</v>
      </c>
      <c r="B30" s="2717"/>
      <c r="C30" s="2717"/>
      <c r="D30" s="2717"/>
      <c r="E30" s="2715" t="s">
        <v>2810</v>
      </c>
      <c r="F30" s="2195"/>
      <c r="G30" s="2195"/>
      <c r="H30" s="2195"/>
      <c r="I30" s="2195"/>
    </row>
    <row r="31" spans="1:35" s="2222" customFormat="1" ht="15.75" thickBot="1">
      <c r="A31" s="2978" t="s">
        <v>1974</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1975</v>
      </c>
      <c r="C32" s="1307">
        <f>典型户型修正!R27</f>
        <v>0</v>
      </c>
      <c r="D32" s="2195" t="s">
        <v>1976</v>
      </c>
      <c r="E32" s="2195"/>
      <c r="F32" s="2195"/>
      <c r="G32" s="2195"/>
      <c r="H32" s="2195"/>
      <c r="I32" s="2195"/>
    </row>
    <row r="33" spans="1:16" ht="15">
      <c r="A33" s="2322" t="s">
        <v>1977</v>
      </c>
      <c r="B33" s="2323" t="s">
        <v>1978</v>
      </c>
      <c r="C33" s="1308">
        <f>典型户型修正!B2</f>
        <v>0</v>
      </c>
      <c r="D33" s="2324" t="str">
        <f>IF('数据-取费表'!B3="万元","万元","元")</f>
        <v>万元</v>
      </c>
      <c r="E33" s="2195"/>
      <c r="F33" s="2195"/>
      <c r="G33" s="2195"/>
      <c r="H33" s="2195"/>
      <c r="I33" s="2195"/>
    </row>
    <row r="34" spans="1:16" ht="15.75" thickBot="1">
      <c r="A34" s="2325"/>
      <c r="B34" s="2326" t="s">
        <v>1979</v>
      </c>
      <c r="C34" s="770" t="e">
        <f>典型户型修正!B3</f>
        <v>#DIV/0!</v>
      </c>
      <c r="D34" s="2195" t="s">
        <v>1980</v>
      </c>
      <c r="E34" s="2195"/>
      <c r="F34" s="2195"/>
      <c r="G34" s="2195"/>
      <c r="H34" s="2195"/>
      <c r="I34" s="2195"/>
    </row>
    <row r="35" spans="1:16" ht="15">
      <c r="A35" s="2327"/>
      <c r="B35" s="2328" t="s">
        <v>1981</v>
      </c>
      <c r="C35" s="1315">
        <f>IF('数据-取费表'!B3="万元",典型户型修正!V25,典型户型修正!U25)</f>
        <v>0</v>
      </c>
      <c r="D35" s="2195" t="str">
        <f>D33</f>
        <v>万元</v>
      </c>
      <c r="E35" s="2195"/>
      <c r="F35" s="2195"/>
      <c r="G35" s="2195"/>
      <c r="H35" s="2195"/>
      <c r="I35" s="2195"/>
    </row>
    <row r="36" spans="1:16" ht="15.75" thickBot="1">
      <c r="A36" s="2234"/>
      <c r="B36" s="2329" t="s">
        <v>1982</v>
      </c>
      <c r="C36" s="1316">
        <f>IF('数据-取费表'!B3="万元",典型户型修正!Y25,典型户型修正!X25)</f>
        <v>0</v>
      </c>
      <c r="D36" s="2195" t="str">
        <f>D33</f>
        <v>万元</v>
      </c>
      <c r="E36" s="2195"/>
      <c r="F36" s="2195"/>
      <c r="G36" s="2195"/>
      <c r="H36" s="2195"/>
      <c r="I36" s="2195"/>
    </row>
    <row r="37" spans="1:16" ht="15.75" thickBot="1">
      <c r="A37" s="2935" t="s">
        <v>1983</v>
      </c>
      <c r="B37" s="2237" t="s">
        <v>1984</v>
      </c>
      <c r="C37" s="69"/>
      <c r="D37" s="2238"/>
      <c r="E37" s="2239"/>
      <c r="F37" s="2239"/>
      <c r="G37" s="2195"/>
      <c r="H37" s="2195"/>
      <c r="I37" s="2195"/>
    </row>
    <row r="38" spans="1:16" ht="15.75" thickBot="1">
      <c r="A38" s="2936"/>
      <c r="B38" s="2240" t="s">
        <v>1985</v>
      </c>
      <c r="C38" s="71"/>
      <c r="D38" s="2205"/>
      <c r="E38" s="2205"/>
      <c r="F38" s="2239"/>
      <c r="G38" s="2205"/>
      <c r="H38" s="2205"/>
      <c r="I38" s="2205"/>
    </row>
    <row r="39" spans="1:16" ht="15.75" thickBot="1">
      <c r="A39" s="2937"/>
      <c r="B39" s="2241" t="s">
        <v>1986</v>
      </c>
      <c r="C39" s="711"/>
      <c r="D39" s="2242" t="s">
        <v>1987</v>
      </c>
      <c r="E39" s="2205"/>
      <c r="F39" s="2239"/>
      <c r="G39" s="2205"/>
      <c r="H39" s="2205"/>
      <c r="I39" s="2205"/>
    </row>
    <row r="40" spans="1:16" ht="15">
      <c r="A40" s="2209" t="s">
        <v>1988</v>
      </c>
      <c r="B40" s="2243" t="s">
        <v>1989</v>
      </c>
      <c r="C40" s="2244" t="s">
        <v>1990</v>
      </c>
      <c r="D40" s="2244" t="s">
        <v>1991</v>
      </c>
      <c r="E40" s="2245" t="s">
        <v>1992</v>
      </c>
      <c r="F40" s="2239"/>
      <c r="G40" s="2205"/>
      <c r="H40" s="2205"/>
      <c r="I40" s="2205"/>
    </row>
    <row r="41" spans="1:16" ht="14.25">
      <c r="A41" s="2246" t="s">
        <v>1993</v>
      </c>
      <c r="B41" s="74"/>
      <c r="C41" s="75"/>
      <c r="D41" s="75"/>
      <c r="E41" s="76"/>
      <c r="F41" s="2239"/>
      <c r="G41" s="2205"/>
      <c r="H41" s="2205"/>
      <c r="I41" s="2205"/>
    </row>
    <row r="42" spans="1:16" ht="14.25">
      <c r="A42" s="2246" t="s">
        <v>1994</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1995</v>
      </c>
      <c r="B45" s="2252"/>
      <c r="C45" s="2252"/>
      <c r="D45" s="2253"/>
      <c r="E45" s="2253"/>
      <c r="F45" s="2254"/>
      <c r="G45" s="2254"/>
      <c r="H45" s="2254"/>
      <c r="I45" s="2254"/>
      <c r="J45" s="2255" t="s">
        <v>1826</v>
      </c>
      <c r="K45" s="2256"/>
      <c r="L45" s="2256"/>
      <c r="M45" s="2256"/>
      <c r="N45" s="2256"/>
      <c r="O45" s="2256"/>
      <c r="P45" s="1844"/>
    </row>
    <row r="46" spans="1:16" ht="14.25" customHeight="1" thickBot="1">
      <c r="A46" s="2940" t="s">
        <v>1996</v>
      </c>
      <c r="B46" s="2941"/>
      <c r="C46" s="2942"/>
      <c r="D46" s="80">
        <f>ROUND(I103*F46,0)</f>
        <v>0</v>
      </c>
      <c r="E46" s="81" t="s">
        <v>1997</v>
      </c>
      <c r="F46" s="82">
        <v>1</v>
      </c>
      <c r="G46" s="83" t="s">
        <v>1998</v>
      </c>
      <c r="H46" s="2195"/>
      <c r="I46" s="2195"/>
      <c r="J46" s="2852" t="s">
        <v>1830</v>
      </c>
      <c r="K46" s="2852"/>
      <c r="L46" s="2852"/>
      <c r="M46" s="2852"/>
      <c r="N46" s="2852"/>
      <c r="O46" s="2852"/>
      <c r="P46" s="1844"/>
    </row>
    <row r="47" spans="1:16" ht="14.25" customHeight="1">
      <c r="A47" s="2932" t="s">
        <v>1831</v>
      </c>
      <c r="B47" s="2933"/>
      <c r="C47" s="2933"/>
      <c r="D47" s="2933"/>
      <c r="E47" s="2933"/>
      <c r="F47" s="2933"/>
      <c r="G47" s="2934"/>
      <c r="H47" s="2257"/>
      <c r="I47" s="1143"/>
      <c r="J47" s="1882">
        <v>1</v>
      </c>
      <c r="K47" s="2852" t="s">
        <v>1832</v>
      </c>
      <c r="L47" s="2852"/>
      <c r="M47" s="2967"/>
      <c r="N47" s="2967"/>
      <c r="O47" s="2967"/>
      <c r="P47" s="1844"/>
    </row>
    <row r="48" spans="1:16" ht="12" customHeight="1">
      <c r="A48" s="85" t="s">
        <v>1833</v>
      </c>
      <c r="B48" s="86"/>
      <c r="C48" s="87"/>
      <c r="D48" s="88" t="s">
        <v>1834</v>
      </c>
      <c r="E48" s="14" t="s">
        <v>1835</v>
      </c>
      <c r="F48" s="89" t="s">
        <v>1836</v>
      </c>
      <c r="G48" s="90" t="s">
        <v>1837</v>
      </c>
      <c r="H48" s="2257"/>
      <c r="I48" s="1143"/>
      <c r="J48" s="1882">
        <v>2</v>
      </c>
      <c r="K48" s="2852" t="s">
        <v>1838</v>
      </c>
      <c r="L48" s="2852"/>
      <c r="M48" s="2854">
        <f>'数据-取费表'!B2</f>
        <v>43284</v>
      </c>
      <c r="N48" s="2854"/>
      <c r="O48" s="2854"/>
      <c r="P48" s="1844"/>
    </row>
    <row r="49" spans="1:16" ht="25.5">
      <c r="A49" s="2938" t="s">
        <v>1839</v>
      </c>
      <c r="B49" s="2939"/>
      <c r="C49" s="2939"/>
      <c r="D49" s="56">
        <f>IF(H49="情况1",0,IF(H49="情况2",D53,IF(H49="情况3",D54,IF(H49="情况4",D55))))</f>
        <v>0</v>
      </c>
      <c r="E49" s="1892" t="str">
        <f>IF(H49="情况4","(销售额-原购置价)×税（费）率","销售额×税（费）率")</f>
        <v>销售额×税（费）率</v>
      </c>
      <c r="F49" s="91">
        <f>IF(H49="情况1","免征",'数据-取费表'!E29)</f>
        <v>5.6000000000000001E-2</v>
      </c>
      <c r="G49" s="2258" t="s">
        <v>1840</v>
      </c>
      <c r="H49" s="2259" t="s">
        <v>1841</v>
      </c>
      <c r="I49" s="2257"/>
      <c r="J49" s="1882">
        <v>3</v>
      </c>
      <c r="K49" s="2852" t="s">
        <v>1842</v>
      </c>
      <c r="L49" s="2852"/>
      <c r="M49" s="2853">
        <f>I103</f>
        <v>0</v>
      </c>
      <c r="N49" s="2853"/>
      <c r="O49" s="2853"/>
      <c r="P49" s="1844"/>
    </row>
    <row r="50" spans="1:16" ht="25.5" customHeight="1">
      <c r="A50" s="92" t="s">
        <v>1843</v>
      </c>
      <c r="B50" s="2919" t="s">
        <v>1844</v>
      </c>
      <c r="C50" s="2919"/>
      <c r="D50" s="93">
        <v>0</v>
      </c>
      <c r="E50" s="13" t="s">
        <v>1845</v>
      </c>
      <c r="F50" s="18" t="s">
        <v>48</v>
      </c>
      <c r="G50" s="2843"/>
      <c r="H50" s="2195"/>
      <c r="I50" s="2260"/>
      <c r="J50" s="1882">
        <v>4</v>
      </c>
      <c r="K50" s="2852" t="str">
        <f>IF(项目基本情况!F5="房地产抵押价值","房地产抵押价值","抵押担保权已注销时的房地产抵押价值")</f>
        <v>抵押担保权已注销时的房地产抵押价值</v>
      </c>
      <c r="L50" s="2852"/>
      <c r="M50" s="2853" t="str">
        <f>IF(项目基本情况!F5="房地产抵押价值",I111,I113)</f>
        <v>——</v>
      </c>
      <c r="N50" s="2853"/>
      <c r="O50" s="2853"/>
      <c r="P50" s="1844"/>
    </row>
    <row r="51" spans="1:16" ht="25.5" customHeight="1">
      <c r="A51" s="94"/>
      <c r="B51" s="2919" t="s">
        <v>1846</v>
      </c>
      <c r="C51" s="2919"/>
      <c r="D51" s="95"/>
      <c r="E51" s="21"/>
      <c r="F51" s="96"/>
      <c r="G51" s="2844"/>
      <c r="H51" s="2195"/>
      <c r="I51" s="2260"/>
      <c r="J51" s="2852" t="s">
        <v>1847</v>
      </c>
      <c r="K51" s="2852"/>
      <c r="L51" s="2852"/>
      <c r="M51" s="2852"/>
      <c r="N51" s="2852"/>
      <c r="O51" s="2852"/>
      <c r="P51" s="1844"/>
    </row>
    <row r="52" spans="1:16" ht="12" customHeight="1">
      <c r="A52" s="97"/>
      <c r="B52" s="2919" t="s">
        <v>1848</v>
      </c>
      <c r="C52" s="2919"/>
      <c r="D52" s="98"/>
      <c r="E52" s="20"/>
      <c r="F52" s="96"/>
      <c r="G52" s="2845"/>
      <c r="H52" s="2195"/>
      <c r="I52" s="2260"/>
      <c r="J52" s="2261" t="s">
        <v>1849</v>
      </c>
      <c r="K52" s="2852" t="s">
        <v>1850</v>
      </c>
      <c r="L52" s="2852"/>
      <c r="M52" s="2261" t="s">
        <v>1851</v>
      </c>
      <c r="N52" s="2261" t="s">
        <v>1852</v>
      </c>
      <c r="O52" s="2261" t="s">
        <v>1853</v>
      </c>
      <c r="P52" s="1844"/>
    </row>
    <row r="53" spans="1:16" ht="24" customHeight="1">
      <c r="A53" s="99" t="s">
        <v>1854</v>
      </c>
      <c r="B53" s="2919" t="s">
        <v>1855</v>
      </c>
      <c r="C53" s="2919"/>
      <c r="D53" s="98">
        <f>ROUND(D46*'数据-取费表'!E29/(1+'数据-取费表'!F30),0)</f>
        <v>0</v>
      </c>
      <c r="E53" s="10" t="s">
        <v>1856</v>
      </c>
      <c r="F53" s="100">
        <f>'数据-取费表'!E29</f>
        <v>5.6000000000000001E-2</v>
      </c>
      <c r="G53" s="2262"/>
      <c r="H53" s="2195"/>
      <c r="I53" s="2260"/>
      <c r="J53" s="1882">
        <v>1</v>
      </c>
      <c r="K53" s="2842" t="s">
        <v>1857</v>
      </c>
      <c r="L53" s="2842"/>
      <c r="M53" s="777">
        <f>D49</f>
        <v>0</v>
      </c>
      <c r="N53" s="1882" t="str">
        <f>E49</f>
        <v>销售额×税（费）率</v>
      </c>
      <c r="O53" s="778">
        <f>F49</f>
        <v>5.6000000000000001E-2</v>
      </c>
      <c r="P53" s="1844"/>
    </row>
    <row r="54" spans="1:16" ht="12" customHeight="1">
      <c r="A54" s="99" t="s">
        <v>1858</v>
      </c>
      <c r="B54" s="2918" t="s">
        <v>1859</v>
      </c>
      <c r="C54" s="2812"/>
      <c r="D54" s="98">
        <f>ROUND(D46*'数据-取费表'!E29/(1+'数据-取费表'!F30),0)</f>
        <v>0</v>
      </c>
      <c r="E54" s="10" t="s">
        <v>1856</v>
      </c>
      <c r="F54" s="100">
        <f>'数据-取费表'!E29</f>
        <v>5.6000000000000001E-2</v>
      </c>
      <c r="G54" s="2262"/>
      <c r="H54" s="2195"/>
      <c r="I54" s="2260"/>
      <c r="J54" s="1882">
        <v>2</v>
      </c>
      <c r="K54" s="2842" t="s">
        <v>1860</v>
      </c>
      <c r="L54" s="2842"/>
      <c r="M54" s="777">
        <f t="shared" ref="M54:O55" si="1">D56</f>
        <v>0</v>
      </c>
      <c r="N54" s="1882" t="str">
        <f t="shared" si="1"/>
        <v>销售额×税（费）率</v>
      </c>
      <c r="O54" s="778">
        <f t="shared" si="1"/>
        <v>5.0000000000000001E-4</v>
      </c>
      <c r="P54" s="1844"/>
    </row>
    <row r="55" spans="1:16" ht="12" customHeight="1">
      <c r="A55" s="99" t="s">
        <v>1861</v>
      </c>
      <c r="B55" s="2918" t="s">
        <v>1862</v>
      </c>
      <c r="C55" s="2812"/>
      <c r="D55" s="98">
        <f>C69</f>
        <v>0</v>
      </c>
      <c r="E55" s="20" t="s">
        <v>1863</v>
      </c>
      <c r="F55" s="100">
        <f>'数据-取费表'!E29</f>
        <v>5.6000000000000001E-2</v>
      </c>
      <c r="G55" s="2262"/>
      <c r="H55" s="2263"/>
      <c r="I55" s="2260"/>
      <c r="J55" s="1882">
        <v>3</v>
      </c>
      <c r="K55" s="2842" t="s">
        <v>1864</v>
      </c>
      <c r="L55" s="2842"/>
      <c r="M55" s="777">
        <f t="shared" si="1"/>
        <v>0</v>
      </c>
      <c r="N55" s="1882" t="str">
        <f t="shared" si="1"/>
        <v>增值额×税（费）率</v>
      </c>
      <c r="O55" s="779" t="str">
        <f t="shared" si="1"/>
        <v>——</v>
      </c>
      <c r="P55" s="1844"/>
    </row>
    <row r="56" spans="1:16" ht="24" customHeight="1">
      <c r="A56" s="2804" t="s">
        <v>1865</v>
      </c>
      <c r="B56" s="2939"/>
      <c r="C56" s="2939"/>
      <c r="D56" s="101">
        <f>IF(H56="个人住宅",0,ROUND(D46*I56,0))</f>
        <v>0</v>
      </c>
      <c r="E56" s="10" t="s">
        <v>1866</v>
      </c>
      <c r="F56" s="100">
        <f>IF(H56="正常",I56,"免征")</f>
        <v>5.0000000000000001E-4</v>
      </c>
      <c r="G56" s="2262"/>
      <c r="H56" s="2259" t="s">
        <v>1867</v>
      </c>
      <c r="I56" s="102">
        <f>'数据-取费表'!E37</f>
        <v>5.0000000000000001E-4</v>
      </c>
      <c r="J56" s="1882" t="str">
        <f>IF(H60="非个人房产","",4)</f>
        <v/>
      </c>
      <c r="K56" s="2842" t="str">
        <f>IF(H60="非个人房产","——","个人所得税")</f>
        <v>——</v>
      </c>
      <c r="L56" s="2842"/>
      <c r="M56" s="780" t="str">
        <f>D60</f>
        <v>——</v>
      </c>
      <c r="N56" s="1885" t="str">
        <f>E60</f>
        <v>——</v>
      </c>
      <c r="O56" s="781" t="str">
        <f>F60</f>
        <v>——</v>
      </c>
      <c r="P56" s="1844"/>
    </row>
    <row r="57" spans="1:16" ht="24.75">
      <c r="A57" s="2804" t="s">
        <v>1868</v>
      </c>
      <c r="B57" s="2939"/>
      <c r="C57" s="2939"/>
      <c r="D57" s="101">
        <f>IF(H57="个人住宅",D58,D59)</f>
        <v>0</v>
      </c>
      <c r="E57" s="10" t="s">
        <v>1869</v>
      </c>
      <c r="F57" s="100" t="str">
        <f>IF(H57="正常",F59,"免征")</f>
        <v>——</v>
      </c>
      <c r="G57" s="2264" t="s">
        <v>1870</v>
      </c>
      <c r="H57" s="2265" t="s">
        <v>1867</v>
      </c>
      <c r="I57" s="1021"/>
      <c r="J57" s="1882" t="str">
        <f>IF(项目基本情况!I6="上海银行",IF(J56="",4,J56+1),"")</f>
        <v/>
      </c>
      <c r="K57" s="2859" t="str">
        <f>IF(项目基本情况!I6="上海银行","其他处置费用","")</f>
        <v/>
      </c>
      <c r="L57" s="2860"/>
      <c r="M57" s="777" t="str">
        <f>IF(项目基本情况!I6="上海银行",M70,"")</f>
        <v/>
      </c>
      <c r="N57" s="2840" t="str">
        <f>IF(项目基本情况!I6="上海银行","包含处置中涉及的律师、诉讼、拍卖、评估等费用","")</f>
        <v/>
      </c>
      <c r="O57" s="2841"/>
      <c r="P57" s="1844"/>
    </row>
    <row r="58" spans="1:16" ht="12.75">
      <c r="A58" s="99" t="s">
        <v>1843</v>
      </c>
      <c r="B58" s="2927" t="s">
        <v>1871</v>
      </c>
      <c r="C58" s="2929"/>
      <c r="D58" s="103">
        <v>0</v>
      </c>
      <c r="E58" s="13" t="s">
        <v>1845</v>
      </c>
      <c r="F58" s="70"/>
      <c r="G58" s="2262"/>
      <c r="H58" s="1021"/>
      <c r="I58" s="1021"/>
      <c r="J58" s="2842">
        <f>IF(AND(J56="",J57=""),4,IF(项目基本情况!I6="上海银行",J57+1,J56+1))</f>
        <v>4</v>
      </c>
      <c r="K58" s="2842" t="s">
        <v>1872</v>
      </c>
      <c r="L58" s="2266" t="s">
        <v>1873</v>
      </c>
      <c r="M58" s="782"/>
      <c r="N58" s="783">
        <f>SUMIF(M53:M57,"&lt;9e307")</f>
        <v>0</v>
      </c>
      <c r="O58" s="2267"/>
      <c r="P58" s="1840" t="e">
        <f>N58/M50</f>
        <v>#VALUE!</v>
      </c>
    </row>
    <row r="59" spans="1:16" ht="24.75">
      <c r="A59" s="99" t="s">
        <v>1854</v>
      </c>
      <c r="B59" s="2927" t="s">
        <v>1874</v>
      </c>
      <c r="C59" s="2928"/>
      <c r="D59" s="101">
        <f>IF(H59="转让取得",C82,C98)</f>
        <v>0</v>
      </c>
      <c r="E59" s="10" t="s">
        <v>1869</v>
      </c>
      <c r="F59" s="14" t="s">
        <v>48</v>
      </c>
      <c r="G59" s="2262"/>
      <c r="H59" s="2265" t="s">
        <v>1875</v>
      </c>
      <c r="I59" s="1021"/>
      <c r="J59" s="2842"/>
      <c r="K59" s="2842"/>
      <c r="L59" s="2266" t="s">
        <v>1876</v>
      </c>
      <c r="M59" s="784"/>
      <c r="N59" s="2268" t="str">
        <f>IF(H19="元",NUMBERSTRING(INT(N58),2)&amp;"元整",NUMBERSTRING(INT(N58*10000),2)&amp;"元整")</f>
        <v>零元整</v>
      </c>
      <c r="O59" s="2269"/>
      <c r="P59" s="1844"/>
    </row>
    <row r="60" spans="1:16" ht="24.75" thickBot="1">
      <c r="A60" s="2805" t="s">
        <v>1877</v>
      </c>
      <c r="B60" s="2808"/>
      <c r="C60" s="2808"/>
      <c r="D60" s="104" t="str">
        <f>IF(H60="非个人房产","——",IF(H60="个人住宅",0,ROUND(D46*I60,0)))</f>
        <v>——</v>
      </c>
      <c r="E60" s="105" t="str">
        <f>IF(H60="非个人房产","——","销售额×税（费）率")</f>
        <v>——</v>
      </c>
      <c r="F60" s="106" t="str">
        <f>IF(H60="非个人房产","——",IF(H60="个人住宅","免征",I60))</f>
        <v>——</v>
      </c>
      <c r="G60" s="2270" t="s">
        <v>1870</v>
      </c>
      <c r="H60" s="2265" t="s">
        <v>1999</v>
      </c>
      <c r="I60" s="107">
        <v>0.01</v>
      </c>
      <c r="J60" s="2896">
        <f>J58+1</f>
        <v>5</v>
      </c>
      <c r="K60" s="2842" t="s">
        <v>1879</v>
      </c>
      <c r="L60" s="1882" t="s">
        <v>1873</v>
      </c>
      <c r="M60" s="785"/>
      <c r="N60" s="786" t="e">
        <f>M50-N58</f>
        <v>#VALUE!</v>
      </c>
      <c r="O60" s="2271"/>
      <c r="P60" s="1844"/>
    </row>
    <row r="61" spans="1:16" ht="12" customHeight="1">
      <c r="A61" s="2066"/>
      <c r="B61" s="2195"/>
      <c r="C61" s="2195"/>
      <c r="D61" s="2195"/>
      <c r="E61" s="1021"/>
      <c r="F61" s="1021"/>
      <c r="G61" s="1021"/>
      <c r="H61" s="2248"/>
      <c r="I61" s="2195"/>
      <c r="J61" s="2897"/>
      <c r="K61" s="2842"/>
      <c r="L61" s="2266" t="s">
        <v>1876</v>
      </c>
      <c r="M61" s="784"/>
      <c r="N61" s="2268" t="e">
        <f>IF(H19="元",NUMBERSTRING(INT(N60),2)&amp;"元整",NUMBERSTRING(INT(N60*10000),2)&amp;"元整")</f>
        <v>#VALUE!</v>
      </c>
      <c r="O61" s="2269"/>
      <c r="P61" s="1844"/>
    </row>
    <row r="62" spans="1:16" ht="13.5" thickBot="1">
      <c r="A62" s="2943" t="s">
        <v>1880</v>
      </c>
      <c r="B62" s="2943"/>
      <c r="C62" s="2943"/>
      <c r="D62" s="2943"/>
      <c r="E62" s="2943"/>
      <c r="F62" s="1021"/>
      <c r="G62" s="1021"/>
      <c r="H62" s="2248"/>
      <c r="I62" s="2195"/>
      <c r="J62" s="1882">
        <f>J60+1</f>
        <v>6</v>
      </c>
      <c r="K62" s="2842" t="s">
        <v>1881</v>
      </c>
      <c r="L62" s="2842"/>
      <c r="M62" s="787"/>
      <c r="N62" s="788" t="e">
        <f>IF(H19="元",ROUND(N60/项目基本情况!C12,0),ROUND(N60*10000/项目基本情况!C12,0))</f>
        <v>#VALUE!</v>
      </c>
      <c r="O62" s="2272"/>
      <c r="P62" s="1844"/>
    </row>
    <row r="63" spans="1:16" ht="12.75">
      <c r="A63" s="2880" t="s">
        <v>1882</v>
      </c>
      <c r="B63" s="2881"/>
      <c r="C63" s="1884"/>
      <c r="D63" s="1884" t="s">
        <v>1883</v>
      </c>
      <c r="E63" s="108" t="s">
        <v>1884</v>
      </c>
      <c r="F63" s="1021"/>
      <c r="G63" s="1021"/>
      <c r="H63" s="2248"/>
      <c r="I63" s="2195"/>
      <c r="J63" s="1844"/>
      <c r="K63" s="1844"/>
      <c r="L63" s="1844"/>
      <c r="M63" s="1844"/>
      <c r="N63" s="1844"/>
      <c r="O63" s="1844"/>
      <c r="P63" s="1844"/>
    </row>
    <row r="64" spans="1:16" ht="12.75">
      <c r="A64" s="109">
        <v>1</v>
      </c>
      <c r="B64" s="110" t="s">
        <v>1885</v>
      </c>
      <c r="C64" s="111">
        <f>ROUND((C65+C66)/(1+'数据-取费表'!F30),0)</f>
        <v>0</v>
      </c>
      <c r="D64" s="112"/>
      <c r="E64" s="113"/>
      <c r="F64" s="1021"/>
      <c r="G64" s="1021"/>
      <c r="H64" s="2248"/>
      <c r="I64" s="2195"/>
      <c r="J64" s="2861" t="s">
        <v>1886</v>
      </c>
      <c r="K64" s="2273" t="s">
        <v>1887</v>
      </c>
      <c r="L64" s="1843" t="e">
        <f>IF(M50&gt;10000,M50*0.5%,IF(AND(M50&gt;1000,M50&lt;=10000),M50*1%,IF(AND(M50&gt;100,M50&lt;=1000),M50*3%,IF(AND(M50&gt;10,M50&lt;=100),M50*5%,M50*8%))))</f>
        <v>#VALUE!</v>
      </c>
      <c r="M64" s="14" t="e">
        <f>ROUND(L64,1)</f>
        <v>#VALUE!</v>
      </c>
      <c r="N64" s="1844"/>
      <c r="O64" s="1844"/>
      <c r="P64" s="1844"/>
    </row>
    <row r="65" spans="1:35" ht="12.75">
      <c r="A65" s="114" t="s">
        <v>71</v>
      </c>
      <c r="B65" s="115" t="s">
        <v>1888</v>
      </c>
      <c r="C65" s="116">
        <f>D46</f>
        <v>0</v>
      </c>
      <c r="D65" s="117" t="s">
        <v>41</v>
      </c>
      <c r="E65" s="118"/>
      <c r="F65" s="1021"/>
      <c r="G65" s="1021"/>
      <c r="H65" s="2248"/>
      <c r="I65" s="2195"/>
      <c r="J65" s="2861"/>
      <c r="K65" s="2273" t="s">
        <v>1889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1890</v>
      </c>
      <c r="O65" s="1844"/>
      <c r="P65" s="1844"/>
    </row>
    <row r="66" spans="1:35" ht="12.75">
      <c r="A66" s="114" t="s">
        <v>72</v>
      </c>
      <c r="B66" s="115" t="s">
        <v>1891</v>
      </c>
      <c r="C66" s="119"/>
      <c r="D66" s="117"/>
      <c r="E66" s="118"/>
      <c r="F66" s="1021"/>
      <c r="G66" s="1021"/>
      <c r="H66" s="2248"/>
      <c r="I66" s="2195"/>
      <c r="J66" s="2861"/>
      <c r="K66" s="2273" t="s">
        <v>1892</v>
      </c>
      <c r="L66" s="1843" t="e">
        <f>IF(M50&gt;1000,M50*0.1%,IF(AND(M50&gt;500,M50&lt;=1000),M50*0.5%,IF(AND(M50&gt;50,M50&lt;=500),M50*1%,IF(AND(M50&gt;1,M50&lt;=50),M50*1.5%))))</f>
        <v>#VALUE!</v>
      </c>
      <c r="M66" s="14" t="e">
        <f t="shared" si="2"/>
        <v>#VALUE!</v>
      </c>
      <c r="N66" s="1844" t="s">
        <v>1890</v>
      </c>
      <c r="O66" s="1844"/>
      <c r="P66" s="1844"/>
    </row>
    <row r="67" spans="1:35" ht="12.75">
      <c r="A67" s="120" t="s">
        <v>47</v>
      </c>
      <c r="B67" s="121" t="s">
        <v>1893</v>
      </c>
      <c r="C67" s="122"/>
      <c r="D67" s="123" t="s">
        <v>41</v>
      </c>
      <c r="E67" s="1860" t="s">
        <v>1894</v>
      </c>
      <c r="F67" s="1021"/>
      <c r="G67" s="1021"/>
      <c r="H67" s="2248"/>
      <c r="I67" s="2195"/>
      <c r="J67" s="2861"/>
      <c r="K67" s="2273" t="s">
        <v>1895</v>
      </c>
      <c r="L67" s="1843" t="e">
        <f>M50*0.5%</f>
        <v>#VALUE!</v>
      </c>
      <c r="M67" s="14" t="e">
        <f>IF(L67&gt;0.5,0.5,ROUND(L67,0))</f>
        <v>#VALUE!</v>
      </c>
      <c r="N67" s="1844" t="s">
        <v>1896</v>
      </c>
      <c r="O67" s="1844"/>
      <c r="P67" s="1844"/>
    </row>
    <row r="68" spans="1:35" ht="12.75">
      <c r="A68" s="120" t="s">
        <v>42</v>
      </c>
      <c r="B68" s="121" t="s">
        <v>1897</v>
      </c>
      <c r="C68" s="124">
        <f>C64-C67</f>
        <v>0</v>
      </c>
      <c r="D68" s="117" t="s">
        <v>41</v>
      </c>
      <c r="E68" s="118"/>
      <c r="F68" s="1021"/>
      <c r="G68" s="1021"/>
      <c r="H68" s="2248"/>
      <c r="I68" s="2195"/>
      <c r="J68" s="2861"/>
      <c r="K68" s="2273" t="s">
        <v>1898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1899</v>
      </c>
      <c r="C69" s="127">
        <f>IF(C68&lt;=0,0,ROUND(C68*D69,0))</f>
        <v>0</v>
      </c>
      <c r="D69" s="128">
        <f>'数据-取费表'!E29</f>
        <v>5.6000000000000001E-2</v>
      </c>
      <c r="E69" s="129"/>
      <c r="F69" s="1021"/>
      <c r="G69" s="1021"/>
      <c r="H69" s="2248"/>
      <c r="I69" s="2195"/>
      <c r="J69" s="2861"/>
      <c r="K69" s="2273" t="s">
        <v>1900</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61"/>
      <c r="K70" s="2273" t="s">
        <v>1901</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882" t="s">
        <v>1902</v>
      </c>
      <c r="B71" s="2883"/>
      <c r="C71" s="2883"/>
      <c r="D71" s="2883"/>
      <c r="E71" s="2883"/>
      <c r="F71" s="2883"/>
      <c r="G71" s="2883"/>
      <c r="H71" s="2883"/>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880" t="s">
        <v>1882</v>
      </c>
      <c r="B72" s="2881"/>
      <c r="C72" s="1884"/>
      <c r="D72" s="1884" t="s">
        <v>1883</v>
      </c>
      <c r="E72" s="130" t="s">
        <v>1884</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1903</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1905</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1906</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1907</v>
      </c>
      <c r="C76" s="137"/>
      <c r="D76" s="117" t="s">
        <v>41</v>
      </c>
      <c r="E76" s="138" t="s">
        <v>1908</v>
      </c>
      <c r="F76" s="2284"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1911</v>
      </c>
      <c r="C77" s="117">
        <f>IF(F76="购房发票",ROUND(C76*H76*D77,0),0)</f>
        <v>0</v>
      </c>
      <c r="D77" s="141">
        <v>0.05</v>
      </c>
      <c r="E77" s="2918" t="s">
        <v>1912</v>
      </c>
      <c r="F77" s="2919"/>
      <c r="G77" s="2919"/>
      <c r="H77" s="292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5" t="s">
        <v>1915</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1916</v>
      </c>
      <c r="C79" s="144">
        <f>ROUND(D46*D79/(1+'数据-取费表'!F30),0)</f>
        <v>0</v>
      </c>
      <c r="D79" s="145">
        <f>'数据-取费表'!E31</f>
        <v>6.000000000000001E-3</v>
      </c>
      <c r="E79" s="2849" t="s">
        <v>1917</v>
      </c>
      <c r="F79" s="2850"/>
      <c r="G79" s="2850"/>
      <c r="H79" s="2870"/>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1918</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882" t="s">
        <v>1921</v>
      </c>
      <c r="B84" s="2883"/>
      <c r="C84" s="2883"/>
      <c r="D84" s="2883"/>
      <c r="E84" s="2883"/>
      <c r="F84" s="2883"/>
      <c r="G84" s="2883"/>
      <c r="H84" s="2883"/>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880" t="s">
        <v>1882</v>
      </c>
      <c r="B85" s="288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1923</v>
      </c>
      <c r="C89" s="157"/>
      <c r="D89" s="145"/>
      <c r="E89" s="158" t="s">
        <v>1924</v>
      </c>
      <c r="F89" s="1881"/>
      <c r="G89" s="159" t="s">
        <v>1925</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1928</v>
      </c>
      <c r="C92" s="144">
        <f>IF(H92="——",成本法!C33,I92)</f>
        <v>0</v>
      </c>
      <c r="D92" s="145"/>
      <c r="E92" s="2849" t="s">
        <v>1929</v>
      </c>
      <c r="F92" s="2850"/>
      <c r="G92" s="2850"/>
      <c r="H92" s="2288" t="s">
        <v>1930</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1931</v>
      </c>
      <c r="C93" s="144">
        <f>ROUND((C88+C91+C92)*D93,0)</f>
        <v>0</v>
      </c>
      <c r="D93" s="145">
        <v>0.1</v>
      </c>
      <c r="E93" s="2849" t="s">
        <v>1932</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1916</v>
      </c>
      <c r="C94" s="144">
        <f>ROUND(D46*D94/(1+'数据-取费表'!F30),0)</f>
        <v>0</v>
      </c>
      <c r="D94" s="145">
        <f>'数据-取费表'!E31</f>
        <v>6.000000000000001E-3</v>
      </c>
      <c r="E94" s="2849" t="s">
        <v>1917</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1933</v>
      </c>
      <c r="C95" s="144">
        <f>ROUND((C88+C91+C92)*D95,0)</f>
        <v>0</v>
      </c>
      <c r="D95" s="145">
        <v>0.2</v>
      </c>
      <c r="E95" s="2849" t="s">
        <v>1934</v>
      </c>
      <c r="F95" s="2850"/>
      <c r="G95" s="2850"/>
      <c r="H95" s="2870"/>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1935</v>
      </c>
      <c r="B99" s="2195"/>
      <c r="C99" s="2195"/>
      <c r="D99" s="2195"/>
      <c r="E99" s="1021"/>
      <c r="F99" s="1021"/>
      <c r="G99" s="1021"/>
      <c r="H99" s="2248"/>
      <c r="I99" s="2195"/>
    </row>
    <row r="100" spans="1:35" ht="15.75">
      <c r="A100" s="2867" t="s">
        <v>1936</v>
      </c>
      <c r="B100" s="2868"/>
      <c r="C100" s="2868"/>
      <c r="D100" s="2869"/>
      <c r="E100" s="2195"/>
      <c r="F100" s="2877" t="s">
        <v>1937</v>
      </c>
      <c r="G100" s="2878"/>
      <c r="H100" s="2878"/>
      <c r="I100" s="2879"/>
    </row>
    <row r="101" spans="1:35" ht="15.75">
      <c r="A101" s="2884" t="s">
        <v>1938</v>
      </c>
      <c r="B101" s="2885"/>
      <c r="C101" s="719">
        <f>C4</f>
        <v>0</v>
      </c>
      <c r="D101" s="720">
        <f>D4</f>
        <v>0</v>
      </c>
      <c r="E101" s="2195"/>
      <c r="F101" s="2886" t="s">
        <v>1939</v>
      </c>
      <c r="G101" s="2888"/>
      <c r="H101" s="2969" t="s">
        <v>1940</v>
      </c>
      <c r="I101" s="2887"/>
    </row>
    <row r="102" spans="1:35" ht="15.75">
      <c r="A102" s="2970" t="s">
        <v>2000</v>
      </c>
      <c r="B102" s="2290" t="str">
        <f>IF(H19="元","总价（元）","总价（万元）")</f>
        <v>总价（万元）</v>
      </c>
      <c r="C102" s="719" t="e">
        <f ca="1">C19</f>
        <v>#REF!</v>
      </c>
      <c r="D102" s="720" t="e">
        <f ca="1">D19</f>
        <v>#REF!</v>
      </c>
      <c r="E102" s="2195"/>
      <c r="F102" s="2971"/>
      <c r="G102" s="2972"/>
      <c r="H102" s="2947">
        <f>典型户型修正!B25</f>
        <v>0</v>
      </c>
      <c r="I102" s="2887"/>
    </row>
    <row r="103" spans="1:35" ht="15.75">
      <c r="A103" s="2970"/>
      <c r="B103" s="2290" t="s">
        <v>1942</v>
      </c>
      <c r="C103" s="721" t="e">
        <f ca="1">C20</f>
        <v>#REF!</v>
      </c>
      <c r="D103" s="722" t="e">
        <f ca="1">D20</f>
        <v>#REF!</v>
      </c>
      <c r="E103" s="2195"/>
      <c r="F103" s="2961" t="s">
        <v>1943</v>
      </c>
      <c r="G103" s="2962"/>
      <c r="H103" s="2291" t="str">
        <f>C109</f>
        <v>总价（万元）</v>
      </c>
      <c r="I103" s="1861">
        <f>H124</f>
        <v>0</v>
      </c>
    </row>
    <row r="104" spans="1:35" ht="15">
      <c r="A104" s="2970" t="s">
        <v>2001</v>
      </c>
      <c r="B104" s="2292" t="str">
        <f>B102</f>
        <v>总价（万元）</v>
      </c>
      <c r="C104" s="1189" t="e">
        <f ca="1">ROUND(IF('数据-取费表'!B4="总价",G19,IF(H19="元",G20*'数据-取费表'!E5,G20*'数据-取费表'!E5/10000)),0)</f>
        <v>#REF!</v>
      </c>
      <c r="D104" s="724"/>
      <c r="E104" s="2195"/>
      <c r="F104" s="2961"/>
      <c r="G104" s="2962"/>
      <c r="H104" s="2291" t="s">
        <v>1942</v>
      </c>
      <c r="I104" s="1049" t="e">
        <f>I124</f>
        <v>#DIV/0!</v>
      </c>
    </row>
    <row r="105" spans="1:35" ht="15.75">
      <c r="A105" s="2970"/>
      <c r="B105" s="2290" t="s">
        <v>1942</v>
      </c>
      <c r="C105" s="1190" t="e">
        <f ca="1">ROUND(IF('数据-取费表'!B4="楼面单价",G20,IF(H19="元",G19/'数据-取费表'!E5,G19*10000/'数据-取费表'!E5)),0)</f>
        <v>#REF!</v>
      </c>
      <c r="D105" s="724"/>
      <c r="E105" s="2195"/>
      <c r="F105" s="2873"/>
      <c r="G105" s="2874"/>
      <c r="H105" s="2908"/>
      <c r="I105" s="2909"/>
    </row>
    <row r="106" spans="1:35" ht="15.75">
      <c r="A106" s="2977" t="s">
        <v>2002</v>
      </c>
      <c r="B106" s="2330" t="str">
        <f>B102</f>
        <v>总价（万元）</v>
      </c>
      <c r="C106" s="723">
        <f>H124</f>
        <v>0</v>
      </c>
      <c r="D106" s="1188"/>
      <c r="E106" s="2195"/>
      <c r="F106" s="2912" t="s">
        <v>1946</v>
      </c>
      <c r="G106" s="2913"/>
      <c r="H106" s="2294" t="str">
        <f>C111</f>
        <v>总额（万元）</v>
      </c>
      <c r="I106" s="1861">
        <f>SUMIF(I107:I109,"&lt;9E307")</f>
        <v>0</v>
      </c>
    </row>
    <row r="107" spans="1:35" ht="15.75" thickBot="1">
      <c r="A107" s="2907"/>
      <c r="B107" s="2293" t="s">
        <v>1942</v>
      </c>
      <c r="C107" s="725" t="e">
        <f>I124</f>
        <v>#DIV/0!</v>
      </c>
      <c r="D107" s="726"/>
      <c r="E107" s="2195"/>
      <c r="F107" s="2875" t="s">
        <v>1948</v>
      </c>
      <c r="G107" s="2876"/>
      <c r="H107" s="2294" t="str">
        <f>C112</f>
        <v>总额（万元）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1945</v>
      </c>
      <c r="B108" s="2974"/>
      <c r="C108" s="2974"/>
      <c r="D108" s="2975"/>
      <c r="E108" s="2195"/>
      <c r="F108" s="2875" t="s">
        <v>1949</v>
      </c>
      <c r="G108" s="2876"/>
      <c r="H108" s="2294" t="str">
        <f>C113</f>
        <v>总额（万元）</v>
      </c>
      <c r="I108" s="1049">
        <f>C38</f>
        <v>0</v>
      </c>
      <c r="K108" s="2295"/>
    </row>
    <row r="109" spans="1:35" ht="15">
      <c r="A109" s="2914" t="s">
        <v>2003</v>
      </c>
      <c r="B109" s="2915"/>
      <c r="C109" s="2291" t="str">
        <f>B102</f>
        <v>总价（万元）</v>
      </c>
      <c r="D109" s="1050">
        <f>H124</f>
        <v>0</v>
      </c>
      <c r="E109" s="2195"/>
      <c r="F109" s="2875" t="s">
        <v>1951</v>
      </c>
      <c r="G109" s="2876"/>
      <c r="H109" s="2294" t="str">
        <f>C114</f>
        <v>总额（万元）</v>
      </c>
      <c r="I109" s="1049">
        <f>C39</f>
        <v>0</v>
      </c>
    </row>
    <row r="110" spans="1:35" ht="15.75">
      <c r="A110" s="2914"/>
      <c r="B110" s="2915"/>
      <c r="C110" s="2291" t="s">
        <v>1942</v>
      </c>
      <c r="D110" s="1051" t="e">
        <f>I124</f>
        <v>#DIV/0!</v>
      </c>
      <c r="E110" s="2195"/>
      <c r="F110" s="2873"/>
      <c r="G110" s="2874"/>
      <c r="H110" s="2910"/>
      <c r="I110" s="2911"/>
    </row>
    <row r="111" spans="1:35" ht="28.5" customHeight="1">
      <c r="A111" s="2957" t="s">
        <v>1950</v>
      </c>
      <c r="B111" s="2958"/>
      <c r="C111" s="2294" t="str">
        <f>IF(H19="元","总额（元）","总额（万元）")</f>
        <v>总额（万元）</v>
      </c>
      <c r="D111" s="1050">
        <f>IF(D37="正常操作",I107+I108+I109,I108+I109)</f>
        <v>0</v>
      </c>
      <c r="E111" s="2195"/>
      <c r="F111" s="2855" t="str">
        <f>IF(项目基本情况!F5="已注销","——","3.房地产抵押价值")</f>
        <v>3.房地产抵押价值</v>
      </c>
      <c r="G111" s="2856"/>
      <c r="H111" s="2331" t="str">
        <f>C115</f>
        <v>总价（万元）</v>
      </c>
      <c r="I111" s="1861">
        <f>IF(F111="——","——",I103-I106)</f>
        <v>0</v>
      </c>
    </row>
    <row r="112" spans="1:35" ht="15">
      <c r="A112" s="2875" t="s">
        <v>1948</v>
      </c>
      <c r="B112" s="2876"/>
      <c r="C112" s="2294" t="str">
        <f>C111</f>
        <v>总额（万元）</v>
      </c>
      <c r="D112" s="637">
        <f>IF(D37="同一抵押权人同一抵押物续贷",C37&amp;"（未扣减，详见特别提示）",C37)</f>
        <v>0</v>
      </c>
      <c r="E112" s="2195"/>
      <c r="F112" s="2857"/>
      <c r="G112" s="2858"/>
      <c r="H112" s="2291" t="s">
        <v>1942</v>
      </c>
      <c r="I112" s="2297" t="e">
        <f>D116</f>
        <v>#DIV/0!</v>
      </c>
    </row>
    <row r="113" spans="1:26" ht="15.75">
      <c r="A113" s="2875" t="s">
        <v>1949</v>
      </c>
      <c r="B113" s="2876"/>
      <c r="C113" s="2294" t="str">
        <f>C111</f>
        <v>总额（万元）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总价（万元）</v>
      </c>
      <c r="I113" s="1861" t="str">
        <f>IF(F113="——","——",I103-I108-I109)</f>
        <v>——</v>
      </c>
    </row>
    <row r="114" spans="1:26" ht="15">
      <c r="A114" s="2875" t="s">
        <v>1951</v>
      </c>
      <c r="B114" s="2876"/>
      <c r="C114" s="2294" t="str">
        <f>C111</f>
        <v>总额（万元）</v>
      </c>
      <c r="D114" s="637">
        <f>C39</f>
        <v>0</v>
      </c>
      <c r="E114" s="2195"/>
      <c r="F114" s="2857"/>
      <c r="G114" s="2858"/>
      <c r="H114" s="2291" t="s">
        <v>1942</v>
      </c>
      <c r="I114" s="1049" t="str">
        <f>D118</f>
        <v>——</v>
      </c>
    </row>
    <row r="115" spans="1:26" ht="15.75">
      <c r="A115" s="2914" t="str">
        <f>IF(项目基本情况!F5="已注销","——","3.房地产抵押价值")</f>
        <v>3.房地产抵押价值</v>
      </c>
      <c r="B115" s="2915"/>
      <c r="C115" s="2291" t="str">
        <f>B102</f>
        <v>总价（万元）</v>
      </c>
      <c r="D115" s="1050">
        <f>IF(A115="——","——",D109-D111)</f>
        <v>0</v>
      </c>
      <c r="E115" s="2195"/>
      <c r="F115" s="2855" t="str">
        <f>IF(项目基本情况!G5="抵押净值",IF(OR(项目基本情况!F5="已注销",项目基本情况!F5="房地产抵押价值"),"4.抵押净值","5.抵押净值"),"——")</f>
        <v>——</v>
      </c>
      <c r="G115" s="2856"/>
      <c r="H115" s="2291" t="str">
        <f>C119</f>
        <v>总价（万元）</v>
      </c>
      <c r="I115" s="1861" t="str">
        <f>IF(F115="——","——",N60)</f>
        <v>——</v>
      </c>
    </row>
    <row r="116" spans="1:26" ht="15.75" thickBot="1">
      <c r="A116" s="2914"/>
      <c r="B116" s="2915"/>
      <c r="C116" s="2291" t="s">
        <v>2004</v>
      </c>
      <c r="D116" s="1051" t="e">
        <f>ROUND(IF(D115=D109,D110,IF(H19="元",D115/B124,D115*10000/B124)),0)</f>
        <v>#DIV/0!</v>
      </c>
      <c r="E116" s="2195"/>
      <c r="F116" s="2948"/>
      <c r="G116" s="2949"/>
      <c r="H116" s="2299" t="s">
        <v>2004</v>
      </c>
      <c r="I116" s="1863"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总价（万元）</v>
      </c>
      <c r="D117" s="1050" t="str">
        <f>IF(A117="——","——",D109-D113-D114)</f>
        <v>——</v>
      </c>
      <c r="E117" s="2195"/>
      <c r="F117" s="2851"/>
      <c r="G117" s="2851"/>
      <c r="H117" s="2893"/>
      <c r="I117" s="2893"/>
      <c r="N117" s="55"/>
      <c r="O117" s="55"/>
    </row>
    <row r="118" spans="1:26" s="1844" customFormat="1" ht="15">
      <c r="A118" s="2914"/>
      <c r="B118" s="2915"/>
      <c r="C118" s="2291" t="s">
        <v>2004</v>
      </c>
      <c r="D118" s="1051"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4" customFormat="1" ht="15">
      <c r="A119" s="2914" t="str">
        <f>IF(项目基本情况!G5="抵押净值",IF(OR(项目基本情况!F5="已注销",项目基本情况!F5="房地产抵押价值"),"4.抵押净值","5.抵押净值"),"——")</f>
        <v>——</v>
      </c>
      <c r="B119" s="2915"/>
      <c r="C119" s="2291" t="str">
        <f>B102</f>
        <v>总价（万元）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55"/>
      <c r="B120" s="2956"/>
      <c r="C120" s="2299" t="s">
        <v>2004</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894" t="s">
        <v>2005</v>
      </c>
      <c r="B121" s="2895"/>
      <c r="C121" s="2895"/>
      <c r="D121" s="2895"/>
      <c r="E121" s="2895"/>
      <c r="F121" s="2895"/>
      <c r="G121" s="2895"/>
      <c r="H121" s="2895"/>
      <c r="I121" s="289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66" t="s">
        <v>1953</v>
      </c>
      <c r="B122" s="2864" t="s">
        <v>2006</v>
      </c>
      <c r="C122" s="2864" t="s">
        <v>2007</v>
      </c>
      <c r="D122" s="2871" t="s">
        <v>1956</v>
      </c>
      <c r="E122" s="2872"/>
      <c r="F122" s="2862" t="s">
        <v>2008</v>
      </c>
      <c r="G122" s="2862"/>
      <c r="H122" s="2862" t="s">
        <v>1957</v>
      </c>
      <c r="I122" s="2863"/>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66"/>
      <c r="B123" s="2865"/>
      <c r="C123" s="2865"/>
      <c r="D123" s="1886" t="s">
        <v>1958</v>
      </c>
      <c r="E123" s="1886" t="s">
        <v>1959</v>
      </c>
      <c r="F123" s="1886" t="s">
        <v>1958</v>
      </c>
      <c r="G123" s="1886" t="s">
        <v>1960</v>
      </c>
      <c r="H123" s="1886" t="s">
        <v>1958</v>
      </c>
      <c r="I123" s="637" t="s">
        <v>1960</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66" t="s">
        <v>1961</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00" t="str">
        <f>IF(项目基本情况!D5="房地产市场价值","——",MID(A111,3,LEN(A111)-2))</f>
        <v>估价师所知悉的法定优先受偿款</v>
      </c>
      <c r="B126" s="2901"/>
      <c r="C126" s="2902"/>
      <c r="D126" s="2891">
        <f>I106</f>
        <v>0</v>
      </c>
      <c r="E126" s="2901"/>
      <c r="F126" s="2901"/>
      <c r="G126" s="2901"/>
      <c r="H126" s="2901"/>
      <c r="I126" s="2950"/>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03" t="s">
        <v>1961</v>
      </c>
      <c r="B127" s="2904"/>
      <c r="C127" s="2905"/>
      <c r="D127" s="2951">
        <f>H110</f>
        <v>0</v>
      </c>
      <c r="E127" s="2952"/>
      <c r="F127" s="2952"/>
      <c r="G127" s="2952"/>
      <c r="H127" s="2952"/>
      <c r="I127" s="2953"/>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89" t="str">
        <f>IF(项目基本情况!D5="房地产市场价值","——",MID(A115,3,LEN(A115)-2))</f>
        <v>房地产抵押价值</v>
      </c>
      <c r="B128" s="2890"/>
      <c r="C128" s="2890"/>
      <c r="D128" s="2891">
        <f>I111</f>
        <v>0</v>
      </c>
      <c r="E128" s="2901"/>
      <c r="F128" s="2901"/>
      <c r="G128" s="2901"/>
      <c r="H128" s="2901"/>
      <c r="I128" s="2950"/>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66" t="s">
        <v>1961</v>
      </c>
      <c r="B129" s="2862"/>
      <c r="C129" s="2862"/>
      <c r="D129" s="2951" t="e">
        <f>I112</f>
        <v>#DIV/0!</v>
      </c>
      <c r="E129" s="2952"/>
      <c r="F129" s="2952"/>
      <c r="G129" s="2952"/>
      <c r="H129" s="2952"/>
      <c r="I129" s="2953"/>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89" t="str">
        <f>IF(项目基本情况!D5="房地产市场价值","——",MID(A117,3,LEN(A117)-2))</f>
        <v/>
      </c>
      <c r="B130" s="2890"/>
      <c r="C130" s="2890"/>
      <c r="D130" s="2846" t="str">
        <f>I113</f>
        <v>——</v>
      </c>
      <c r="E130" s="2847"/>
      <c r="F130" s="2847"/>
      <c r="G130" s="2847"/>
      <c r="H130" s="2847"/>
      <c r="I130" s="2848"/>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66" t="s">
        <v>1961</v>
      </c>
      <c r="B131" s="2862"/>
      <c r="C131" s="2946"/>
      <c r="D131" s="2892" t="str">
        <f>I114</f>
        <v>——</v>
      </c>
      <c r="E131" s="2892"/>
      <c r="F131" s="2892"/>
      <c r="G131" s="2892"/>
      <c r="H131" s="2892"/>
      <c r="I131" s="289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89" t="str">
        <f>IF(项目基本情况!D5="房地产市场价值","——",MID(F115,3,LEN(F115)-2))</f>
        <v/>
      </c>
      <c r="B132" s="2890"/>
      <c r="C132" s="2891"/>
      <c r="D132" s="2954" t="str">
        <f>I115</f>
        <v>——</v>
      </c>
      <c r="E132" s="2954"/>
      <c r="F132" s="2954"/>
      <c r="G132" s="2954"/>
      <c r="H132" s="2954"/>
      <c r="I132" s="2954"/>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59" t="s">
        <v>1961</v>
      </c>
      <c r="B133" s="2960"/>
      <c r="C133" s="2960"/>
      <c r="D133" s="2964">
        <f>H117</f>
        <v>0</v>
      </c>
      <c r="E133" s="2965"/>
      <c r="F133" s="2965"/>
      <c r="G133" s="2965"/>
      <c r="H133" s="2965"/>
      <c r="I133" s="296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1962</v>
      </c>
      <c r="B136" s="2301"/>
      <c r="C136" s="2302" t="s">
        <v>1963</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1964</v>
      </c>
      <c r="G142" s="2314"/>
      <c r="H142" s="2314"/>
      <c r="I142" s="2315" t="s">
        <v>1965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176</v>
      </c>
      <c r="C2" s="163" t="str">
        <f>'数据-取费表'!B3</f>
        <v>万元</v>
      </c>
      <c r="D2" s="2333" t="s">
        <v>1253</v>
      </c>
      <c r="E2" s="1545" t="e">
        <f ca="1">SUMIF(INDIRECT("'"&amp;G2&amp;"'"&amp;"!A:A"),"承租人权益价值",INDIRECT("'"&amp;G2&amp;"'"&amp;"!c:c"))</f>
        <v>#REF!</v>
      </c>
      <c r="F2" s="2334" t="str">
        <f>C2</f>
        <v>万元</v>
      </c>
      <c r="G2" s="1905"/>
    </row>
    <row r="3" spans="1:7" s="164" customFormat="1" ht="18" customHeight="1" thickBot="1">
      <c r="A3" s="167" t="s">
        <v>2011</v>
      </c>
      <c r="B3" s="168">
        <f ca="1">ROUND(C52/IF(B1="仅计算典型户型",'数据-取费表'!E5,'数据-取费表'!B5),0)</f>
        <v>28510</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1042824</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12324</v>
      </c>
      <c r="D8" s="1535"/>
      <c r="E8" s="199"/>
      <c r="F8" s="1534"/>
      <c r="G8" s="2335"/>
    </row>
    <row r="9" spans="1:7" s="175" customFormat="1" ht="13.5" customHeight="1">
      <c r="A9" s="1303" t="s">
        <v>953</v>
      </c>
      <c r="B9" s="181" t="s">
        <v>2025</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2026</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2038</v>
      </c>
      <c r="B20" s="173" t="s">
        <v>2039</v>
      </c>
      <c r="C20" s="183">
        <f>ROUND((C5+C19)*F20,0)</f>
        <v>21103</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103622</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101421</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1199</v>
      </c>
      <c r="D24" s="188"/>
      <c r="E24" s="188"/>
      <c r="F24" s="189"/>
      <c r="G24" s="190" t="s">
        <v>2051</v>
      </c>
    </row>
    <row r="25" spans="1:7" s="175" customFormat="1" ht="24">
      <c r="A25" s="176" t="s">
        <v>2023</v>
      </c>
      <c r="B25" s="177" t="s">
        <v>2052</v>
      </c>
      <c r="C25" s="1454">
        <f ca="1">ROUND(IF('数据-取费表'!B23&lt;=1,C20*F22*'数据-取费表'!B24/2,C20*(POWER((1+F22),'数据-取费表'!B24/2)-1)),0)</f>
        <v>1002</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4" t="s">
        <v>2056</v>
      </c>
      <c r="B27" s="194" t="s">
        <v>2057</v>
      </c>
      <c r="C27" s="195">
        <f>C28</f>
        <v>215250</v>
      </c>
      <c r="D27" s="185">
        <f>C29</f>
        <v>4.0000000000000001E-3</v>
      </c>
      <c r="E27" s="186" t="s">
        <v>2043</v>
      </c>
      <c r="F27" s="196">
        <f>'数据-取费表'!E28</f>
        <v>0.2</v>
      </c>
      <c r="G27" s="197" t="s">
        <v>2058</v>
      </c>
    </row>
    <row r="28" spans="1:7" s="175" customFormat="1" ht="13.5" customHeight="1">
      <c r="A28" s="176" t="s">
        <v>2047</v>
      </c>
      <c r="B28" s="198" t="s">
        <v>2059</v>
      </c>
      <c r="C28" s="199">
        <f>ROUND((C5+C19+C20)*F27*'数据-取费表'!B22/'数据-取费表'!B21,0)</f>
        <v>215250</v>
      </c>
      <c r="D28" s="185"/>
      <c r="E28" s="186"/>
      <c r="F28" s="196"/>
      <c r="G28" s="197"/>
    </row>
    <row r="29" spans="1:7" s="175" customFormat="1" ht="13.5" customHeight="1">
      <c r="A29" s="176" t="s">
        <v>2021</v>
      </c>
      <c r="B29" s="198" t="s">
        <v>2060</v>
      </c>
      <c r="C29" s="188">
        <f>ROUND(C21*F27*'数据-取费表'!B22/'数据-取费表'!B21,4)</f>
        <v>4.0000000000000001E-3</v>
      </c>
      <c r="D29" s="185"/>
      <c r="E29" s="186"/>
      <c r="F29" s="196"/>
      <c r="G29" s="197"/>
    </row>
    <row r="30" spans="1:7" s="175" customFormat="1" ht="13.5" customHeight="1">
      <c r="A30" s="1304"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1513641</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202422</v>
      </c>
      <c r="D33" s="183"/>
      <c r="E33" s="1531"/>
      <c r="F33" s="191"/>
      <c r="G33" s="184"/>
    </row>
    <row r="34" spans="1:7" s="206" customFormat="1" ht="13.5" customHeight="1">
      <c r="A34" s="176" t="s">
        <v>2047</v>
      </c>
      <c r="B34" s="177" t="s">
        <v>2069</v>
      </c>
      <c r="C34" s="199">
        <f>IF(B1="仅计算典型户型",'数据-取费表'!F18,'数据-取费表'!E18)</f>
        <v>184860</v>
      </c>
      <c r="D34" s="1532"/>
      <c r="E34" s="199"/>
      <c r="F34" s="1543" t="str">
        <f>IF('数据-取费表'!B25=0,"",'数据-取费表'!E20)</f>
        <v/>
      </c>
      <c r="G34" s="179"/>
    </row>
    <row r="35" spans="1:7" ht="13.5" customHeight="1">
      <c r="A35" s="176" t="s">
        <v>2021</v>
      </c>
      <c r="B35" s="177" t="s">
        <v>2070</v>
      </c>
      <c r="C35" s="199">
        <f>ROUND(C34*F35,0)</f>
        <v>5546</v>
      </c>
      <c r="D35" s="199"/>
      <c r="E35" s="199"/>
      <c r="F35" s="1544">
        <f>'数据-取费表'!E21</f>
        <v>0.03</v>
      </c>
      <c r="G35" s="179" t="s">
        <v>2071</v>
      </c>
    </row>
    <row r="36" spans="1:7" ht="24">
      <c r="A36" s="176" t="s">
        <v>2023</v>
      </c>
      <c r="B36" s="177" t="s">
        <v>2072</v>
      </c>
      <c r="C36" s="199">
        <f>ROUND(IF('数据-取费表'!B10="住宅",C34*F36,0),0)</f>
        <v>0</v>
      </c>
      <c r="D36" s="199"/>
      <c r="E36" s="199"/>
      <c r="F36" s="1544">
        <f>'数据-取费表'!E22</f>
        <v>0.05</v>
      </c>
      <c r="G36" s="207" t="s">
        <v>2073</v>
      </c>
    </row>
    <row r="37" spans="1:7" s="206" customFormat="1" ht="13.5" customHeight="1">
      <c r="A37" s="176" t="s">
        <v>2054</v>
      </c>
      <c r="B37" s="177" t="s">
        <v>2074</v>
      </c>
      <c r="C37" s="199">
        <f>ROUND(E37*D37,0)</f>
        <v>9243</v>
      </c>
      <c r="D37" s="1532">
        <f>IF(B1="仅计算典型户型",'数据-取费表'!E5,'数据-取费表'!B5)</f>
        <v>61.62</v>
      </c>
      <c r="E37" s="199">
        <f>'数据-取费表'!E23</f>
        <v>150</v>
      </c>
      <c r="F37" s="1544"/>
      <c r="G37" s="208" t="s">
        <v>2075</v>
      </c>
    </row>
    <row r="38" spans="1:7" ht="13.5" customHeight="1">
      <c r="A38" s="176" t="s">
        <v>2076</v>
      </c>
      <c r="B38" s="177" t="s">
        <v>2077</v>
      </c>
      <c r="C38" s="199">
        <f>ROUND(C34*F38,0)</f>
        <v>2773</v>
      </c>
      <c r="D38" s="199"/>
      <c r="E38" s="199"/>
      <c r="F38" s="1544">
        <f>'数据-取费表'!E24</f>
        <v>1.4999999999999999E-2</v>
      </c>
      <c r="G38" s="179" t="s">
        <v>2071</v>
      </c>
    </row>
    <row r="39" spans="1:7" s="175" customFormat="1" ht="13.5" customHeight="1">
      <c r="A39" s="204" t="s">
        <v>2036</v>
      </c>
      <c r="B39" s="173" t="s">
        <v>2039</v>
      </c>
      <c r="C39" s="183">
        <f>ROUND(C33*F20,0)</f>
        <v>4048</v>
      </c>
      <c r="D39" s="183"/>
      <c r="E39" s="183"/>
      <c r="F39" s="187"/>
      <c r="G39" s="184" t="s">
        <v>2078</v>
      </c>
    </row>
    <row r="40" spans="1:7" s="175" customFormat="1" ht="13.5" customHeight="1">
      <c r="A40" s="204" t="s">
        <v>2038</v>
      </c>
      <c r="B40" s="173" t="s">
        <v>2042</v>
      </c>
      <c r="C40" s="1818">
        <f>F21</f>
        <v>0.02</v>
      </c>
      <c r="D40" s="186" t="s">
        <v>2079</v>
      </c>
      <c r="E40" s="183"/>
      <c r="F40" s="187"/>
      <c r="G40" s="184" t="s">
        <v>2080</v>
      </c>
    </row>
    <row r="41" spans="1:7" s="175" customFormat="1" ht="13.5" customHeight="1">
      <c r="A41" s="204" t="s">
        <v>2041</v>
      </c>
      <c r="B41" s="173" t="s">
        <v>2046</v>
      </c>
      <c r="C41" s="183">
        <f ca="1">ROUND(SUM(C42:C43),0)</f>
        <v>9807</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9615</v>
      </c>
      <c r="D42" s="188"/>
      <c r="E42" s="188"/>
      <c r="F42" s="189"/>
      <c r="G42" s="2979" t="s">
        <v>2081</v>
      </c>
    </row>
    <row r="43" spans="1:7" ht="13.5" customHeight="1">
      <c r="A43" s="176" t="s">
        <v>2021</v>
      </c>
      <c r="B43" s="177" t="s">
        <v>2050</v>
      </c>
      <c r="C43" s="188">
        <f ca="1">ROUND(IF('数据-取费表'!B23&lt;=1,C39*F22*'数据-取费表'!B22/2,C39*(POWER((1+F22),'数据-取费表'!B22/2)-1)),0)</f>
        <v>192</v>
      </c>
      <c r="D43" s="188"/>
      <c r="E43" s="188"/>
      <c r="F43" s="189"/>
      <c r="G43" s="2980"/>
    </row>
    <row r="44" spans="1:7" ht="13.5" customHeight="1">
      <c r="A44" s="176" t="s">
        <v>2023</v>
      </c>
      <c r="B44" s="177" t="s">
        <v>2052</v>
      </c>
      <c r="C44" s="188">
        <f ca="1">ROUND(IF('数据-取费表'!B23&lt;=1,C40*F22*'数据-取费表'!B22/2,C40*(POWER((1+F22),'数据-取费表'!B22/2)-1)),4)</f>
        <v>1E-3</v>
      </c>
      <c r="D44" s="188"/>
      <c r="E44" s="188"/>
      <c r="F44" s="189"/>
      <c r="G44" s="2981"/>
    </row>
    <row r="45" spans="1:7" s="175" customFormat="1" ht="13.5" customHeight="1">
      <c r="A45" s="204" t="s">
        <v>2045</v>
      </c>
      <c r="B45" s="194" t="s">
        <v>2057</v>
      </c>
      <c r="C45" s="195">
        <f>C46</f>
        <v>41294</v>
      </c>
      <c r="D45" s="185">
        <f>C47</f>
        <v>4.0000000000000001E-3</v>
      </c>
      <c r="E45" s="186" t="s">
        <v>2079</v>
      </c>
      <c r="F45" s="196"/>
      <c r="G45" s="197" t="s">
        <v>2082</v>
      </c>
    </row>
    <row r="46" spans="1:7" s="175" customFormat="1" ht="13.5" customHeight="1">
      <c r="A46" s="176" t="s">
        <v>2047</v>
      </c>
      <c r="B46" s="198" t="s">
        <v>2083</v>
      </c>
      <c r="C46" s="199">
        <f>ROUND((C33+C39)*F27,0)</f>
        <v>41294</v>
      </c>
      <c r="D46" s="209"/>
      <c r="E46" s="186"/>
      <c r="F46" s="196"/>
      <c r="G46" s="197"/>
    </row>
    <row r="47" spans="1:7" s="175" customFormat="1" ht="13.5" customHeight="1">
      <c r="A47" s="176" t="s">
        <v>2021</v>
      </c>
      <c r="B47" s="198" t="s">
        <v>2084</v>
      </c>
      <c r="C47" s="188">
        <f>ROUND(C40*F27,4)</f>
        <v>4.0000000000000001E-3</v>
      </c>
      <c r="D47" s="209"/>
      <c r="E47" s="186"/>
      <c r="F47" s="196"/>
      <c r="G47" s="197"/>
    </row>
    <row r="48" spans="1:7" s="175" customFormat="1" ht="13.5" customHeight="1">
      <c r="A48" s="1304" t="s">
        <v>2056</v>
      </c>
      <c r="B48" s="173" t="s">
        <v>2085</v>
      </c>
      <c r="C48" s="1818">
        <f>ROUND(F30/(1+'数据-取费表'!F30),4)</f>
        <v>5.33E-2</v>
      </c>
      <c r="D48" s="186" t="s">
        <v>2079</v>
      </c>
      <c r="E48" s="183"/>
      <c r="F48" s="187"/>
      <c r="G48" s="184" t="s">
        <v>2086</v>
      </c>
    </row>
    <row r="49" spans="1:7" ht="16.5" customHeight="1">
      <c r="A49" s="1304" t="s">
        <v>2087</v>
      </c>
      <c r="B49" s="173" t="s">
        <v>2088</v>
      </c>
      <c r="C49" s="183">
        <f ca="1">ROUND((C33+C39+C41+C45)/(1-C40-D41-D45-C48),0)</f>
        <v>279452</v>
      </c>
      <c r="D49" s="183"/>
      <c r="E49" s="183"/>
      <c r="F49" s="210"/>
      <c r="G49" s="184" t="s">
        <v>2089</v>
      </c>
    </row>
    <row r="50" spans="1:7" s="206" customFormat="1" ht="24">
      <c r="A50" s="1304" t="s">
        <v>2090</v>
      </c>
      <c r="B50" s="173" t="s">
        <v>2091</v>
      </c>
      <c r="C50" s="183"/>
      <c r="D50" s="183"/>
      <c r="E50" s="183"/>
      <c r="F50" s="210">
        <f>IF('数据-取费表'!B25=0,'数据-取费表'!E20,1)</f>
        <v>0.87</v>
      </c>
      <c r="G50" s="197" t="s">
        <v>2092</v>
      </c>
    </row>
    <row r="51" spans="1:7" ht="16.5" customHeight="1">
      <c r="A51" s="1304" t="s">
        <v>2093</v>
      </c>
      <c r="B51" s="173" t="s">
        <v>2094</v>
      </c>
      <c r="C51" s="183">
        <f ca="1">ROUND(C49*F50,0)</f>
        <v>243123</v>
      </c>
      <c r="D51" s="183"/>
      <c r="E51" s="183"/>
      <c r="F51" s="210"/>
      <c r="G51" s="184" t="s">
        <v>2095</v>
      </c>
    </row>
    <row r="52" spans="1:7" s="172" customFormat="1" ht="16.5" thickBot="1">
      <c r="A52" s="211" t="s">
        <v>2096</v>
      </c>
      <c r="B52" s="212"/>
      <c r="C52" s="213">
        <f ca="1">C31+C51</f>
        <v>1756764</v>
      </c>
      <c r="D52" s="212"/>
      <c r="E52" s="212"/>
      <c r="F52" s="212"/>
      <c r="G52" s="214"/>
    </row>
    <row r="55" spans="1:7" ht="15">
      <c r="B55" s="216" t="s">
        <v>2097</v>
      </c>
      <c r="C55" s="217"/>
    </row>
    <row r="56" spans="1:7">
      <c r="B56" s="219" t="s">
        <v>2098</v>
      </c>
      <c r="C56" s="220">
        <f ca="1">ROUND(C51/C52,3)</f>
        <v>0.13800000000000001</v>
      </c>
    </row>
    <row r="57" spans="1:7">
      <c r="B57" s="219" t="s">
        <v>2099</v>
      </c>
      <c r="C57" s="221">
        <f ca="1">1-C56</f>
        <v>0.86199999999999999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1</v>
      </c>
      <c r="C2" s="1968" t="str">
        <f>'数据-取费表'!B3</f>
        <v>万元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1309</v>
      </c>
      <c r="B6" s="231" t="s">
        <v>1310</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1313</v>
      </c>
      <c r="B8" s="231" t="s">
        <v>1314</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1325</v>
      </c>
      <c r="C14" s="14">
        <f>ROUND(D14*E14*F11,0)</f>
        <v>0</v>
      </c>
      <c r="D14" s="248">
        <f>IF(C1="仅计算典型户型",'数据-取费表'!E5,'数据-取费表'!B5)</f>
        <v>0</v>
      </c>
      <c r="E14" s="14">
        <f>'数据-取费表'!E23</f>
        <v>150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1329</v>
      </c>
      <c r="B16" s="246" t="s">
        <v>1330</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1334</v>
      </c>
      <c r="B18" s="246" t="s">
        <v>1335</v>
      </c>
      <c r="C18" s="14">
        <f>C19+C20-'数据-取费表'!E13</f>
        <v>-12324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1309</v>
      </c>
      <c r="B21" s="261" t="s">
        <v>1339</v>
      </c>
      <c r="C21" s="262">
        <f>C16+C17+C18</f>
        <v>-12324</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1311</v>
      </c>
      <c r="B22" s="261" t="s">
        <v>1341</v>
      </c>
      <c r="C22" s="262">
        <f>ROUND(C21*F22,0)</f>
        <v>-246</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-2514</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-2514</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12216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2100</v>
      </c>
      <c r="B1" s="306"/>
      <c r="C1" s="729"/>
      <c r="D1" s="2706" t="s">
        <v>2825</v>
      </c>
      <c r="E1" s="2707" t="s">
        <v>1253</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2010</v>
      </c>
      <c r="B2" s="764">
        <f ca="1">IF(C2="元",IF('数据-取费表'!B28="租赁期内按合同租金",C40+L47+J29,C40+L47),ROUND(IF('数据-取费表'!B28="租赁期内按合同租金",(C40+L47+J29)/10000,(C40+L47)/10000),0))</f>
        <v>172</v>
      </c>
      <c r="C2" s="2336" t="str">
        <f>'数据-取费表'!B3</f>
        <v>万元</v>
      </c>
      <c r="D2" s="1213"/>
      <c r="E2" s="1214"/>
      <c r="F2" s="1214"/>
      <c r="G2" s="1239"/>
      <c r="H2" s="728"/>
      <c r="I2" s="1215"/>
      <c r="J2" s="1215"/>
      <c r="K2" s="1216"/>
      <c r="L2" s="1215"/>
      <c r="M2" s="1215"/>
    </row>
    <row r="3" spans="1:37" ht="18" customHeight="1" thickBot="1">
      <c r="A3" s="310" t="s">
        <v>2011</v>
      </c>
      <c r="B3" s="765">
        <f ca="1">ROUND(IF('数据-取费表'!B28="租赁期内按合同租金",(C40+L47+J29)/F43,(C40+L47)/F43),0)</f>
        <v>27873</v>
      </c>
      <c r="C3" s="2336"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77016</v>
      </c>
      <c r="D5" s="2337" t="s">
        <v>2109</v>
      </c>
      <c r="E5" s="1213"/>
      <c r="F5" s="1382"/>
      <c r="G5" s="1237"/>
      <c r="H5" s="316">
        <v>1</v>
      </c>
      <c r="I5" s="317" t="s">
        <v>2108</v>
      </c>
      <c r="J5" s="318">
        <f ca="1">J6+J10+J12</f>
        <v>0</v>
      </c>
      <c r="K5" s="2337" t="s">
        <v>2109</v>
      </c>
      <c r="L5" s="1213"/>
      <c r="M5" s="1382"/>
    </row>
    <row r="6" spans="1:37" ht="18" customHeight="1">
      <c r="A6" s="1383" t="s">
        <v>2110</v>
      </c>
      <c r="B6" s="2024" t="s">
        <v>2111</v>
      </c>
      <c r="C6" s="318">
        <f>ROUND(F6*F8*F7*(1-F9),0)</f>
        <v>76920</v>
      </c>
      <c r="D6" s="80" t="s">
        <v>2806</v>
      </c>
      <c r="E6" s="319" t="s">
        <v>2112</v>
      </c>
      <c r="F6" s="320">
        <f>'数据-取费表'!B29</f>
        <v>3.8</v>
      </c>
      <c r="G6" s="1237"/>
      <c r="H6" s="1383" t="s">
        <v>2110</v>
      </c>
      <c r="I6" s="2024" t="s">
        <v>2111</v>
      </c>
      <c r="J6" s="318">
        <f>ROUND(M6*M8*M7*(1-M9),0)</f>
        <v>0</v>
      </c>
      <c r="K6" s="80" t="s">
        <v>2806</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61.62</v>
      </c>
      <c r="G7" s="1237"/>
      <c r="H7" s="321"/>
      <c r="I7" s="322"/>
      <c r="J7" s="323"/>
      <c r="K7" s="324"/>
      <c r="L7" s="319" t="s">
        <v>2113</v>
      </c>
      <c r="M7" s="320">
        <f>IF('数据-取费表'!B41="",IF(D1="仅计算典型户型",'数据-取费表'!E5,'数据-取费表'!B5),'数据-取费表'!B41)</f>
        <v>61.62</v>
      </c>
    </row>
    <row r="8" spans="1:37" ht="18" customHeight="1">
      <c r="A8" s="1446"/>
      <c r="B8" s="322"/>
      <c r="C8" s="323"/>
      <c r="D8" s="324"/>
      <c r="E8" s="319" t="s">
        <v>2114</v>
      </c>
      <c r="F8" s="320">
        <f>'数据-取费表'!B42</f>
        <v>365</v>
      </c>
      <c r="G8" s="1237"/>
      <c r="H8" s="321"/>
      <c r="I8" s="322"/>
      <c r="J8" s="323"/>
      <c r="K8" s="324"/>
      <c r="L8" s="319" t="s">
        <v>2115</v>
      </c>
      <c r="M8" s="320">
        <f>'数据-取费表'!B42</f>
        <v>365</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8" t="s">
        <v>2118</v>
      </c>
      <c r="C10" s="1384">
        <f ca="1">ROUND(IF(F10="押一",C6/12*F11,IF(F10="押二",C6/12*2*F11,IF(F10="押三",C6/12*3*F11,C11*F11))),0)</f>
        <v>96</v>
      </c>
      <c r="D10" s="2339" t="s">
        <v>2814</v>
      </c>
      <c r="E10" s="330" t="s">
        <v>2119</v>
      </c>
      <c r="F10" s="2340" t="s">
        <v>2894</v>
      </c>
      <c r="G10" s="1237"/>
      <c r="H10" s="1383" t="s">
        <v>2117</v>
      </c>
      <c r="I10" s="2338" t="s">
        <v>2118</v>
      </c>
      <c r="J10" s="1384">
        <f ca="1">ROUND(IF(M10="押一",J6/12*M11,IF(M10="押二",J6/12*2*M11,IF(M10="押三",J6/12*3*M11,J11*M11))),0)</f>
        <v>0</v>
      </c>
      <c r="K10" s="80" t="s">
        <v>2814</v>
      </c>
      <c r="L10" s="330" t="s">
        <v>2119</v>
      </c>
      <c r="M10" s="2340"/>
    </row>
    <row r="11" spans="1:37" s="341" customFormat="1" ht="18" customHeight="1">
      <c r="A11" s="348"/>
      <c r="B11" s="2341" t="s">
        <v>2120</v>
      </c>
      <c r="C11" s="1417"/>
      <c r="D11" s="324"/>
      <c r="E11" s="330" t="s">
        <v>2121</v>
      </c>
      <c r="F11" s="331">
        <f ca="1">'数据-取费表'!B30</f>
        <v>1.4999999999999999E-2</v>
      </c>
      <c r="G11" s="1238"/>
      <c r="H11" s="325"/>
      <c r="I11" s="2341" t="s">
        <v>2122</v>
      </c>
      <c r="J11" s="1417"/>
      <c r="K11" s="324"/>
      <c r="L11" s="330" t="s">
        <v>2121</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2123</v>
      </c>
      <c r="B12" s="2342" t="s">
        <v>2124</v>
      </c>
      <c r="C12" s="1424"/>
      <c r="D12" s="2343"/>
      <c r="E12" s="1430"/>
      <c r="F12" s="1425"/>
      <c r="G12" s="1237"/>
      <c r="H12" s="1423" t="s">
        <v>2123</v>
      </c>
      <c r="I12" s="2342" t="s">
        <v>2124</v>
      </c>
      <c r="J12" s="1424"/>
      <c r="K12" s="1440"/>
      <c r="L12" s="1430"/>
      <c r="M12" s="1441"/>
    </row>
    <row r="13" spans="1:37" s="341" customFormat="1" ht="18" customHeight="1" thickTop="1">
      <c r="A13" s="1419">
        <v>2</v>
      </c>
      <c r="B13" s="1420" t="s">
        <v>2125</v>
      </c>
      <c r="C13" s="327">
        <f ca="1">ROUND(C29*F13,0)</f>
        <v>243123</v>
      </c>
      <c r="D13" s="1421" t="s">
        <v>2126</v>
      </c>
      <c r="E13" s="1421" t="s">
        <v>2127</v>
      </c>
      <c r="F13" s="1422">
        <f>'数据-取费表'!E20</f>
        <v>0.87</v>
      </c>
      <c r="G13" s="1238"/>
      <c r="H13" s="1419">
        <v>2</v>
      </c>
      <c r="I13" s="1420" t="s">
        <v>2125</v>
      </c>
      <c r="J13" s="1385">
        <f ca="1">ROUND(J14*J15,0)</f>
        <v>0</v>
      </c>
      <c r="K13" s="1426" t="s">
        <v>2126</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2128</v>
      </c>
      <c r="B14" s="319" t="s">
        <v>2129</v>
      </c>
      <c r="C14" s="338">
        <f>IF(D1="仅计算典型户型",'数据-取费表'!F18,'数据-取费表'!E18)</f>
        <v>184860</v>
      </c>
      <c r="D14" s="1887" t="s">
        <v>2130</v>
      </c>
      <c r="E14" s="1888"/>
      <c r="F14" s="978"/>
      <c r="G14" s="1238"/>
      <c r="H14" s="337" t="s">
        <v>2110</v>
      </c>
      <c r="I14" s="319" t="s">
        <v>2131</v>
      </c>
      <c r="J14" s="14">
        <f ca="1">C29</f>
        <v>279452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2132</v>
      </c>
      <c r="B15" s="319" t="s">
        <v>2133</v>
      </c>
      <c r="C15" s="14">
        <f>ROUND(C14*F15,0)</f>
        <v>5546</v>
      </c>
      <c r="D15" s="339" t="s">
        <v>2134</v>
      </c>
      <c r="E15" s="339" t="s">
        <v>2135</v>
      </c>
      <c r="F15" s="340">
        <f>'数据-取费表'!E21</f>
        <v>0.03</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0</v>
      </c>
      <c r="D16" s="319" t="s">
        <v>2134</v>
      </c>
      <c r="E16" s="319" t="s">
        <v>2135</v>
      </c>
      <c r="F16" s="342">
        <f>IF('数据-取费表'!B10="住宅",'数据-取费表'!E22,0)</f>
        <v>0</v>
      </c>
      <c r="G16" s="1238"/>
      <c r="H16" s="1419" t="s">
        <v>14</v>
      </c>
      <c r="I16" s="1420" t="s">
        <v>2140</v>
      </c>
      <c r="J16" s="327">
        <f ca="1">ROUND(J17+J22+J23+J24,0)</f>
        <v>5589</v>
      </c>
      <c r="K16" s="1426" t="s">
        <v>2141</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2142</v>
      </c>
      <c r="B17" s="319" t="s">
        <v>2143</v>
      </c>
      <c r="C17" s="14">
        <f>ROUND(F17*IF(D1="仅计算典型户型",'数据-取费表'!E5,'数据-取费表'!B5),0)</f>
        <v>9243</v>
      </c>
      <c r="D17" s="319" t="s">
        <v>2144</v>
      </c>
      <c r="E17" s="319" t="s">
        <v>2145</v>
      </c>
      <c r="F17" s="16">
        <f>'数据-取费表'!E23</f>
        <v>150</v>
      </c>
      <c r="G17" s="1238"/>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2150</v>
      </c>
      <c r="B18" s="319" t="s">
        <v>2151</v>
      </c>
      <c r="C18" s="14">
        <f>ROUND(C14*F18,0)</f>
        <v>2773</v>
      </c>
      <c r="D18" s="319" t="s">
        <v>2134</v>
      </c>
      <c r="E18" s="319" t="s">
        <v>2135</v>
      </c>
      <c r="F18" s="342">
        <f>'数据-取费表'!E24</f>
        <v>1.4999999999999999E-2</v>
      </c>
      <c r="G18" s="1237"/>
      <c r="H18" s="337" t="s">
        <v>2152</v>
      </c>
      <c r="I18" s="319" t="s">
        <v>2153</v>
      </c>
      <c r="J18" s="14" t="str">
        <f>IF(项目基本情况!B7="自然人","——",ROUND(J5*M18/(1+'数据-取费表'!F30),0))</f>
        <v>——</v>
      </c>
      <c r="K18" s="1892" t="s">
        <v>2154</v>
      </c>
      <c r="L18" s="319" t="s">
        <v>2135</v>
      </c>
      <c r="M18" s="342">
        <f>'数据-取费表'!E29</f>
        <v>5.6000000000000001E-2</v>
      </c>
    </row>
    <row r="19" spans="1:37" s="341" customFormat="1" ht="18" customHeight="1">
      <c r="A19" s="337" t="s">
        <v>2146</v>
      </c>
      <c r="B19" s="319" t="s">
        <v>2155</v>
      </c>
      <c r="C19" s="14">
        <f>SUM(C14:C18)</f>
        <v>202422</v>
      </c>
      <c r="D19" s="56" t="s">
        <v>2156</v>
      </c>
      <c r="E19" s="1897"/>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2117</v>
      </c>
      <c r="B20" s="319" t="s">
        <v>2159</v>
      </c>
      <c r="C20" s="14">
        <f>ROUND(C19*F20,0)</f>
        <v>4048</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5589</v>
      </c>
      <c r="K22" s="1892"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9807</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2183</v>
      </c>
      <c r="B25" s="319" t="s">
        <v>2184</v>
      </c>
      <c r="C25" s="14"/>
      <c r="D25" s="56" t="s">
        <v>2185</v>
      </c>
      <c r="E25" s="1897"/>
      <c r="F25" s="16"/>
      <c r="G25" s="1238"/>
      <c r="H25" s="1419" t="s">
        <v>22</v>
      </c>
      <c r="I25" s="1434" t="s">
        <v>2186</v>
      </c>
      <c r="J25" s="327">
        <f ca="1">J5-J16</f>
        <v>-5589</v>
      </c>
      <c r="K25" s="1435" t="s">
        <v>2187</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2128</v>
      </c>
      <c r="B26" s="319" t="s">
        <v>2188</v>
      </c>
      <c r="C26" s="14">
        <f>ROUND((C19+C20)*F26,0)</f>
        <v>41294</v>
      </c>
      <c r="D26" s="344" t="s">
        <v>2189</v>
      </c>
      <c r="E26" s="330" t="s">
        <v>2190</v>
      </c>
      <c r="F26" s="329">
        <f>'数据-取费表'!E28</f>
        <v>0.2</v>
      </c>
      <c r="G26" s="790"/>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4.0000000000000001E-3</v>
      </c>
      <c r="D27" s="344" t="s">
        <v>2196</v>
      </c>
      <c r="E27" s="339"/>
      <c r="F27" s="340"/>
      <c r="G27" s="790"/>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0"/>
      <c r="H28" s="325"/>
      <c r="I28" s="326"/>
      <c r="J28" s="327"/>
      <c r="K28" s="349"/>
      <c r="L28" s="319" t="s">
        <v>2202</v>
      </c>
      <c r="M28" s="329">
        <f>'数据-取费表'!B37</f>
        <v>0</v>
      </c>
    </row>
    <row r="29" spans="1:37" ht="18" customHeight="1" thickBot="1">
      <c r="A29" s="1429" t="s">
        <v>2203</v>
      </c>
      <c r="B29" s="1430" t="s">
        <v>2204</v>
      </c>
      <c r="C29" s="1431">
        <f ca="1">ROUND((C19+C20+C23+C26)/(1-F21-C24-C27-C28),0)</f>
        <v>279452</v>
      </c>
      <c r="D29" s="1432"/>
      <c r="E29" s="1430"/>
      <c r="F29" s="1433"/>
      <c r="G29" s="790"/>
      <c r="H29" s="356" t="s">
        <v>24</v>
      </c>
      <c r="I29" s="357" t="s">
        <v>2205</v>
      </c>
      <c r="J29" s="358">
        <f ca="1">ROUND(J26/(1+F40)^F41,0)</f>
        <v>0</v>
      </c>
      <c r="K29" s="359" t="s">
        <v>2206</v>
      </c>
      <c r="L29" s="360"/>
      <c r="M29" s="361">
        <f>IF(D1="仅计算典型户型",'数据-取费表'!E5,'数据-取费表'!B5)</f>
        <v>61.62</v>
      </c>
    </row>
    <row r="30" spans="1:37" ht="18" customHeight="1" thickTop="1">
      <c r="A30" s="1419" t="s">
        <v>14</v>
      </c>
      <c r="B30" s="1420" t="s">
        <v>2207</v>
      </c>
      <c r="C30" s="327">
        <f ca="1">ROUND(C31+C36+C37+C38,0)</f>
        <v>13006</v>
      </c>
      <c r="D30" s="1426" t="s">
        <v>2208</v>
      </c>
      <c r="E30" s="1427"/>
      <c r="F30" s="1428"/>
      <c r="G30" s="790"/>
      <c r="H30" s="1217"/>
      <c r="I30" s="1218"/>
      <c r="J30" s="1219"/>
      <c r="K30" s="1220"/>
      <c r="L30" s="1221"/>
      <c r="M30" s="1222"/>
    </row>
    <row r="31" spans="1:37" ht="18" customHeight="1">
      <c r="A31" s="337" t="s">
        <v>2110</v>
      </c>
      <c r="B31" s="319" t="s">
        <v>2147</v>
      </c>
      <c r="C31" s="14">
        <f ca="1">ROUND(IF(项目基本情况!B7="自然人",C5*F31,C32+C33+C34),1)</f>
        <v>5391.1</v>
      </c>
      <c r="D31" s="1887" t="s">
        <v>2209</v>
      </c>
      <c r="E31" s="1892" t="s">
        <v>2210</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2128</v>
      </c>
      <c r="B32" s="319" t="s">
        <v>2211</v>
      </c>
      <c r="C32" s="14" t="str">
        <f>IF(项目基本情况!B7="自然人","——",ROUND(C5*F32/(1+'数据-取费表'!F30),0))</f>
        <v>——</v>
      </c>
      <c r="D32" s="1892" t="s">
        <v>2212</v>
      </c>
      <c r="E32" s="319" t="s">
        <v>2161</v>
      </c>
      <c r="F32" s="352">
        <f>'数据-取费表'!E29</f>
        <v>5.6000000000000001E-2</v>
      </c>
      <c r="G32" s="790"/>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750" t="s">
        <v>2893</v>
      </c>
      <c r="E33" s="319" t="s">
        <v>2135</v>
      </c>
      <c r="F33" s="342">
        <f>IF(D33="按票据","——",IF(D33="按租金收入计税",'数据-取费表'!E39,'数据-取费表'!E38))</f>
        <v>0.12</v>
      </c>
      <c r="G33" s="790"/>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18</v>
      </c>
      <c r="G34" s="790"/>
      <c r="H34" s="1217"/>
      <c r="I34" s="365" t="s">
        <v>2214</v>
      </c>
      <c r="J34" s="366">
        <f ca="1">ROUND(C13*J35,0)</f>
        <v>20665</v>
      </c>
      <c r="K34" s="1231"/>
      <c r="L34" s="1232"/>
      <c r="M34" s="1232"/>
    </row>
    <row r="35" spans="1:18" ht="24.6" customHeight="1">
      <c r="A35" s="1387"/>
      <c r="B35" s="328"/>
      <c r="C35" s="19"/>
      <c r="D35" s="349"/>
      <c r="E35" s="319" t="s">
        <v>2169</v>
      </c>
      <c r="F35" s="320">
        <f>IF(D1="仅计算典型户型",'数据-取费表'!E6,'数据-取费表'!B6)</f>
        <v>0</v>
      </c>
      <c r="G35" s="790"/>
      <c r="H35" s="1217"/>
      <c r="I35" s="367" t="s">
        <v>2215</v>
      </c>
      <c r="J35" s="368">
        <f>'数据-取费表'!B17</f>
        <v>8.5000000000000006E-2</v>
      </c>
      <c r="K35" s="1230"/>
      <c r="L35" s="1229"/>
      <c r="M35" s="1229"/>
    </row>
    <row r="36" spans="1:18" ht="18" customHeight="1">
      <c r="A36" s="1386" t="s">
        <v>2117</v>
      </c>
      <c r="B36" s="319" t="s">
        <v>2216</v>
      </c>
      <c r="C36" s="14">
        <f ca="1">ROUND(C29*F36,0)</f>
        <v>5589</v>
      </c>
      <c r="D36" s="1892" t="s">
        <v>2217</v>
      </c>
      <c r="E36" s="319" t="s">
        <v>2161</v>
      </c>
      <c r="F36" s="350">
        <f>'数据-取费表'!B44</f>
        <v>0.02</v>
      </c>
      <c r="G36" s="790"/>
      <c r="H36" s="1229"/>
      <c r="I36" s="369" t="s">
        <v>2218</v>
      </c>
      <c r="J36" s="370"/>
      <c r="K36" s="1233"/>
      <c r="L36" s="1229"/>
      <c r="M36" s="1229"/>
    </row>
    <row r="37" spans="1:18" ht="18" customHeight="1">
      <c r="A37" s="337" t="s">
        <v>2165</v>
      </c>
      <c r="B37" s="319" t="s">
        <v>2176</v>
      </c>
      <c r="C37" s="14">
        <f ca="1">ROUND(C13*F37,0)</f>
        <v>486</v>
      </c>
      <c r="D37" s="1892" t="s">
        <v>2177</v>
      </c>
      <c r="E37" s="319" t="s">
        <v>2178</v>
      </c>
      <c r="F37" s="351">
        <f>'数据-取费表'!B45</f>
        <v>2E-3</v>
      </c>
      <c r="G37" s="790"/>
      <c r="H37" s="1229"/>
      <c r="I37" s="216" t="s">
        <v>2219</v>
      </c>
      <c r="J37" s="371"/>
      <c r="K37" s="1233"/>
      <c r="L37" s="1229"/>
      <c r="M37" s="1229"/>
    </row>
    <row r="38" spans="1:18" ht="18" customHeight="1" thickBot="1">
      <c r="A38" s="1429" t="s">
        <v>2170</v>
      </c>
      <c r="B38" s="1430" t="s">
        <v>2159</v>
      </c>
      <c r="C38" s="1431">
        <f ca="1">ROUND(C5*F38,0)</f>
        <v>1540</v>
      </c>
      <c r="D38" s="1432" t="s">
        <v>2182</v>
      </c>
      <c r="E38" s="1430" t="s">
        <v>2178</v>
      </c>
      <c r="F38" s="1425">
        <f>'数据-取费表'!B46</f>
        <v>0.02</v>
      </c>
      <c r="G38" s="790"/>
      <c r="H38" s="1229"/>
      <c r="I38" s="365" t="s">
        <v>2220</v>
      </c>
      <c r="J38" s="220">
        <f ca="1">ROUND(J34/C39,3)</f>
        <v>0.32300000000000001</v>
      </c>
      <c r="K38" s="1234"/>
      <c r="L38" s="1229"/>
      <c r="M38" s="1229"/>
    </row>
    <row r="39" spans="1:18" ht="18" customHeight="1" thickTop="1">
      <c r="A39" s="1419" t="s">
        <v>22</v>
      </c>
      <c r="B39" s="1434" t="s">
        <v>2221</v>
      </c>
      <c r="C39" s="327">
        <f ca="1">C5-C30</f>
        <v>64010</v>
      </c>
      <c r="D39" s="1435" t="s">
        <v>2222</v>
      </c>
      <c r="E39" s="1436"/>
      <c r="F39" s="1437"/>
      <c r="G39" s="790"/>
      <c r="H39" s="1229"/>
      <c r="I39" s="365" t="s">
        <v>2223</v>
      </c>
      <c r="J39" s="220">
        <f ca="1">1-J38</f>
        <v>0.67700000000000005</v>
      </c>
      <c r="K39" s="1234"/>
      <c r="L39" s="1229"/>
      <c r="M39" s="1229"/>
    </row>
    <row r="40" spans="1:18" s="790" customFormat="1" ht="18" customHeight="1">
      <c r="A40" s="316" t="s">
        <v>23</v>
      </c>
      <c r="B40" s="317" t="s">
        <v>2224</v>
      </c>
      <c r="C40" s="318">
        <f ca="1">ROUND(C39*(1-((1+F42)/(1+F40))^F41)/(F40-F42),0)</f>
        <v>1717521</v>
      </c>
      <c r="D40" s="346" t="s">
        <v>2192</v>
      </c>
      <c r="E40" s="319" t="s">
        <v>2193</v>
      </c>
      <c r="F40" s="329">
        <f>'数据-取费表'!B16</f>
        <v>0.05</v>
      </c>
      <c r="H40" s="1235"/>
      <c r="I40" s="216" t="s">
        <v>2225</v>
      </c>
      <c r="J40" s="217"/>
      <c r="K40" s="1234"/>
      <c r="L40" s="1235"/>
      <c r="M40" s="1235"/>
      <c r="Q40" s="794"/>
    </row>
    <row r="41" spans="1:18" s="790" customFormat="1" ht="18" customHeight="1">
      <c r="A41" s="321"/>
      <c r="B41" s="322"/>
      <c r="C41" s="323"/>
      <c r="D41" s="354" t="s">
        <v>2226</v>
      </c>
      <c r="E41" s="1824" t="s">
        <v>2883</v>
      </c>
      <c r="F41" s="355">
        <f>IF('数据-取费表'!B28="租赁期内按合同租金",'数据-取费表'!B34,IF(E41="收益年期(n)",'数据-取费表'!B33,'数据-取费表'!B13))</f>
        <v>40</v>
      </c>
      <c r="H41" s="1236"/>
      <c r="I41" s="219" t="s">
        <v>2098</v>
      </c>
      <c r="J41" s="220">
        <f ca="1">ROUND(C13/C40,3)</f>
        <v>0.14199999999999999</v>
      </c>
      <c r="K41" s="1233"/>
      <c r="L41" s="1236"/>
      <c r="M41" s="1236"/>
      <c r="Q41" s="794"/>
    </row>
    <row r="42" spans="1:18" s="790" customFormat="1" ht="18" customHeight="1">
      <c r="A42" s="325"/>
      <c r="B42" s="326"/>
      <c r="C42" s="327"/>
      <c r="D42" s="349"/>
      <c r="E42" s="319" t="s">
        <v>2202</v>
      </c>
      <c r="F42" s="329">
        <f>'数据-取费表'!B31</f>
        <v>0.03</v>
      </c>
      <c r="H42" s="1236"/>
      <c r="I42" s="219" t="s">
        <v>2099</v>
      </c>
      <c r="J42" s="221">
        <f ca="1">1-J41</f>
        <v>0.85799999999999998</v>
      </c>
      <c r="K42" s="1233"/>
      <c r="L42" s="1236"/>
      <c r="M42" s="1236"/>
      <c r="Q42" s="794"/>
    </row>
    <row r="43" spans="1:18" s="790" customFormat="1" ht="18" customHeight="1" thickBot="1">
      <c r="A43" s="356" t="s">
        <v>24</v>
      </c>
      <c r="B43" s="357" t="s">
        <v>2227</v>
      </c>
      <c r="C43" s="358">
        <f ca="1">ROUND(C40/F43,0)</f>
        <v>27873</v>
      </c>
      <c r="D43" s="359" t="s">
        <v>2228</v>
      </c>
      <c r="E43" s="360" t="s">
        <v>2229</v>
      </c>
      <c r="F43" s="361">
        <f>IF(D1="仅计算典型户型",'数据-取费表'!E5,'数据-取费表'!B5)</f>
        <v>61.62</v>
      </c>
      <c r="G43" s="792"/>
      <c r="H43" s="1236"/>
      <c r="I43" s="1236"/>
      <c r="J43" s="1236"/>
      <c r="K43" s="1233"/>
      <c r="L43" s="1236"/>
      <c r="M43" s="1236"/>
      <c r="O43" s="1360" t="s">
        <v>2230</v>
      </c>
      <c r="P43" s="1361"/>
      <c r="Q43" s="1357"/>
      <c r="R43" s="1361"/>
    </row>
    <row r="44" spans="1:18" s="790" customFormat="1" ht="18" customHeight="1" thickBot="1">
      <c r="A44" s="775"/>
      <c r="B44" s="775"/>
      <c r="C44" s="789"/>
      <c r="D44" s="775"/>
      <c r="E44" s="775"/>
      <c r="F44" s="775"/>
      <c r="G44" s="792"/>
      <c r="K44" s="791"/>
      <c r="O44" s="1362" t="s">
        <v>2231</v>
      </c>
      <c r="P44" s="1363" t="s">
        <v>2232</v>
      </c>
      <c r="Q44" s="1364" t="s">
        <v>2233</v>
      </c>
      <c r="R44" s="1365" t="s">
        <v>2234</v>
      </c>
    </row>
    <row r="45" spans="1:18" s="790" customFormat="1" ht="18" customHeight="1" thickBot="1">
      <c r="A45" s="775"/>
      <c r="B45" s="775"/>
      <c r="C45" s="789"/>
      <c r="D45" s="775"/>
      <c r="E45" s="775"/>
      <c r="F45" s="775"/>
      <c r="G45" s="793"/>
      <c r="K45" s="791"/>
      <c r="O45" s="1366" t="s">
        <v>957</v>
      </c>
      <c r="P45" s="1367" t="s">
        <v>2235</v>
      </c>
      <c r="Q45" s="1368">
        <f ca="1">C40+J29</f>
        <v>1717521</v>
      </c>
      <c r="R45" s="1369" t="s">
        <v>2236</v>
      </c>
    </row>
    <row r="46" spans="1:18" s="790" customFormat="1" ht="18" customHeight="1" thickBot="1">
      <c r="A46" s="775"/>
      <c r="D46" s="775"/>
      <c r="E46" s="775"/>
      <c r="F46" s="775"/>
      <c r="K46" s="791"/>
      <c r="O46" s="1366" t="s">
        <v>958</v>
      </c>
      <c r="P46" s="1367" t="s">
        <v>2237</v>
      </c>
      <c r="Q46" s="1368" t="str">
        <f>J61</f>
        <v>0</v>
      </c>
      <c r="R46" s="1369" t="s">
        <v>2238</v>
      </c>
    </row>
    <row r="47" spans="1:18" s="790" customFormat="1" ht="21.75" thickBot="1">
      <c r="A47" s="2344" t="s">
        <v>2239</v>
      </c>
      <c r="C47" s="1302">
        <f ca="1">IF(C2="元",C69-C40,ROUND((C69-C40)/10000,0))</f>
        <v>-182</v>
      </c>
      <c r="D47" s="2345" t="str">
        <f>C2</f>
        <v>万元</v>
      </c>
      <c r="E47" s="775"/>
      <c r="F47" s="775"/>
      <c r="I47" s="2346" t="s">
        <v>2240</v>
      </c>
      <c r="J47" s="1342"/>
      <c r="K47" s="1343"/>
      <c r="L47" s="1356" t="str">
        <f>IF(M48="住宅",0,IF(L49&gt;J52,L61,J61))</f>
        <v>0</v>
      </c>
      <c r="O47" s="1370" t="s">
        <v>959</v>
      </c>
      <c r="P47" s="1367" t="s">
        <v>2241</v>
      </c>
      <c r="Q47" s="1368">
        <f ca="1">C29</f>
        <v>279452</v>
      </c>
      <c r="R47" s="1369" t="s">
        <v>2236</v>
      </c>
    </row>
    <row r="48" spans="1:18" s="790" customFormat="1" ht="15.75" thickBot="1">
      <c r="A48" s="312" t="s">
        <v>2242</v>
      </c>
      <c r="B48" s="313" t="s">
        <v>2243</v>
      </c>
      <c r="C48" s="313" t="s">
        <v>2244</v>
      </c>
      <c r="D48" s="313" t="s">
        <v>2245</v>
      </c>
      <c r="E48" s="1296" t="s">
        <v>2246</v>
      </c>
      <c r="F48" s="1297"/>
      <c r="I48" s="2347" t="s">
        <v>2247</v>
      </c>
      <c r="J48" s="2348" t="s">
        <v>2857</v>
      </c>
      <c r="K48" s="2349" t="s">
        <v>2248</v>
      </c>
      <c r="L48" s="1344">
        <f>'数据-取费表'!B11</f>
        <v>50</v>
      </c>
      <c r="M48" s="1357" t="str">
        <f>IF('数据-取费表'!B10="住宅","住宅","非住宅")</f>
        <v>非住宅</v>
      </c>
      <c r="O48" s="1370" t="s">
        <v>960</v>
      </c>
      <c r="P48" s="1367" t="s">
        <v>2249</v>
      </c>
      <c r="Q48" s="1371" t="e">
        <f>J59</f>
        <v>#VALUE!</v>
      </c>
      <c r="R48" s="1369"/>
    </row>
    <row r="49" spans="1:18" s="790" customFormat="1" ht="15.75" thickBot="1">
      <c r="A49" s="1456" t="s">
        <v>1030</v>
      </c>
      <c r="B49" s="317" t="s">
        <v>2250</v>
      </c>
      <c r="C49" s="1457">
        <f ca="1">C50+C54+C56</f>
        <v>0</v>
      </c>
      <c r="D49" s="1458"/>
      <c r="E49" s="101"/>
      <c r="F49" s="16"/>
      <c r="I49" s="2350" t="s">
        <v>2251</v>
      </c>
      <c r="J49" s="2351" t="s">
        <v>2878</v>
      </c>
      <c r="K49" s="2352" t="s">
        <v>2252</v>
      </c>
      <c r="L49" s="1127">
        <f>'数据-取费表'!B13</f>
        <v>40</v>
      </c>
      <c r="O49" s="1370" t="s">
        <v>961</v>
      </c>
      <c r="P49" s="1367" t="s">
        <v>2253</v>
      </c>
      <c r="Q49" s="1371">
        <f>J53</f>
        <v>0.09</v>
      </c>
      <c r="R49" s="1369"/>
    </row>
    <row r="50" spans="1:18" s="790" customFormat="1" ht="15.75" thickBot="1">
      <c r="A50" s="345" t="s">
        <v>2110</v>
      </c>
      <c r="B50" s="2024" t="s">
        <v>2254</v>
      </c>
      <c r="C50" s="318">
        <f>ROUND(F50*F52*F51*(1-F53),0)</f>
        <v>0</v>
      </c>
      <c r="D50" s="93" t="s">
        <v>2807</v>
      </c>
      <c r="E50" s="2353" t="s">
        <v>2255</v>
      </c>
      <c r="F50" s="1298"/>
      <c r="I50" s="2350" t="s">
        <v>2256</v>
      </c>
      <c r="J50" s="1127">
        <f>'数据-取费表'!B26</f>
        <v>2010</v>
      </c>
      <c r="K50" s="2354" t="s">
        <v>2257</v>
      </c>
      <c r="L50" s="1345"/>
      <c r="O50" s="1370" t="s">
        <v>962</v>
      </c>
      <c r="P50" s="1367" t="s">
        <v>2258</v>
      </c>
      <c r="Q50" s="1368">
        <f>J54</f>
        <v>40</v>
      </c>
      <c r="R50" s="1369" t="s">
        <v>2259</v>
      </c>
    </row>
    <row r="51" spans="1:18" s="790" customFormat="1" ht="15.75" thickBot="1">
      <c r="A51" s="321"/>
      <c r="B51" s="322"/>
      <c r="C51" s="323"/>
      <c r="D51" s="324"/>
      <c r="E51" s="339" t="s">
        <v>2113</v>
      </c>
      <c r="F51" s="1295">
        <f>F7</f>
        <v>61.62</v>
      </c>
      <c r="I51" s="2350" t="s">
        <v>2260</v>
      </c>
      <c r="J51" s="1346">
        <f>SUMPRODUCT((I64:I66=J48)*(J63:L63=J49)*(J64:L66))</f>
        <v>60</v>
      </c>
      <c r="K51" s="2354" t="s">
        <v>2261</v>
      </c>
      <c r="L51" s="1345"/>
      <c r="O51" s="1366" t="s">
        <v>963</v>
      </c>
      <c r="P51" s="1367" t="str">
        <f>IF(C2="元","收益价值(元)","收益价值(万元)")</f>
        <v>收益价值(万元)</v>
      </c>
      <c r="Q51" s="1368">
        <f ca="1">ROUND(IF(C2="元",Q45+Q46,(Q45+Q46)/10000),0)</f>
        <v>172</v>
      </c>
      <c r="R51" s="1369" t="s">
        <v>964</v>
      </c>
    </row>
    <row r="52" spans="1:18" s="790" customFormat="1" ht="16.5" thickBot="1">
      <c r="A52" s="321"/>
      <c r="B52" s="322"/>
      <c r="C52" s="323"/>
      <c r="D52" s="324"/>
      <c r="E52" s="319" t="s">
        <v>2115</v>
      </c>
      <c r="F52" s="320">
        <f>F8</f>
        <v>365</v>
      </c>
      <c r="I52" s="2355" t="s">
        <v>2262</v>
      </c>
      <c r="J52" s="1347">
        <f>IF(J50="",J51,J50+J51-YEAR('数据-取费表'!B2))</f>
        <v>52</v>
      </c>
      <c r="K52" s="2356" t="s">
        <v>2263</v>
      </c>
      <c r="L52" s="1348">
        <f ca="1">ROUND(-PV('数据-取费表'!B15,L49,(C40-C13*J35)),0)</f>
        <v>31224831</v>
      </c>
      <c r="O52" s="1360" t="s">
        <v>2264</v>
      </c>
      <c r="P52" s="1361"/>
      <c r="Q52" s="1357"/>
      <c r="R52" s="1361"/>
    </row>
    <row r="53" spans="1:18" s="790" customFormat="1" ht="15.75" thickBot="1">
      <c r="A53" s="325"/>
      <c r="B53" s="326"/>
      <c r="C53" s="327"/>
      <c r="D53" s="328"/>
      <c r="E53" s="319" t="s">
        <v>2116</v>
      </c>
      <c r="F53" s="1355"/>
      <c r="I53" s="2357" t="s">
        <v>2265</v>
      </c>
      <c r="J53" s="1349">
        <v>0.09</v>
      </c>
      <c r="K53" s="2357" t="s">
        <v>2266</v>
      </c>
      <c r="L53" s="1349"/>
      <c r="O53" s="1362" t="s">
        <v>2231</v>
      </c>
      <c r="P53" s="1363" t="s">
        <v>2232</v>
      </c>
      <c r="Q53" s="1364" t="s">
        <v>2233</v>
      </c>
      <c r="R53" s="1365" t="s">
        <v>2234</v>
      </c>
    </row>
    <row r="54" spans="1:18" s="790" customFormat="1" ht="29.25" customHeight="1" thickBot="1">
      <c r="A54" s="1383" t="s">
        <v>2117</v>
      </c>
      <c r="B54" s="2338" t="s">
        <v>2118</v>
      </c>
      <c r="C54" s="1384">
        <f ca="1">ROUND(IF(F54="押一",C50/12*F11,IF(F54="押二",C50/12*2*F11,IF(F54="押三",C50/12*3*F11,C55*F11))),0)</f>
        <v>0</v>
      </c>
      <c r="D54" s="2339" t="s">
        <v>2815</v>
      </c>
      <c r="E54" s="330" t="s">
        <v>2119</v>
      </c>
      <c r="F54" s="2340"/>
      <c r="I54" s="2732" t="s">
        <v>2818</v>
      </c>
      <c r="J54" s="1350">
        <f>IF(M48="住宅",IF(E1="——",MAX(J52,L49),IF(E1="在建（套用方法）",MAX(J52,L49-'数据-取费表'!B25),MAX(J52,L49-'数据-取费表'!B21))),IF(E1="——",MIN(J52,L49),IF(E1="在建（套用方法）",MIN(J52,L49-'数据-取费表'!B25),IF(E1="土地（套用方法）",MIN(J52,L49-'数据-取费表'!B21)))))</f>
        <v>40</v>
      </c>
      <c r="K54" s="2982" t="s">
        <v>2805</v>
      </c>
      <c r="L54" s="2983"/>
      <c r="O54" s="1366" t="s">
        <v>957</v>
      </c>
      <c r="P54" s="1367" t="s">
        <v>2235</v>
      </c>
      <c r="Q54" s="1368">
        <f ca="1">C40+J29</f>
        <v>1717521</v>
      </c>
      <c r="R54" s="1369" t="s">
        <v>2236</v>
      </c>
    </row>
    <row r="55" spans="1:18" s="790" customFormat="1" ht="20.25" thickBot="1">
      <c r="A55" s="1383"/>
      <c r="B55" s="2358" t="s">
        <v>2122</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2267</v>
      </c>
      <c r="Q55" s="1368">
        <f>L61</f>
        <v>0</v>
      </c>
      <c r="R55" s="1369" t="s">
        <v>2268</v>
      </c>
    </row>
    <row r="56" spans="1:18" s="790" customFormat="1" ht="20.25" thickBot="1">
      <c r="A56" s="1423" t="s">
        <v>2123</v>
      </c>
      <c r="B56" s="2342" t="s">
        <v>2124</v>
      </c>
      <c r="C56" s="1424"/>
      <c r="D56" s="1440"/>
      <c r="E56" s="2361"/>
      <c r="F56" s="1500"/>
      <c r="I56" s="2362" t="s">
        <v>2269</v>
      </c>
      <c r="J56" s="1870" t="e">
        <f>ROUND(IF(J48="钢混",J58/J51,1-(1-2%)*(J51-J58)/J51),3)</f>
        <v>#VALUE!</v>
      </c>
      <c r="K56" s="2363" t="s">
        <v>2270</v>
      </c>
      <c r="L56" s="1351"/>
      <c r="O56" s="1370" t="s">
        <v>959</v>
      </c>
      <c r="P56" s="1367" t="s">
        <v>2271</v>
      </c>
      <c r="Q56" s="1368">
        <f>IF(L56="比较法",L50,IF(L56="基准地价",L51,0))</f>
        <v>0</v>
      </c>
      <c r="R56" s="1369" t="s">
        <v>2236</v>
      </c>
    </row>
    <row r="57" spans="1:18" s="790" customFormat="1" ht="44.25" thickTop="1" thickBot="1">
      <c r="A57" s="1419">
        <v>2</v>
      </c>
      <c r="B57" s="1420" t="s">
        <v>2125</v>
      </c>
      <c r="C57" s="1499">
        <f ca="1">C13</f>
        <v>243123</v>
      </c>
      <c r="D57" s="1293"/>
      <c r="E57" s="1294"/>
      <c r="F57" s="1301"/>
      <c r="I57" s="2364" t="s">
        <v>2272</v>
      </c>
      <c r="J57" s="1354" t="s">
        <v>2822</v>
      </c>
      <c r="K57" s="2350" t="s">
        <v>2273</v>
      </c>
      <c r="L57" s="1127" t="str">
        <f>IF(L49&lt;J52,"——",L49-J52)</f>
        <v>——</v>
      </c>
      <c r="O57" s="1370" t="s">
        <v>960</v>
      </c>
      <c r="P57" s="1367" t="s">
        <v>2274</v>
      </c>
      <c r="Q57" s="1371">
        <f>L53</f>
        <v>0</v>
      </c>
      <c r="R57" s="1369"/>
    </row>
    <row r="58" spans="1:18" s="790" customFormat="1" ht="29.25" thickBot="1">
      <c r="A58" s="1300"/>
      <c r="B58" s="319" t="s">
        <v>2204</v>
      </c>
      <c r="C58" s="188">
        <f ca="1">C29</f>
        <v>279452</v>
      </c>
      <c r="D58" s="1293"/>
      <c r="E58" s="1294"/>
      <c r="F58" s="1301"/>
      <c r="I58" s="2365" t="s">
        <v>2275</v>
      </c>
      <c r="J58" s="1353" t="str">
        <f>IF(OR(M48="住宅",J52&lt;L49,J57="是"),"——",J52-L49)</f>
        <v>——</v>
      </c>
      <c r="K58" s="2350" t="s">
        <v>2276</v>
      </c>
      <c r="L58" s="1127" t="str">
        <f>IF(L49&lt;J52,"——",IF(L56="比较法",L50,IF(L56="基准地价",L51,L52)))</f>
        <v>——</v>
      </c>
      <c r="O58" s="1370" t="s">
        <v>961</v>
      </c>
      <c r="P58" s="1367" t="s">
        <v>2277</v>
      </c>
      <c r="Q58" s="1368" t="e">
        <f>L59</f>
        <v>#DIV/0!</v>
      </c>
      <c r="R58" s="1369" t="s">
        <v>2278</v>
      </c>
    </row>
    <row r="59" spans="1:18" s="790" customFormat="1" ht="29.25" thickBot="1">
      <c r="A59" s="332" t="s">
        <v>14</v>
      </c>
      <c r="B59" s="333" t="s">
        <v>2207</v>
      </c>
      <c r="C59" s="334">
        <f ca="1">ROUND(C60+C65+C66+C67,0)</f>
        <v>6075</v>
      </c>
      <c r="D59" s="12" t="s">
        <v>2208</v>
      </c>
      <c r="E59" s="1897"/>
      <c r="F59" s="16"/>
      <c r="I59" s="2365" t="s">
        <v>2279</v>
      </c>
      <c r="J59" s="1869" t="e">
        <f>IF(J56&lt;0.4,0.4,J56)</f>
        <v>#VALUE!</v>
      </c>
      <c r="K59" s="2356" t="s">
        <v>2280</v>
      </c>
      <c r="L59" s="1127" t="e">
        <f>ROUND(POWER(1+L53,L48-L49)*(POWER(1+L53,L49)-1)/(POWER(1+L53,L48)-1),4)</f>
        <v>#DIV/0!</v>
      </c>
      <c r="O59" s="1370" t="s">
        <v>962</v>
      </c>
      <c r="P59" s="1367" t="str">
        <f>K60</f>
        <v>建筑物剩余耐用年限下的土地年期修正系数Kn</v>
      </c>
      <c r="Q59" s="1368" t="e">
        <f>L60</f>
        <v>#DIV/0!</v>
      </c>
      <c r="R59" s="1369" t="s">
        <v>2281</v>
      </c>
    </row>
    <row r="60" spans="1:18" s="790"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7.0000000000000007E-2</v>
      </c>
      <c r="I60" s="2365" t="s">
        <v>2282</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172</v>
      </c>
      <c r="R60" s="1369" t="s">
        <v>964</v>
      </c>
    </row>
    <row r="61" spans="1:18" s="790" customFormat="1" ht="16.5" thickBot="1">
      <c r="A61" s="337" t="s">
        <v>16</v>
      </c>
      <c r="B61" s="319" t="s">
        <v>2211</v>
      </c>
      <c r="C61" s="14" t="str">
        <f>IF(项目基本情况!B7="自然人","——",ROUND(C49*F61/(1+'数据-取费表'!F30),0))</f>
        <v>——</v>
      </c>
      <c r="D61" s="1892" t="s">
        <v>2212</v>
      </c>
      <c r="E61" s="319" t="s">
        <v>2161</v>
      </c>
      <c r="F61" s="352">
        <f t="shared" ref="F61:F67" si="0">F32</f>
        <v>5.6000000000000001E-2</v>
      </c>
      <c r="I61" s="2366" t="s">
        <v>2283</v>
      </c>
      <c r="J61" s="1352" t="str">
        <f>IF(OR(M48="住宅",J52&lt;L49,J57="是"),"0",ROUND(J60/(1+J53)^J54,0))</f>
        <v>0</v>
      </c>
      <c r="K61" s="2367" t="s">
        <v>2284</v>
      </c>
      <c r="L61" s="1352">
        <f>IF(OR(M48="住宅",L49&lt;J52),0,ROUND(L58*(L59/L60-1),0))</f>
        <v>0</v>
      </c>
      <c r="O61" s="1360" t="s">
        <v>2285</v>
      </c>
      <c r="P61" s="1361"/>
      <c r="Q61" s="1357"/>
      <c r="R61" s="1361"/>
    </row>
    <row r="62" spans="1:18" s="790" customFormat="1" ht="15.75" thickBot="1">
      <c r="A62" s="337" t="s">
        <v>17</v>
      </c>
      <c r="B62" s="319" t="s">
        <v>2286</v>
      </c>
      <c r="C62" s="14" t="str">
        <f>IF(项目基本情况!B7="自然人","——",IF(D62="按租金收入计税",ROUND(C49*F62,1),IF(D62="按房产原值计税",ROUND(C58*F62*0.7,1),'数据-取费表'!B43)))</f>
        <v>——</v>
      </c>
      <c r="D62" s="2013" t="s">
        <v>2158</v>
      </c>
      <c r="E62" s="319" t="s">
        <v>2161</v>
      </c>
      <c r="F62" s="342">
        <f t="shared" si="0"/>
        <v>0.12</v>
      </c>
      <c r="O62" s="1362" t="s">
        <v>2231</v>
      </c>
      <c r="P62" s="1363" t="s">
        <v>2232</v>
      </c>
      <c r="Q62" s="1364" t="s">
        <v>2233</v>
      </c>
      <c r="R62" s="1365" t="s">
        <v>2234</v>
      </c>
    </row>
    <row r="63" spans="1:18" s="790" customFormat="1" ht="15.75" thickBot="1">
      <c r="A63" s="345" t="s">
        <v>18</v>
      </c>
      <c r="B63" s="80" t="s">
        <v>2287</v>
      </c>
      <c r="C63" s="15" t="str">
        <f>IF(项目基本情况!B7="自然人","——",ROUND(F63*F64,0))</f>
        <v>——</v>
      </c>
      <c r="D63" s="346" t="s">
        <v>2288</v>
      </c>
      <c r="E63" s="319" t="s">
        <v>2289</v>
      </c>
      <c r="F63" s="347">
        <f t="shared" si="0"/>
        <v>18</v>
      </c>
      <c r="I63" s="2368" t="s">
        <v>2290</v>
      </c>
      <c r="J63" s="1873" t="s">
        <v>2291</v>
      </c>
      <c r="K63" s="1873" t="s">
        <v>2292</v>
      </c>
      <c r="L63" s="1873" t="s">
        <v>2293</v>
      </c>
      <c r="M63" s="1872" t="s">
        <v>2294</v>
      </c>
      <c r="O63" s="1366" t="s">
        <v>957</v>
      </c>
      <c r="P63" s="1367" t="s">
        <v>2235</v>
      </c>
      <c r="Q63" s="1368">
        <f ca="1">C40+J29</f>
        <v>1717521</v>
      </c>
      <c r="R63" s="1369" t="s">
        <v>2236</v>
      </c>
    </row>
    <row r="64" spans="1:18" s="790" customFormat="1" ht="20.25" thickBot="1">
      <c r="A64" s="348"/>
      <c r="B64" s="328"/>
      <c r="C64" s="19"/>
      <c r="D64" s="349"/>
      <c r="E64" s="319" t="s">
        <v>2295</v>
      </c>
      <c r="F64" s="320">
        <f t="shared" si="0"/>
        <v>0</v>
      </c>
      <c r="I64" s="2368" t="s">
        <v>2296</v>
      </c>
      <c r="J64" s="1873">
        <v>70</v>
      </c>
      <c r="K64" s="1873">
        <v>50</v>
      </c>
      <c r="L64" s="1873">
        <v>80</v>
      </c>
      <c r="M64" s="1871">
        <v>0.02</v>
      </c>
      <c r="O64" s="1366" t="s">
        <v>958</v>
      </c>
      <c r="P64" s="1367" t="s">
        <v>2267</v>
      </c>
      <c r="Q64" s="1368">
        <f>L61</f>
        <v>0</v>
      </c>
      <c r="R64" s="1369" t="s">
        <v>2268</v>
      </c>
    </row>
    <row r="65" spans="1:18" s="790" customFormat="1" ht="23.25" thickBot="1">
      <c r="A65" s="337" t="s">
        <v>19</v>
      </c>
      <c r="B65" s="319" t="s">
        <v>2216</v>
      </c>
      <c r="C65" s="14">
        <f ca="1">ROUND(C58*F65,0)</f>
        <v>5589</v>
      </c>
      <c r="D65" s="1892" t="s">
        <v>2217</v>
      </c>
      <c r="E65" s="319" t="s">
        <v>2161</v>
      </c>
      <c r="F65" s="350">
        <f t="shared" si="0"/>
        <v>0.02</v>
      </c>
      <c r="I65" s="2368" t="s">
        <v>2297</v>
      </c>
      <c r="J65" s="1873">
        <v>50</v>
      </c>
      <c r="K65" s="1873">
        <v>35</v>
      </c>
      <c r="L65" s="1873">
        <v>60</v>
      </c>
      <c r="M65" s="1872">
        <v>0</v>
      </c>
      <c r="O65" s="1370" t="s">
        <v>959</v>
      </c>
      <c r="P65" s="1367" t="s">
        <v>2271</v>
      </c>
      <c r="Q65" s="1372">
        <f ca="1">L52</f>
        <v>31224831</v>
      </c>
      <c r="R65" s="1373" t="s">
        <v>2298</v>
      </c>
    </row>
    <row r="66" spans="1:18" s="790" customFormat="1" ht="20.25" thickBot="1">
      <c r="A66" s="337" t="s">
        <v>20</v>
      </c>
      <c r="B66" s="319" t="s">
        <v>2176</v>
      </c>
      <c r="C66" s="14">
        <f ca="1">ROUND(C57*F66,0)</f>
        <v>486</v>
      </c>
      <c r="D66" s="1892" t="s">
        <v>2177</v>
      </c>
      <c r="E66" s="319" t="s">
        <v>2178</v>
      </c>
      <c r="F66" s="351">
        <f t="shared" si="0"/>
        <v>2E-3</v>
      </c>
      <c r="I66" s="2368" t="s">
        <v>2299</v>
      </c>
      <c r="J66" s="1873">
        <v>40</v>
      </c>
      <c r="K66" s="1873">
        <v>30</v>
      </c>
      <c r="L66" s="1873">
        <v>50</v>
      </c>
      <c r="M66" s="1871">
        <v>0.02</v>
      </c>
      <c r="O66" s="1370" t="s">
        <v>960</v>
      </c>
      <c r="P66" s="1374" t="s">
        <v>2300</v>
      </c>
      <c r="Q66" s="1368">
        <f ca="1">ROUND(Q67-Q68*Q69,0)</f>
        <v>43345</v>
      </c>
      <c r="R66" s="1369"/>
    </row>
    <row r="67" spans="1:18" s="790" customFormat="1" ht="15.75" thickBot="1">
      <c r="A67" s="337" t="s">
        <v>21</v>
      </c>
      <c r="B67" s="319" t="s">
        <v>2159</v>
      </c>
      <c r="C67" s="14">
        <f ca="1">ROUND(C49*F67,0)</f>
        <v>0</v>
      </c>
      <c r="D67" s="1892" t="s">
        <v>2182</v>
      </c>
      <c r="E67" s="319" t="s">
        <v>2178</v>
      </c>
      <c r="F67" s="329">
        <f t="shared" si="0"/>
        <v>0.02</v>
      </c>
      <c r="O67" s="1370" t="s">
        <v>965</v>
      </c>
      <c r="P67" s="1374" t="s">
        <v>2301</v>
      </c>
      <c r="Q67" s="1368">
        <f ca="1">C39</f>
        <v>64010</v>
      </c>
      <c r="R67" s="1369" t="s">
        <v>2236</v>
      </c>
    </row>
    <row r="68" spans="1:18" ht="15.75" thickBot="1">
      <c r="A68" s="332" t="s">
        <v>22</v>
      </c>
      <c r="B68" s="89" t="s">
        <v>2186</v>
      </c>
      <c r="C68" s="334">
        <f ca="1">C49-C59</f>
        <v>-6075</v>
      </c>
      <c r="D68" s="1887" t="s">
        <v>2187</v>
      </c>
      <c r="E68" s="1891"/>
      <c r="F68" s="353"/>
      <c r="H68" s="790"/>
      <c r="I68" s="790"/>
      <c r="J68" s="790"/>
      <c r="K68" s="790"/>
      <c r="L68" s="790"/>
      <c r="M68" s="790"/>
      <c r="O68" s="1370" t="s">
        <v>966</v>
      </c>
      <c r="P68" s="1374" t="s">
        <v>2302</v>
      </c>
      <c r="Q68" s="1368">
        <f ca="1">C13</f>
        <v>243123</v>
      </c>
      <c r="R68" s="1369" t="s">
        <v>2236</v>
      </c>
    </row>
    <row r="69" spans="1:18" ht="15.75" thickBot="1">
      <c r="A69" s="316" t="s">
        <v>23</v>
      </c>
      <c r="B69" s="317" t="s">
        <v>2224</v>
      </c>
      <c r="C69" s="318">
        <f ca="1">ROUND(C68*(1-((1+F71)/(1+F69))^F70)/(F69-F71),0)</f>
        <v>-104241</v>
      </c>
      <c r="D69" s="346" t="s">
        <v>2192</v>
      </c>
      <c r="E69" s="319" t="s">
        <v>2193</v>
      </c>
      <c r="F69" s="329">
        <f>F40</f>
        <v>0.05</v>
      </c>
      <c r="H69" s="790"/>
      <c r="I69" s="790"/>
      <c r="J69" s="790"/>
      <c r="K69" s="790"/>
      <c r="L69" s="790"/>
      <c r="M69" s="790"/>
      <c r="O69" s="1370" t="s">
        <v>967</v>
      </c>
      <c r="P69" s="1374" t="s">
        <v>2303</v>
      </c>
      <c r="Q69" s="1371">
        <f>J35</f>
        <v>8.5000000000000006E-2</v>
      </c>
      <c r="R69" s="1369"/>
    </row>
    <row r="70" spans="1:18" ht="15.75" thickBot="1">
      <c r="A70" s="321"/>
      <c r="B70" s="322"/>
      <c r="C70" s="323"/>
      <c r="D70" s="354" t="s">
        <v>2226</v>
      </c>
      <c r="E70" s="319" t="s">
        <v>2198</v>
      </c>
      <c r="F70" s="355">
        <f>F41</f>
        <v>40</v>
      </c>
      <c r="H70" s="790"/>
      <c r="I70" s="790"/>
      <c r="J70" s="790"/>
      <c r="K70" s="790"/>
      <c r="L70" s="790"/>
      <c r="M70" s="790"/>
      <c r="O70" s="1370" t="s">
        <v>961</v>
      </c>
      <c r="P70" s="1367" t="s">
        <v>2274</v>
      </c>
      <c r="Q70" s="1371">
        <f>L53</f>
        <v>0</v>
      </c>
      <c r="R70" s="1369"/>
    </row>
    <row r="71" spans="1:18" ht="20.25" thickBot="1">
      <c r="A71" s="325"/>
      <c r="B71" s="326"/>
      <c r="C71" s="327"/>
      <c r="D71" s="349"/>
      <c r="E71" s="319" t="s">
        <v>2202</v>
      </c>
      <c r="F71" s="1355"/>
      <c r="H71" s="790"/>
      <c r="M71" s="790"/>
      <c r="O71" s="1370" t="s">
        <v>962</v>
      </c>
      <c r="P71" s="1367" t="s">
        <v>2277</v>
      </c>
      <c r="Q71" s="1368" t="e">
        <f>L59</f>
        <v>#DIV/0!</v>
      </c>
      <c r="R71" s="1369" t="s">
        <v>2278</v>
      </c>
    </row>
    <row r="72" spans="1:18" ht="15.75" thickBot="1">
      <c r="A72" s="356" t="s">
        <v>24</v>
      </c>
      <c r="B72" s="357" t="s">
        <v>2227</v>
      </c>
      <c r="C72" s="358">
        <f ca="1">ROUND(C69/F72,0)</f>
        <v>-1692</v>
      </c>
      <c r="D72" s="359" t="s">
        <v>2228</v>
      </c>
      <c r="E72" s="360" t="s">
        <v>2229</v>
      </c>
      <c r="F72" s="361">
        <f>F43</f>
        <v>61.62</v>
      </c>
      <c r="O72" s="1370" t="s">
        <v>968</v>
      </c>
      <c r="P72" s="1367" t="str">
        <f>K60</f>
        <v>建筑物剩余耐用年限下的土地年期修正系数Kn</v>
      </c>
      <c r="Q72" s="1368" t="e">
        <f>L60</f>
        <v>#DIV/0!</v>
      </c>
      <c r="R72" s="1369" t="s">
        <v>2281</v>
      </c>
    </row>
    <row r="73" spans="1:18" ht="15.75" thickBot="1">
      <c r="A73" s="790"/>
      <c r="B73" s="794"/>
      <c r="C73" s="794"/>
      <c r="D73" s="790"/>
      <c r="E73" s="790"/>
      <c r="F73" s="790"/>
      <c r="O73" s="1366" t="s">
        <v>963</v>
      </c>
      <c r="P73" s="1367" t="str">
        <f>IF(C2="元","收益价值(元)","收益价值(万元)")</f>
        <v>收益价值(万元)</v>
      </c>
      <c r="Q73" s="1368">
        <f ca="1">ROUND(IF(C2="元",Q63+Q64,(Q63+Q64)/10000),0)</f>
        <v>172</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4" t="s">
        <v>1024</v>
      </c>
      <c r="B1" s="2985"/>
      <c r="C1" s="2986"/>
      <c r="D1" s="2987">
        <f>SUM(I10,I15,I20,I21,I23)</f>
        <v>0</v>
      </c>
      <c r="E1" s="2987"/>
      <c r="F1" s="2987"/>
      <c r="G1" s="2987"/>
      <c r="H1" s="2987"/>
      <c r="I1" s="2988"/>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3"/>
      <c r="C21" s="2993"/>
      <c r="D21" s="2993"/>
      <c r="E21" s="2993"/>
      <c r="F21" s="2993"/>
      <c r="G21" s="2993"/>
      <c r="H21" s="1404">
        <v>0.1</v>
      </c>
      <c r="I21" s="1397">
        <f>ROUND(I10*H21,0)</f>
        <v>0</v>
      </c>
    </row>
    <row r="22" spans="1:9" ht="14.25">
      <c r="A22" s="2994" t="s">
        <v>1029</v>
      </c>
      <c r="B22" s="2995"/>
      <c r="C22" s="2996"/>
      <c r="D22" s="1405" t="s">
        <v>1003</v>
      </c>
      <c r="E22" s="1405" t="s">
        <v>1004</v>
      </c>
      <c r="F22" s="1406" t="s">
        <v>979</v>
      </c>
      <c r="G22" s="1406" t="s">
        <v>1005</v>
      </c>
      <c r="H22" s="1398" t="s">
        <v>993</v>
      </c>
      <c r="I22" s="1389" t="s">
        <v>980</v>
      </c>
    </row>
    <row r="23" spans="1:9" ht="14.25" thickBot="1">
      <c r="A23" s="2997"/>
      <c r="B23" s="2998"/>
      <c r="C23" s="2999"/>
      <c r="D23" s="1407"/>
      <c r="E23" s="1407"/>
      <c r="F23" s="1407"/>
      <c r="G23" s="1408"/>
      <c r="H23" s="1409"/>
      <c r="I23" s="1410">
        <f>ROUND(E23*D23*F23*(1-G23)/10000,0)</f>
        <v>0</v>
      </c>
    </row>
    <row r="26" spans="1:9">
      <c r="A26" s="1411" t="s">
        <v>1006</v>
      </c>
      <c r="B26" s="1411"/>
      <c r="C26" s="1411"/>
      <c r="D26" s="1411"/>
      <c r="E26" s="3000">
        <f>C27-C30-C31-C32</f>
        <v>0</v>
      </c>
      <c r="F26" s="3000"/>
      <c r="G26" s="3000"/>
      <c r="H26" s="1828" t="s">
        <v>1219</v>
      </c>
    </row>
    <row r="27" spans="1:9">
      <c r="A27" s="1412">
        <v>1</v>
      </c>
      <c r="B27" s="1413" t="s">
        <v>1007</v>
      </c>
      <c r="C27" s="1413">
        <f>C28+C29</f>
        <v>0</v>
      </c>
      <c r="D27" s="1413"/>
      <c r="E27" s="3001"/>
      <c r="F27" s="3001"/>
      <c r="G27" s="3001"/>
    </row>
    <row r="28" spans="1:9">
      <c r="A28" s="1414" t="s">
        <v>1008</v>
      </c>
      <c r="B28" s="1413" t="s">
        <v>1009</v>
      </c>
      <c r="C28" s="1413"/>
      <c r="D28" s="1413"/>
      <c r="E28" s="3001"/>
      <c r="F28" s="3001"/>
      <c r="G28" s="300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3002" t="s">
        <v>1018</v>
      </c>
      <c r="B33" s="3003"/>
      <c r="C33" s="3003"/>
      <c r="D33" s="3004"/>
      <c r="E33" s="3000"/>
      <c r="F33" s="3000"/>
      <c r="G33" s="3000"/>
    </row>
    <row r="34" spans="1:7" hidden="1">
      <c r="A34" s="1416">
        <v>1</v>
      </c>
      <c r="B34" s="1413" t="s">
        <v>1019</v>
      </c>
      <c r="C34" s="1413"/>
      <c r="D34" s="1413"/>
      <c r="E34" s="3001"/>
      <c r="F34" s="3001"/>
      <c r="G34" s="3001"/>
    </row>
    <row r="35" spans="1:7" hidden="1">
      <c r="A35" s="1416">
        <v>2</v>
      </c>
      <c r="B35" s="1413" t="s">
        <v>1020</v>
      </c>
      <c r="C35" s="1413"/>
      <c r="D35" s="1413"/>
      <c r="E35" s="3001"/>
      <c r="F35" s="3001"/>
      <c r="G35" s="3001"/>
    </row>
    <row r="36" spans="1:7" hidden="1">
      <c r="A36" s="1416">
        <v>3</v>
      </c>
      <c r="B36" s="1413" t="s">
        <v>1021</v>
      </c>
      <c r="C36" s="1413"/>
      <c r="D36" s="1413"/>
      <c r="E36" s="3001"/>
      <c r="F36" s="3001"/>
      <c r="G36" s="3001"/>
    </row>
    <row r="37" spans="1:7" hidden="1">
      <c r="A37" s="1416">
        <v>4</v>
      </c>
      <c r="B37" s="1413" t="s">
        <v>1022</v>
      </c>
      <c r="C37" s="1413"/>
      <c r="D37" s="1413"/>
      <c r="E37" s="3001"/>
      <c r="F37" s="3001"/>
      <c r="G37" s="3001"/>
    </row>
    <row r="38" spans="1:7" hidden="1">
      <c r="A38" s="3002" t="s">
        <v>1023</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B23</f>
        <v>0</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08" t="s">
        <v>2309</v>
      </c>
      <c r="D4" s="3009"/>
      <c r="E4" s="3009"/>
      <c r="F4" s="3009"/>
      <c r="G4" s="3009"/>
      <c r="H4" s="3009"/>
      <c r="I4" s="3009"/>
      <c r="J4" s="3009"/>
      <c r="K4" s="3009"/>
      <c r="L4" s="3009"/>
      <c r="M4" s="3009"/>
      <c r="N4" s="3009"/>
      <c r="O4" s="3009"/>
      <c r="P4" s="3009"/>
      <c r="Q4" s="3009"/>
      <c r="R4" s="3009"/>
      <c r="S4" s="3010"/>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2318</v>
      </c>
      <c r="B20" s="2370"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2320</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2321</v>
      </c>
      <c r="B23" s="308">
        <f>IF(F23="——",IF(C23="万元",T25,S25),IF(C23="万元",T25-H23,S25-H23))</f>
        <v>0</v>
      </c>
      <c r="C23" s="2372" t="str">
        <f>'数据-取费表'!B3</f>
        <v>万元</v>
      </c>
      <c r="D23" s="84"/>
      <c r="E23" s="84"/>
      <c r="F23" s="2373" t="s">
        <v>1253</v>
      </c>
      <c r="G23" s="1879"/>
      <c r="H23" s="678" t="e">
        <f ca="1">SUMIF(INDIRECT("'"&amp;J23&amp;"'"&amp;"!A:A"),"承租人权益价值",INDIRECT("'"&amp;J23&amp;"'"&amp;"!c:c"))</f>
        <v>#REF!</v>
      </c>
      <c r="I23" s="678" t="str">
        <f>C2</f>
        <v>万元</v>
      </c>
      <c r="J23" s="2374"/>
      <c r="K23" s="84"/>
      <c r="L23" s="84"/>
      <c r="M23" s="84"/>
      <c r="N23" s="84"/>
      <c r="O23" s="84"/>
      <c r="P23" s="84"/>
      <c r="Q23" s="84"/>
      <c r="R23" s="768"/>
      <c r="S23" s="54"/>
      <c r="T23" s="54"/>
      <c r="V23" s="1312"/>
      <c r="W23" s="800"/>
      <c r="X23" s="36"/>
      <c r="Y23" s="36"/>
      <c r="Z23" s="800"/>
    </row>
    <row r="24" spans="1:45" ht="15.75">
      <c r="A24" s="2372" t="s">
        <v>2322</v>
      </c>
      <c r="B24" s="308" t="e">
        <f>R25</f>
        <v>#DIV/0!</v>
      </c>
      <c r="C24" s="1143"/>
      <c r="D24" s="84"/>
      <c r="E24" s="84"/>
      <c r="F24" s="84"/>
      <c r="G24" s="84"/>
      <c r="H24" s="84"/>
      <c r="I24" s="84"/>
      <c r="J24" s="84"/>
      <c r="K24" s="84"/>
      <c r="L24" s="84"/>
      <c r="M24" s="84"/>
      <c r="N24" s="84"/>
      <c r="O24" s="84"/>
      <c r="P24" s="84"/>
      <c r="Q24" s="84"/>
      <c r="R24" s="768"/>
      <c r="S24" s="14" t="s">
        <v>2323</v>
      </c>
      <c r="T24" s="1896" t="s">
        <v>2324</v>
      </c>
      <c r="U24" s="2375" t="s">
        <v>2325</v>
      </c>
      <c r="V24" s="1341"/>
      <c r="W24" s="2376" t="s">
        <v>2326</v>
      </c>
      <c r="X24" s="2375" t="s">
        <v>2327</v>
      </c>
      <c r="Y24" s="1341"/>
      <c r="Z24" s="2377" t="s">
        <v>2326</v>
      </c>
    </row>
    <row r="25" spans="1:45">
      <c r="A25" s="334" t="s">
        <v>2328</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9" t="s">
        <v>2335</v>
      </c>
      <c r="W26" s="2380" t="s">
        <v>2336</v>
      </c>
      <c r="X26" s="1882" t="s">
        <v>2334</v>
      </c>
      <c r="Y26" s="2379" t="s">
        <v>2335</v>
      </c>
      <c r="Z26" s="2380" t="s">
        <v>2336</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c r="D1" s="2381"/>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2010</v>
      </c>
      <c r="B2" s="1724" t="e">
        <f ca="1">IF(D2="——",IF(C2="元",ROUND(C49*D3,0),ROUND(C49*D3/10000,0)),IF(C2="元",ROUND(C49*D3,0),ROUND(C49*D3/10000,0))-E2)</f>
        <v>#DIV/0!</v>
      </c>
      <c r="C2" s="163" t="str">
        <f>'数据-取费表'!B3</f>
        <v>万元</v>
      </c>
      <c r="D2" s="2384"/>
      <c r="E2" s="1842" t="e">
        <f ca="1">SUMIF(INDIRECT("'"&amp;G2&amp;"'"&amp;"!A:A"),"承租人权益价值",INDIRECT("'"&amp;G2&amp;"'"&amp;"!c:c"))</f>
        <v>#REF!</v>
      </c>
      <c r="F2" s="2385" t="str">
        <f>C2</f>
        <v>万元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2011</v>
      </c>
      <c r="B3" s="378" t="e">
        <f ca="1">ROUND(IF(D2="——",C49,IF(C2="万元",B2*10000/D3,B2/D3)),0)</f>
        <v>#DIV/0!</v>
      </c>
      <c r="C3" s="379" t="s">
        <v>2341</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2342</v>
      </c>
      <c r="B4" s="381"/>
      <c r="C4" s="3014" t="s">
        <v>2343</v>
      </c>
      <c r="D4" s="3015"/>
      <c r="E4" s="3016" t="s">
        <v>2344</v>
      </c>
      <c r="F4" s="3017"/>
      <c r="G4" s="3014" t="s">
        <v>2345</v>
      </c>
      <c r="H4" s="3015"/>
      <c r="I4" s="3014" t="s">
        <v>2346</v>
      </c>
      <c r="J4" s="3015"/>
      <c r="K4" s="2395"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1" t="s">
        <v>2345</v>
      </c>
      <c r="AC4" s="3011" t="s">
        <v>2346</v>
      </c>
    </row>
    <row r="5" spans="1:29" ht="15">
      <c r="A5" s="383"/>
      <c r="B5" s="384"/>
      <c r="C5" s="3033" t="s">
        <v>2349</v>
      </c>
      <c r="D5" s="3034"/>
      <c r="E5" s="3031" t="s">
        <v>2350</v>
      </c>
      <c r="F5" s="3032"/>
      <c r="G5" s="3033" t="s">
        <v>2351</v>
      </c>
      <c r="H5" s="3034"/>
      <c r="I5" s="3033" t="s">
        <v>2352</v>
      </c>
      <c r="J5" s="3034"/>
      <c r="K5" s="2396"/>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2396"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46" t="s">
        <v>2356</v>
      </c>
      <c r="Q7" s="3048"/>
      <c r="R7" s="748" t="s">
        <v>34</v>
      </c>
      <c r="S7" s="749">
        <f t="shared" ref="S7:S15" si="0">F7</f>
        <v>0</v>
      </c>
      <c r="T7" s="748" t="s">
        <v>34</v>
      </c>
      <c r="U7" s="749">
        <f t="shared" ref="U7:U15" si="1">H7</f>
        <v>0</v>
      </c>
      <c r="V7" s="748" t="s">
        <v>34</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46" t="s">
        <v>2359</v>
      </c>
      <c r="Q8" s="3047"/>
      <c r="R8" s="748" t="s">
        <v>34</v>
      </c>
      <c r="S8" s="749">
        <f t="shared" si="0"/>
        <v>0</v>
      </c>
      <c r="T8" s="748" t="s">
        <v>34</v>
      </c>
      <c r="U8" s="749">
        <f t="shared" si="1"/>
        <v>0</v>
      </c>
      <c r="V8" s="748" t="s">
        <v>34</v>
      </c>
      <c r="W8" s="749">
        <f t="shared" si="2"/>
        <v>0</v>
      </c>
      <c r="X8" s="750"/>
      <c r="Y8" s="3046" t="s">
        <v>2359</v>
      </c>
      <c r="Z8" s="3047"/>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9"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9"/>
      <c r="Q11" s="1886"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2366</v>
      </c>
      <c r="B15" s="26" t="s">
        <v>1740</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2" t="s">
        <v>2367</v>
      </c>
      <c r="Q15" s="1898" t="str">
        <f t="shared" si="6"/>
        <v>居住社区成熟度</v>
      </c>
      <c r="R15" s="752" t="s">
        <v>28</v>
      </c>
      <c r="S15" s="753">
        <f t="shared" si="0"/>
        <v>100</v>
      </c>
      <c r="T15" s="752" t="s">
        <v>28</v>
      </c>
      <c r="U15" s="753">
        <f t="shared" si="1"/>
        <v>100</v>
      </c>
      <c r="V15" s="752" t="s">
        <v>28</v>
      </c>
      <c r="W15" s="753">
        <f t="shared" si="2"/>
        <v>100</v>
      </c>
      <c r="X15" s="1899"/>
      <c r="Y15" s="3039" t="s">
        <v>2367</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3"/>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1750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3"/>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1753</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3"/>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3"/>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2369</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53"/>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9" t="s">
        <v>2370</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53"/>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53"/>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2371</v>
      </c>
      <c r="B32" s="28" t="s">
        <v>2372</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41" t="s">
        <v>2373</v>
      </c>
      <c r="Q32" s="1898" t="str">
        <f t="shared" si="11"/>
        <v>建筑类型</v>
      </c>
      <c r="R32" s="752" t="s">
        <v>28</v>
      </c>
      <c r="S32" s="753">
        <f t="shared" si="12"/>
        <v>100</v>
      </c>
      <c r="T32" s="752" t="s">
        <v>28</v>
      </c>
      <c r="U32" s="753">
        <f t="shared" si="13"/>
        <v>100</v>
      </c>
      <c r="V32" s="752" t="s">
        <v>28</v>
      </c>
      <c r="W32" s="753">
        <f t="shared" si="14"/>
        <v>100</v>
      </c>
      <c r="X32" s="1899"/>
      <c r="Y32" s="3044" t="s">
        <v>2373</v>
      </c>
      <c r="Z32" s="1901" t="str">
        <f t="shared" si="15"/>
        <v>建筑类型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42"/>
      <c r="Q33" s="754" t="str">
        <f t="shared" si="11"/>
        <v>项目建筑规模</v>
      </c>
      <c r="R33" s="755" t="s">
        <v>28</v>
      </c>
      <c r="S33" s="756" t="e">
        <f t="shared" si="12"/>
        <v>#N/A</v>
      </c>
      <c r="T33" s="755" t="s">
        <v>28</v>
      </c>
      <c r="U33" s="756" t="e">
        <f t="shared" si="13"/>
        <v>#N/A</v>
      </c>
      <c r="V33" s="755" t="s">
        <v>28</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42"/>
      <c r="Q34" s="1898" t="str">
        <f t="shared" si="11"/>
        <v>建筑结构</v>
      </c>
      <c r="R34" s="752" t="s">
        <v>28</v>
      </c>
      <c r="S34" s="753">
        <f t="shared" si="12"/>
        <v>100</v>
      </c>
      <c r="T34" s="752" t="s">
        <v>28</v>
      </c>
      <c r="U34" s="753">
        <f t="shared" si="13"/>
        <v>100</v>
      </c>
      <c r="V34" s="752" t="s">
        <v>28</v>
      </c>
      <c r="W34" s="753">
        <f t="shared" si="14"/>
        <v>100</v>
      </c>
      <c r="X34" s="1899"/>
      <c r="Y34" s="3044"/>
      <c r="Z34" s="1901" t="str">
        <f t="shared" si="15"/>
        <v>建筑结构</v>
      </c>
      <c r="AA34" s="1902">
        <f t="shared" si="3"/>
        <v>1</v>
      </c>
      <c r="AB34" s="1902">
        <f t="shared" si="4"/>
        <v>1</v>
      </c>
      <c r="AC34" s="1902">
        <f t="shared" si="5"/>
        <v>1</v>
      </c>
    </row>
    <row r="35" spans="1:29" ht="15">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2" t="s">
        <v>28</v>
      </c>
      <c r="S35" s="753">
        <f t="shared" si="12"/>
        <v>100</v>
      </c>
      <c r="T35" s="752" t="s">
        <v>28</v>
      </c>
      <c r="U35" s="753">
        <f t="shared" si="13"/>
        <v>100</v>
      </c>
      <c r="V35" s="752" t="s">
        <v>28</v>
      </c>
      <c r="W35" s="753">
        <f t="shared" si="14"/>
        <v>100</v>
      </c>
      <c r="X35" s="1899"/>
      <c r="Y35" s="3044"/>
      <c r="Z35" s="1901" t="str">
        <f t="shared" si="15"/>
        <v>建筑品质</v>
      </c>
      <c r="AA35" s="1902">
        <f t="shared" si="3"/>
        <v>1</v>
      </c>
      <c r="AB35" s="1902">
        <f t="shared" si="4"/>
        <v>1</v>
      </c>
      <c r="AC35" s="1902">
        <f t="shared" si="5"/>
        <v>1</v>
      </c>
    </row>
    <row r="36" spans="1:29" ht="15">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42"/>
      <c r="Q36" s="1898" t="str">
        <f t="shared" si="11"/>
        <v>公共部分装修</v>
      </c>
      <c r="R36" s="752" t="s">
        <v>28</v>
      </c>
      <c r="S36" s="753">
        <f t="shared" si="12"/>
        <v>100</v>
      </c>
      <c r="T36" s="752" t="s">
        <v>28</v>
      </c>
      <c r="U36" s="753">
        <f t="shared" si="13"/>
        <v>100</v>
      </c>
      <c r="V36" s="752" t="s">
        <v>28</v>
      </c>
      <c r="W36" s="753">
        <f t="shared" si="14"/>
        <v>100</v>
      </c>
      <c r="X36" s="1899"/>
      <c r="Y36" s="3044"/>
      <c r="Z36" s="1901" t="str">
        <f t="shared" si="15"/>
        <v>公共部分装修</v>
      </c>
      <c r="AA36" s="1902">
        <f t="shared" si="3"/>
        <v>1</v>
      </c>
      <c r="AB36" s="1902">
        <f t="shared" si="4"/>
        <v>1</v>
      </c>
      <c r="AC36" s="1902">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42"/>
      <c r="Q37" s="1886" t="str">
        <f t="shared" si="11"/>
        <v>成新度</v>
      </c>
      <c r="R37" s="748" t="s">
        <v>28</v>
      </c>
      <c r="S37" s="749" t="e">
        <f t="shared" si="12"/>
        <v>#N/A</v>
      </c>
      <c r="T37" s="748" t="s">
        <v>28</v>
      </c>
      <c r="U37" s="749" t="e">
        <f t="shared" si="13"/>
        <v>#N/A</v>
      </c>
      <c r="V37" s="748" t="s">
        <v>28</v>
      </c>
      <c r="W37" s="749" t="e">
        <f t="shared" si="14"/>
        <v>#N/A</v>
      </c>
      <c r="X37" s="750"/>
      <c r="Y37" s="3044"/>
      <c r="Z37" s="23" t="str">
        <f t="shared" si="15"/>
        <v>成新度</v>
      </c>
      <c r="AA37" s="751" t="e">
        <f t="shared" si="3"/>
        <v>#N/A</v>
      </c>
      <c r="AB37" s="751" t="e">
        <f t="shared" si="4"/>
        <v>#N/A</v>
      </c>
      <c r="AC37" s="751" t="e">
        <f t="shared" si="5"/>
        <v>#N/A</v>
      </c>
    </row>
    <row r="38" spans="1:29" ht="15">
      <c r="A38" s="453"/>
      <c r="B38" s="402" t="s">
        <v>2379</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42" t="s">
        <v>2373</v>
      </c>
      <c r="Q38" s="1898" t="str">
        <f t="shared" si="11"/>
        <v>物业管理</v>
      </c>
      <c r="R38" s="752" t="s">
        <v>28</v>
      </c>
      <c r="S38" s="753">
        <f t="shared" si="12"/>
        <v>100</v>
      </c>
      <c r="T38" s="752" t="s">
        <v>28</v>
      </c>
      <c r="U38" s="753">
        <f t="shared" si="13"/>
        <v>100</v>
      </c>
      <c r="V38" s="752" t="s">
        <v>28</v>
      </c>
      <c r="W38" s="753">
        <f t="shared" si="14"/>
        <v>100</v>
      </c>
      <c r="X38" s="1899"/>
      <c r="Y38" s="3044" t="s">
        <v>2373</v>
      </c>
      <c r="Z38" s="1901" t="str">
        <f t="shared" si="15"/>
        <v>物业管理</v>
      </c>
      <c r="AA38" s="1902">
        <f t="shared" si="3"/>
        <v>1</v>
      </c>
      <c r="AB38" s="1902">
        <f t="shared" si="4"/>
        <v>1</v>
      </c>
      <c r="AC38" s="1902">
        <f t="shared" si="5"/>
        <v>1</v>
      </c>
    </row>
    <row r="39" spans="1:29" ht="15">
      <c r="A39" s="453"/>
      <c r="B39" s="402" t="s">
        <v>2380</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42"/>
      <c r="Q39" s="1898" t="str">
        <f t="shared" si="11"/>
        <v>市政基础设施</v>
      </c>
      <c r="R39" s="752" t="s">
        <v>28</v>
      </c>
      <c r="S39" s="753">
        <f t="shared" si="12"/>
        <v>100</v>
      </c>
      <c r="T39" s="752" t="s">
        <v>28</v>
      </c>
      <c r="U39" s="753">
        <f t="shared" si="13"/>
        <v>100</v>
      </c>
      <c r="V39" s="752" t="s">
        <v>28</v>
      </c>
      <c r="W39" s="753">
        <f t="shared" si="14"/>
        <v>100</v>
      </c>
      <c r="X39" s="1899"/>
      <c r="Y39" s="3044"/>
      <c r="Z39" s="1901" t="str">
        <f t="shared" si="15"/>
        <v>市政基础设施</v>
      </c>
      <c r="AA39" s="1902">
        <f t="shared" si="3"/>
        <v>1</v>
      </c>
      <c r="AB39" s="1902">
        <f t="shared" si="4"/>
        <v>1</v>
      </c>
      <c r="AC39" s="1902">
        <f t="shared" si="5"/>
        <v>1</v>
      </c>
    </row>
    <row r="40" spans="1:29" ht="15">
      <c r="A40" s="453"/>
      <c r="B40" s="402" t="s">
        <v>2381</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42"/>
      <c r="Q40" s="1898" t="str">
        <f t="shared" si="11"/>
        <v>房型</v>
      </c>
      <c r="R40" s="752" t="s">
        <v>28</v>
      </c>
      <c r="S40" s="753">
        <f t="shared" si="12"/>
        <v>100</v>
      </c>
      <c r="T40" s="752" t="s">
        <v>28</v>
      </c>
      <c r="U40" s="753">
        <f t="shared" si="13"/>
        <v>100</v>
      </c>
      <c r="V40" s="752" t="s">
        <v>28</v>
      </c>
      <c r="W40" s="753">
        <f t="shared" si="14"/>
        <v>100</v>
      </c>
      <c r="X40" s="1899"/>
      <c r="Y40" s="3044"/>
      <c r="Z40" s="1901" t="str">
        <f t="shared" si="15"/>
        <v>房型</v>
      </c>
      <c r="AA40" s="1902">
        <f t="shared" si="3"/>
        <v>1</v>
      </c>
      <c r="AB40" s="1902">
        <f t="shared" si="4"/>
        <v>1</v>
      </c>
      <c r="AC40" s="1902">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4" t="str">
        <f t="shared" si="11"/>
        <v>单套/主力户型建筑面积</v>
      </c>
      <c r="R41" s="755" t="s">
        <v>28</v>
      </c>
      <c r="S41" s="756">
        <f t="shared" si="12"/>
        <v>100</v>
      </c>
      <c r="T41" s="755" t="s">
        <v>28</v>
      </c>
      <c r="U41" s="756">
        <f t="shared" si="13"/>
        <v>100</v>
      </c>
      <c r="V41" s="755" t="s">
        <v>28</v>
      </c>
      <c r="W41" s="756">
        <f t="shared" si="14"/>
        <v>100</v>
      </c>
      <c r="X41" s="757"/>
      <c r="Y41" s="3044"/>
      <c r="Z41" s="758" t="str">
        <f t="shared" si="15"/>
        <v>单套/主力户型建筑面积</v>
      </c>
      <c r="AA41" s="1902">
        <f t="shared" si="3"/>
        <v>1</v>
      </c>
      <c r="AB41" s="1902">
        <f t="shared" si="4"/>
        <v>1</v>
      </c>
      <c r="AC41" s="1902">
        <f t="shared" si="5"/>
        <v>1</v>
      </c>
    </row>
    <row r="42" spans="1:29" ht="15">
      <c r="A42" s="453"/>
      <c r="B42" s="402" t="s">
        <v>2383</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42"/>
      <c r="Q42" s="1898" t="str">
        <f t="shared" si="11"/>
        <v>内部装修</v>
      </c>
      <c r="R42" s="752" t="s">
        <v>28</v>
      </c>
      <c r="S42" s="753">
        <f t="shared" si="12"/>
        <v>100</v>
      </c>
      <c r="T42" s="752" t="s">
        <v>28</v>
      </c>
      <c r="U42" s="753">
        <f t="shared" si="13"/>
        <v>100</v>
      </c>
      <c r="V42" s="752" t="s">
        <v>28</v>
      </c>
      <c r="W42" s="753">
        <f t="shared" si="14"/>
        <v>100</v>
      </c>
      <c r="X42" s="1899"/>
      <c r="Y42" s="3044"/>
      <c r="Z42" s="1901" t="str">
        <f t="shared" si="15"/>
        <v>内部装修</v>
      </c>
      <c r="AA42" s="1902">
        <f t="shared" si="3"/>
        <v>1</v>
      </c>
      <c r="AB42" s="1902">
        <f t="shared" si="4"/>
        <v>1</v>
      </c>
      <c r="AC42" s="1902">
        <f t="shared" si="5"/>
        <v>1</v>
      </c>
    </row>
    <row r="43" spans="1:29" ht="15">
      <c r="A43" s="453"/>
      <c r="B43" s="402" t="s">
        <v>2384</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42"/>
      <c r="Q43" s="1898" t="str">
        <f t="shared" si="11"/>
        <v>内部装修维护情况</v>
      </c>
      <c r="R43" s="752" t="s">
        <v>28</v>
      </c>
      <c r="S43" s="753">
        <f t="shared" si="12"/>
        <v>100</v>
      </c>
      <c r="T43" s="752" t="s">
        <v>28</v>
      </c>
      <c r="U43" s="753">
        <f t="shared" si="13"/>
        <v>100</v>
      </c>
      <c r="V43" s="752" t="s">
        <v>28</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2"/>
      <c r="Q44" s="1886">
        <f t="shared" si="11"/>
        <v>111</v>
      </c>
      <c r="R44" s="748" t="s">
        <v>28</v>
      </c>
      <c r="S44" s="749">
        <f t="shared" si="12"/>
        <v>100</v>
      </c>
      <c r="T44" s="748" t="s">
        <v>28</v>
      </c>
      <c r="U44" s="749">
        <f t="shared" si="13"/>
        <v>100</v>
      </c>
      <c r="V44" s="748" t="s">
        <v>28</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2" t="s">
        <v>28</v>
      </c>
      <c r="S45" s="753">
        <f t="shared" si="12"/>
        <v>100</v>
      </c>
      <c r="T45" s="752" t="s">
        <v>28</v>
      </c>
      <c r="U45" s="753">
        <f t="shared" si="13"/>
        <v>100</v>
      </c>
      <c r="V45" s="752" t="s">
        <v>28</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2" t="s">
        <v>27</v>
      </c>
      <c r="S46" s="753">
        <f t="shared" si="12"/>
        <v>100</v>
      </c>
      <c r="T46" s="752" t="s">
        <v>27</v>
      </c>
      <c r="U46" s="753">
        <f t="shared" si="13"/>
        <v>100</v>
      </c>
      <c r="V46" s="752" t="s">
        <v>27</v>
      </c>
      <c r="W46" s="753">
        <f t="shared" si="14"/>
        <v>100</v>
      </c>
      <c r="X46" s="1899"/>
      <c r="Y46" s="3045"/>
      <c r="Z46" s="1901">
        <f t="shared" si="15"/>
        <v>111</v>
      </c>
      <c r="AA46" s="1902">
        <f t="shared" si="3"/>
        <v>1</v>
      </c>
      <c r="AB46" s="1902">
        <f t="shared" si="4"/>
        <v>1</v>
      </c>
      <c r="AC46" s="1902">
        <f t="shared" si="5"/>
        <v>1</v>
      </c>
    </row>
    <row r="47" spans="1:29" ht="15">
      <c r="A47" s="460" t="s">
        <v>2385</v>
      </c>
      <c r="B47" s="461"/>
      <c r="C47" s="1501" t="s">
        <v>26</v>
      </c>
      <c r="D47" s="1502"/>
      <c r="E47" s="1503"/>
      <c r="F47" s="1504"/>
      <c r="G47" s="1505"/>
      <c r="H47" s="1506"/>
      <c r="I47" s="1503"/>
      <c r="J47" s="1506"/>
      <c r="K47" s="2417"/>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2386</v>
      </c>
      <c r="B48" s="468"/>
      <c r="C48" s="1507" t="e">
        <f>R49</f>
        <v>#DIV/0!</v>
      </c>
      <c r="D48" s="1508"/>
      <c r="E48" s="1509" t="e">
        <f>R48</f>
        <v>#DIV/0!</v>
      </c>
      <c r="F48" s="1509"/>
      <c r="G48" s="1507" t="e">
        <f>T48</f>
        <v>#DIV/0!</v>
      </c>
      <c r="H48" s="1508"/>
      <c r="I48" s="1509" t="e">
        <f>V48</f>
        <v>#DIV/0!</v>
      </c>
      <c r="J48" s="1508"/>
      <c r="K48" s="2418"/>
      <c r="L48" s="1255"/>
      <c r="M48" s="1256"/>
      <c r="N48" s="1256"/>
      <c r="O48" s="1256"/>
      <c r="P48" s="3050" t="str">
        <f>A48</f>
        <v>比较价值（元/平方米）</v>
      </c>
      <c r="Q48" s="3050"/>
      <c r="R48" s="3051" t="e">
        <f>IF(E1="售价",ROUND(PRODUCT(R47,AA7:AA46),0),ROUND(PRODUCT(R47,AA7:AA46),1))</f>
        <v>#DIV/0!</v>
      </c>
      <c r="S48" s="3051"/>
      <c r="T48" s="3054" t="e">
        <f>IF(E1="售价",ROUND(PRODUCT(T47,AB7:AB46),0),ROUND(PRODUCT(T47,AB7:AB46),1))</f>
        <v>#DIV/0!</v>
      </c>
      <c r="U48" s="3055"/>
      <c r="V48" s="3051" t="e">
        <f>IF(E1="售价",ROUND(PRODUCT(V47,AC7:AC46),0),ROUND(PRODUCT(V47,AC7:AC46),1))</f>
        <v>#DIV/0!</v>
      </c>
      <c r="W48" s="3051"/>
      <c r="X48" s="737"/>
      <c r="Y48" s="737"/>
      <c r="Z48" s="737"/>
      <c r="AA48" s="737"/>
      <c r="AB48" s="737"/>
      <c r="AC48" s="737"/>
    </row>
    <row r="49" spans="1:29" ht="15.75" thickBot="1">
      <c r="A49" s="473" t="s">
        <v>2387</v>
      </c>
      <c r="B49" s="474"/>
      <c r="C49" s="1510" t="e">
        <f>R49</f>
        <v>#DIV/0!</v>
      </c>
      <c r="D49" s="1511"/>
      <c r="E49" s="1511"/>
      <c r="F49" s="1511"/>
      <c r="G49" s="1511"/>
      <c r="H49" s="1511"/>
      <c r="I49" s="1511"/>
      <c r="J49" s="1511"/>
      <c r="K49" s="2419"/>
      <c r="L49" s="1255"/>
      <c r="M49" s="1256"/>
      <c r="N49" s="1256"/>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2391</v>
      </c>
      <c r="B57" s="737"/>
      <c r="C57" s="742"/>
      <c r="D57" s="742"/>
      <c r="E57" s="742"/>
      <c r="F57" s="743"/>
      <c r="G57" s="743"/>
      <c r="H57" s="742"/>
      <c r="I57" s="742"/>
      <c r="J57" s="742"/>
      <c r="K57" s="744"/>
      <c r="L57" s="745"/>
      <c r="M57" s="742"/>
      <c r="N57" s="742"/>
      <c r="O57" s="742"/>
      <c r="P57" s="2422"/>
      <c r="Q57" s="485"/>
    </row>
    <row r="58" spans="1:29" s="489" customFormat="1" ht="15">
      <c r="A58" s="486" t="s">
        <v>2392</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2418</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2419</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2371</v>
      </c>
      <c r="B100" s="509" t="s">
        <v>2420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2423</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2424</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2428</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4">
        <v>6</v>
      </c>
      <c r="C139" s="1132">
        <v>96</v>
      </c>
      <c r="D139" s="2444" t="s">
        <v>2440</v>
      </c>
      <c r="E139" s="1133">
        <v>100</v>
      </c>
      <c r="F139" s="1134">
        <v>102.5</v>
      </c>
      <c r="G139" s="2444" t="s">
        <v>2440</v>
      </c>
      <c r="H139" s="1135">
        <v>105</v>
      </c>
      <c r="I139" s="2445" t="s">
        <v>2441</v>
      </c>
      <c r="J139" s="1132">
        <v>20</v>
      </c>
      <c r="K139" s="1126">
        <f>C145/(J139-2)</f>
        <v>4.0555555555555553E-3</v>
      </c>
    </row>
    <row r="140" spans="1:17" ht="15">
      <c r="B140" s="1125">
        <v>5</v>
      </c>
      <c r="C140" s="1136">
        <v>100</v>
      </c>
      <c r="D140" s="1136"/>
      <c r="E140" s="1137"/>
      <c r="F140" s="1138">
        <v>102</v>
      </c>
      <c r="G140" s="1136"/>
      <c r="H140" s="1139"/>
      <c r="I140" s="2446" t="s">
        <v>2442</v>
      </c>
      <c r="J140" s="217">
        <f>ROUNDUP((J139-1)/2,0)</f>
        <v>10</v>
      </c>
      <c r="K140" s="1127">
        <v>100</v>
      </c>
    </row>
    <row r="141" spans="1:17" ht="15">
      <c r="B141" s="1125">
        <v>4</v>
      </c>
      <c r="C141" s="1136">
        <v>102</v>
      </c>
      <c r="D141" s="1136"/>
      <c r="E141" s="1137"/>
      <c r="F141" s="1138">
        <v>101.5</v>
      </c>
      <c r="G141" s="1136"/>
      <c r="H141" s="1139"/>
      <c r="I141" s="2446" t="s">
        <v>2443</v>
      </c>
      <c r="J141" s="217">
        <v>1</v>
      </c>
      <c r="K141" s="1128">
        <f>ROUND(100+(J141-J140)*K139*100,1)</f>
        <v>96.4</v>
      </c>
    </row>
    <row r="142" spans="1:17" ht="15">
      <c r="B142" s="1125">
        <v>3</v>
      </c>
      <c r="C142" s="1136">
        <v>103</v>
      </c>
      <c r="D142" s="1136"/>
      <c r="E142" s="1137"/>
      <c r="F142" s="1138">
        <v>101</v>
      </c>
      <c r="G142" s="1136"/>
      <c r="H142" s="1139"/>
      <c r="I142" s="2446" t="s">
        <v>2444</v>
      </c>
      <c r="J142" s="217">
        <f>J139</f>
        <v>20</v>
      </c>
      <c r="K142" s="1141">
        <v>95</v>
      </c>
    </row>
    <row r="143" spans="1:17" ht="15">
      <c r="B143" s="1125">
        <v>2</v>
      </c>
      <c r="C143" s="1136">
        <v>100</v>
      </c>
      <c r="D143" s="1136"/>
      <c r="E143" s="1137"/>
      <c r="F143" s="1138">
        <v>100.5</v>
      </c>
      <c r="G143" s="1136"/>
      <c r="H143" s="1139"/>
      <c r="I143" s="2446" t="s">
        <v>2445</v>
      </c>
      <c r="J143" s="1136">
        <v>15</v>
      </c>
      <c r="K143" s="1128">
        <f>ROUND(100+(J143-J140)*K139*100,1)</f>
        <v>102</v>
      </c>
    </row>
    <row r="144" spans="1:17" ht="15">
      <c r="B144" s="1125">
        <v>1</v>
      </c>
      <c r="C144" s="1136">
        <v>98</v>
      </c>
      <c r="D144" s="2447" t="s">
        <v>2446</v>
      </c>
      <c r="E144" s="1137">
        <v>102</v>
      </c>
      <c r="F144" s="1140">
        <v>100</v>
      </c>
      <c r="G144" s="2447" t="s">
        <v>2446</v>
      </c>
      <c r="H144" s="1139">
        <v>105</v>
      </c>
      <c r="I144" s="2446" t="s">
        <v>2445</v>
      </c>
      <c r="J144" s="1136">
        <v>18</v>
      </c>
      <c r="K144" s="1128">
        <f>ROUND(100+(J144-J140)*K139*100,1)</f>
        <v>103.2</v>
      </c>
    </row>
    <row r="145" spans="2:11" ht="15.75" thickBot="1">
      <c r="B145" s="2448" t="s">
        <v>2447</v>
      </c>
      <c r="C145" s="1130">
        <f>ROUND(MAX(C139:C144)/MIN(C139:C144)-1,3)</f>
        <v>7.2999999999999995E-2</v>
      </c>
      <c r="D145" s="1131"/>
      <c r="E145" s="1131"/>
      <c r="F145" s="2449" t="s">
        <v>2448</v>
      </c>
      <c r="G145" s="2450"/>
      <c r="H145" s="2451"/>
      <c r="I145" s="2452" t="s">
        <v>2445</v>
      </c>
      <c r="J145" s="1142">
        <v>8</v>
      </c>
      <c r="K145" s="1129">
        <f>ROUND(100+(J145-J140)*K139*100,1)</f>
        <v>99.2</v>
      </c>
    </row>
    <row r="147" spans="2:11">
      <c r="B147" s="2433" t="s">
        <v>2449</v>
      </c>
    </row>
    <row r="148" spans="2:11">
      <c r="B148" s="2433"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2451</v>
      </c>
      <c r="C1" s="1725"/>
      <c r="D1" s="2453"/>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2011</v>
      </c>
      <c r="B3" s="593" t="e">
        <f ca="1">ROUND(IF(D2="——",C49,IF(C2="万元",B2*10000/D3,B2/D3)),0)</f>
        <v>#DIV/0!</v>
      </c>
      <c r="C3" s="379" t="s">
        <v>2341</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30"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2367</v>
      </c>
      <c r="Q15" s="1898" t="str">
        <f t="shared" si="6"/>
        <v>商业繁华度</v>
      </c>
      <c r="R15" s="752" t="s">
        <v>25</v>
      </c>
      <c r="S15" s="753">
        <f t="shared" si="0"/>
        <v>100</v>
      </c>
      <c r="T15" s="752" t="s">
        <v>25</v>
      </c>
      <c r="U15" s="753">
        <f t="shared" si="1"/>
        <v>100</v>
      </c>
      <c r="V15" s="752" t="s">
        <v>25</v>
      </c>
      <c r="W15" s="753">
        <f t="shared" si="2"/>
        <v>100</v>
      </c>
      <c r="X15" s="1899"/>
      <c r="Y15" s="3039"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2453</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2454</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2373</v>
      </c>
      <c r="Q32" s="1898" t="str">
        <f t="shared" si="11"/>
        <v>商业类型</v>
      </c>
      <c r="R32" s="752" t="s">
        <v>25</v>
      </c>
      <c r="S32" s="753">
        <f t="shared" si="12"/>
        <v>100</v>
      </c>
      <c r="T32" s="752" t="s">
        <v>25</v>
      </c>
      <c r="U32" s="753">
        <f t="shared" si="13"/>
        <v>100</v>
      </c>
      <c r="V32" s="752" t="s">
        <v>25</v>
      </c>
      <c r="W32" s="753">
        <f t="shared" si="14"/>
        <v>100</v>
      </c>
      <c r="X32" s="1899"/>
      <c r="Y32" s="3044"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4" t="str">
        <f t="shared" si="11"/>
        <v>项目建筑规模</v>
      </c>
      <c r="R33" s="755" t="s">
        <v>25</v>
      </c>
      <c r="S33" s="756" t="e">
        <f t="shared" si="12"/>
        <v>#N/A</v>
      </c>
      <c r="T33" s="755" t="s">
        <v>25</v>
      </c>
      <c r="U33" s="756" t="e">
        <f t="shared" si="13"/>
        <v>#N/A</v>
      </c>
      <c r="V33" s="755" t="s">
        <v>25</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2" t="s">
        <v>25</v>
      </c>
      <c r="S34" s="753">
        <f t="shared" si="12"/>
        <v>100</v>
      </c>
      <c r="T34" s="752" t="s">
        <v>25</v>
      </c>
      <c r="U34" s="753">
        <f t="shared" si="13"/>
        <v>100</v>
      </c>
      <c r="V34" s="752" t="s">
        <v>25</v>
      </c>
      <c r="W34" s="753">
        <f t="shared" si="14"/>
        <v>100</v>
      </c>
      <c r="X34" s="1899"/>
      <c r="Y34" s="3044"/>
      <c r="Z34" s="1901" t="str">
        <f t="shared" si="15"/>
        <v>建筑结构</v>
      </c>
      <c r="AA34" s="1902">
        <f t="shared" si="3"/>
        <v>1</v>
      </c>
      <c r="AB34" s="1902">
        <f t="shared" si="4"/>
        <v>1</v>
      </c>
      <c r="AC34" s="1902">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2" t="s">
        <v>25</v>
      </c>
      <c r="S35" s="753">
        <f t="shared" si="12"/>
        <v>100</v>
      </c>
      <c r="T35" s="752" t="s">
        <v>25</v>
      </c>
      <c r="U35" s="753">
        <f t="shared" si="13"/>
        <v>100</v>
      </c>
      <c r="V35" s="752" t="s">
        <v>25</v>
      </c>
      <c r="W35" s="753">
        <f t="shared" si="14"/>
        <v>100</v>
      </c>
      <c r="X35" s="1899"/>
      <c r="Y35" s="3044"/>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2" t="s">
        <v>25</v>
      </c>
      <c r="S36" s="753" t="e">
        <f t="shared" si="12"/>
        <v>#N/A</v>
      </c>
      <c r="T36" s="752" t="s">
        <v>25</v>
      </c>
      <c r="U36" s="753" t="e">
        <f t="shared" si="13"/>
        <v>#N/A</v>
      </c>
      <c r="V36" s="752" t="s">
        <v>25</v>
      </c>
      <c r="W36" s="753"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8" t="s">
        <v>25</v>
      </c>
      <c r="S37" s="749">
        <f t="shared" si="12"/>
        <v>100</v>
      </c>
      <c r="T37" s="748" t="s">
        <v>25</v>
      </c>
      <c r="U37" s="749">
        <f t="shared" si="13"/>
        <v>100</v>
      </c>
      <c r="V37" s="748" t="s">
        <v>25</v>
      </c>
      <c r="W37" s="749">
        <f t="shared" si="14"/>
        <v>100</v>
      </c>
      <c r="X37" s="750"/>
      <c r="Y37" s="3044"/>
      <c r="Z37" s="23" t="str">
        <f t="shared" si="15"/>
        <v>市政基础设施</v>
      </c>
      <c r="AA37" s="751">
        <f t="shared" si="3"/>
        <v>1</v>
      </c>
      <c r="AB37" s="751">
        <f t="shared" si="4"/>
        <v>1</v>
      </c>
      <c r="AC37" s="751">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2373</v>
      </c>
      <c r="Q38" s="1898" t="str">
        <f t="shared" si="11"/>
        <v>业态</v>
      </c>
      <c r="R38" s="752" t="s">
        <v>25</v>
      </c>
      <c r="S38" s="753">
        <f t="shared" si="12"/>
        <v>100</v>
      </c>
      <c r="T38" s="752" t="s">
        <v>25</v>
      </c>
      <c r="U38" s="753">
        <f t="shared" si="13"/>
        <v>100</v>
      </c>
      <c r="V38" s="752" t="s">
        <v>25</v>
      </c>
      <c r="W38" s="753">
        <f t="shared" si="14"/>
        <v>100</v>
      </c>
      <c r="X38" s="1899"/>
      <c r="Y38" s="3044" t="s">
        <v>2373</v>
      </c>
      <c r="Z38" s="1901" t="str">
        <f t="shared" si="15"/>
        <v>业态</v>
      </c>
      <c r="AA38" s="1902">
        <f t="shared" si="3"/>
        <v>1</v>
      </c>
      <c r="AB38" s="1902">
        <f t="shared" si="4"/>
        <v>1</v>
      </c>
      <c r="AC38" s="1902">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2" t="s">
        <v>25</v>
      </c>
      <c r="S39" s="753">
        <f t="shared" si="12"/>
        <v>100</v>
      </c>
      <c r="T39" s="752" t="s">
        <v>25</v>
      </c>
      <c r="U39" s="753">
        <f t="shared" si="13"/>
        <v>100</v>
      </c>
      <c r="V39" s="752" t="s">
        <v>25</v>
      </c>
      <c r="W39" s="753">
        <f t="shared" si="14"/>
        <v>100</v>
      </c>
      <c r="X39" s="1899"/>
      <c r="Y39" s="3044"/>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2" t="s">
        <v>25</v>
      </c>
      <c r="S40" s="753">
        <f t="shared" si="12"/>
        <v>100</v>
      </c>
      <c r="T40" s="752" t="s">
        <v>25</v>
      </c>
      <c r="U40" s="753">
        <f t="shared" si="13"/>
        <v>100</v>
      </c>
      <c r="V40" s="752" t="s">
        <v>25</v>
      </c>
      <c r="W40" s="753">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4" t="str">
        <f t="shared" si="11"/>
        <v>进深比</v>
      </c>
      <c r="R41" s="755" t="s">
        <v>25</v>
      </c>
      <c r="S41" s="756">
        <f t="shared" si="12"/>
        <v>100</v>
      </c>
      <c r="T41" s="755" t="s">
        <v>25</v>
      </c>
      <c r="U41" s="756">
        <f t="shared" si="13"/>
        <v>100</v>
      </c>
      <c r="V41" s="755" t="s">
        <v>25</v>
      </c>
      <c r="W41" s="756">
        <f t="shared" si="14"/>
        <v>100</v>
      </c>
      <c r="X41" s="757"/>
      <c r="Y41" s="3044"/>
      <c r="Z41" s="758" t="str">
        <f t="shared" si="15"/>
        <v>进深比</v>
      </c>
      <c r="AA41" s="1902">
        <f t="shared" si="3"/>
        <v>1</v>
      </c>
      <c r="AB41" s="1902">
        <f t="shared" si="4"/>
        <v>1</v>
      </c>
      <c r="AC41" s="1902">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2" t="s">
        <v>25</v>
      </c>
      <c r="S42" s="753">
        <f t="shared" si="12"/>
        <v>100</v>
      </c>
      <c r="T42" s="752" t="s">
        <v>25</v>
      </c>
      <c r="U42" s="753">
        <f t="shared" si="13"/>
        <v>100</v>
      </c>
      <c r="V42" s="752" t="s">
        <v>25</v>
      </c>
      <c r="W42" s="753">
        <f t="shared" si="14"/>
        <v>100</v>
      </c>
      <c r="X42" s="1899"/>
      <c r="Y42" s="3044"/>
      <c r="Z42" s="1901" t="str">
        <f t="shared" si="15"/>
        <v>内部装修</v>
      </c>
      <c r="AA42" s="1902">
        <f t="shared" si="3"/>
        <v>1</v>
      </c>
      <c r="AB42" s="1902">
        <f t="shared" si="4"/>
        <v>1</v>
      </c>
      <c r="AC42" s="1902">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2" t="s">
        <v>25</v>
      </c>
      <c r="S43" s="753">
        <f t="shared" si="12"/>
        <v>100</v>
      </c>
      <c r="T43" s="752" t="s">
        <v>25</v>
      </c>
      <c r="U43" s="753">
        <f t="shared" si="13"/>
        <v>100</v>
      </c>
      <c r="V43" s="752" t="s">
        <v>25</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8" t="s">
        <v>25</v>
      </c>
      <c r="S44" s="749">
        <f t="shared" si="12"/>
        <v>100</v>
      </c>
      <c r="T44" s="748" t="s">
        <v>25</v>
      </c>
      <c r="U44" s="749">
        <f t="shared" si="13"/>
        <v>100</v>
      </c>
      <c r="V44" s="748" t="s">
        <v>25</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2" t="s">
        <v>25</v>
      </c>
      <c r="S45" s="753">
        <f t="shared" si="12"/>
        <v>100</v>
      </c>
      <c r="T45" s="752" t="s">
        <v>25</v>
      </c>
      <c r="U45" s="753">
        <f t="shared" si="13"/>
        <v>100</v>
      </c>
      <c r="V45" s="752" t="s">
        <v>25</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2" t="s">
        <v>25</v>
      </c>
      <c r="S46" s="753">
        <f t="shared" si="12"/>
        <v>100</v>
      </c>
      <c r="T46" s="752" t="s">
        <v>25</v>
      </c>
      <c r="U46" s="753">
        <f t="shared" si="13"/>
        <v>100</v>
      </c>
      <c r="V46" s="752" t="s">
        <v>25</v>
      </c>
      <c r="W46" s="753">
        <f t="shared" si="14"/>
        <v>100</v>
      </c>
      <c r="X46" s="1899"/>
      <c r="Y46" s="3045"/>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1"/>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2468</v>
      </c>
      <c r="B48" s="468"/>
      <c r="C48" s="1507" t="e">
        <f>R49</f>
        <v>#DIV/0!</v>
      </c>
      <c r="D48" s="1508"/>
      <c r="E48" s="1509" t="e">
        <f>R48</f>
        <v>#DIV/0!</v>
      </c>
      <c r="F48" s="1509"/>
      <c r="G48" s="1507" t="e">
        <f>T48</f>
        <v>#DIV/0!</v>
      </c>
      <c r="H48" s="1508"/>
      <c r="I48" s="1509" t="e">
        <f>V48</f>
        <v>#DIV/0!</v>
      </c>
      <c r="J48" s="1508"/>
      <c r="K48" s="762"/>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7"/>
      <c r="Y48" s="737"/>
      <c r="Z48" s="737"/>
      <c r="AA48" s="737"/>
      <c r="AB48" s="737"/>
      <c r="AC48" s="737"/>
    </row>
    <row r="49" spans="1:29" ht="15.75" thickBot="1">
      <c r="A49" s="473" t="s">
        <v>2469</v>
      </c>
      <c r="B49" s="474"/>
      <c r="C49" s="1511" t="e">
        <f>R49</f>
        <v>#DIV/0!</v>
      </c>
      <c r="D49" s="1511"/>
      <c r="E49" s="1511"/>
      <c r="F49" s="1511"/>
      <c r="G49" s="1511"/>
      <c r="H49" s="1511"/>
      <c r="I49" s="1511"/>
      <c r="J49" s="1511"/>
      <c r="K49" s="763"/>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2473</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2357</v>
      </c>
      <c r="B61" s="491"/>
      <c r="C61" s="503" t="s">
        <v>2358</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2371</v>
      </c>
      <c r="B100" s="509" t="s">
        <v>2475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2424</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2478</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M18" sqref="M1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2825</v>
      </c>
      <c r="D1" s="1738"/>
      <c r="E1" s="2382" t="s">
        <v>2826</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2010</v>
      </c>
      <c r="B2" s="1724">
        <f>IF(D2="——",IF(C2="元",ROUND(C50*D3,0),ROUND(C50*D3/10000,0)),IF(C2="元",ROUND(C50*D3,0),ROUND(C50*D3/10000,0))-E2)</f>
        <v>359</v>
      </c>
      <c r="C2" s="163" t="str">
        <f>'数据-取费表'!B3</f>
        <v>万元</v>
      </c>
      <c r="D2" s="2384" t="s">
        <v>1253</v>
      </c>
      <c r="E2" s="1841">
        <f ca="1">SUMIF(INDIRECT("'"&amp;G2&amp;"'"&amp;"!A:A"),"承租人权益价值",INDIRECT("'"&amp;G2&amp;"'"&amp;"!c:c"))</f>
        <v>-182</v>
      </c>
      <c r="F2" s="2385" t="str">
        <f>C2</f>
        <v>万元</v>
      </c>
      <c r="G2" s="2386" t="s">
        <v>2827</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2011</v>
      </c>
      <c r="B3" s="593">
        <f>ROUND(IF(D2="——",C50,IF(C2="万元",B2*10000/D3,B2/D3)),0)</f>
        <v>58232</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60" t="s">
        <v>2348</v>
      </c>
      <c r="Q4" s="3019"/>
      <c r="R4" s="3024" t="s">
        <v>2344</v>
      </c>
      <c r="S4" s="3025"/>
      <c r="T4" s="3024" t="s">
        <v>2345</v>
      </c>
      <c r="U4" s="3025"/>
      <c r="V4" s="3030" t="s">
        <v>2346</v>
      </c>
      <c r="W4" s="3030"/>
      <c r="X4" s="1899"/>
      <c r="Y4" s="3024" t="s">
        <v>2348</v>
      </c>
      <c r="Z4" s="3025"/>
      <c r="AA4" s="3011" t="s">
        <v>2344</v>
      </c>
      <c r="AB4" s="3011" t="s">
        <v>2345</v>
      </c>
      <c r="AC4" s="3011" t="s">
        <v>2346</v>
      </c>
    </row>
    <row r="5" spans="1:29" ht="15">
      <c r="A5" s="383"/>
      <c r="B5" s="384"/>
      <c r="C5" s="3059" t="s">
        <v>2877</v>
      </c>
      <c r="D5" s="3034"/>
      <c r="E5" s="3063" t="s">
        <v>2876</v>
      </c>
      <c r="F5" s="3032"/>
      <c r="G5" s="3059" t="s">
        <v>2876</v>
      </c>
      <c r="H5" s="3034"/>
      <c r="I5" s="3059" t="s">
        <v>2876</v>
      </c>
      <c r="J5" s="3034"/>
      <c r="K5" s="594"/>
      <c r="L5" s="1242"/>
      <c r="M5" s="1243"/>
      <c r="N5" s="1243"/>
      <c r="O5" s="1243"/>
      <c r="P5" s="3061"/>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6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2356</v>
      </c>
      <c r="Q7" s="3048"/>
      <c r="R7" s="748" t="s">
        <v>25</v>
      </c>
      <c r="S7" s="749">
        <f t="shared" ref="S7:S15" si="0">F7</f>
        <v>100</v>
      </c>
      <c r="T7" s="748" t="s">
        <v>25</v>
      </c>
      <c r="U7" s="749">
        <f t="shared" ref="U7:U15" si="1">H7</f>
        <v>100</v>
      </c>
      <c r="V7" s="748" t="s">
        <v>25</v>
      </c>
      <c r="W7" s="749">
        <f t="shared" ref="W7:W15" si="2">J7</f>
        <v>100</v>
      </c>
      <c r="X7" s="750"/>
      <c r="Y7" s="3046" t="s">
        <v>2356</v>
      </c>
      <c r="Z7" s="3047"/>
      <c r="AA7" s="751">
        <f>D7/F7</f>
        <v>1</v>
      </c>
      <c r="AB7" s="751">
        <f>D7/H7</f>
        <v>1</v>
      </c>
      <c r="AC7" s="751">
        <f>D7/J7</f>
        <v>1</v>
      </c>
    </row>
    <row r="8" spans="1:29" s="35" customFormat="1" ht="15.75" thickBot="1">
      <c r="A8" s="387" t="s">
        <v>2357</v>
      </c>
      <c r="B8" s="388"/>
      <c r="C8" s="394" t="s">
        <v>2358</v>
      </c>
      <c r="D8" s="390">
        <v>100</v>
      </c>
      <c r="E8" s="394" t="s">
        <v>2828</v>
      </c>
      <c r="F8" s="392">
        <f>SUMIF(62:62,E8,63:63)-SUMIF(62:62,C8,63:63)+100</f>
        <v>100</v>
      </c>
      <c r="G8" s="394" t="s">
        <v>2828</v>
      </c>
      <c r="H8" s="390">
        <f>SUMIF(62:62,G8,63:63)-SUMIF(62:62,C8,63:63)+100</f>
        <v>100</v>
      </c>
      <c r="I8" s="394" t="s">
        <v>2828</v>
      </c>
      <c r="J8" s="390">
        <f>SUMIF(62:62,I8,63:63)-SUMIF(62:62,C8,63:63)+100</f>
        <v>100</v>
      </c>
      <c r="K8" s="595"/>
      <c r="L8" s="1244"/>
      <c r="M8" s="1245"/>
      <c r="N8" s="1245"/>
      <c r="O8" s="1245"/>
      <c r="P8" s="3048" t="s">
        <v>2359</v>
      </c>
      <c r="Q8" s="3047"/>
      <c r="R8" s="748" t="s">
        <v>25</v>
      </c>
      <c r="S8" s="749">
        <f t="shared" si="0"/>
        <v>100</v>
      </c>
      <c r="T8" s="748" t="s">
        <v>25</v>
      </c>
      <c r="U8" s="749">
        <f t="shared" si="1"/>
        <v>100</v>
      </c>
      <c r="V8" s="748" t="s">
        <v>25</v>
      </c>
      <c r="W8" s="749">
        <f t="shared" si="2"/>
        <v>100</v>
      </c>
      <c r="X8" s="750"/>
      <c r="Y8" s="3046" t="s">
        <v>2359</v>
      </c>
      <c r="Z8" s="3047"/>
      <c r="AA8" s="751">
        <f t="shared" ref="AA8:AA47" si="3">D8/F8</f>
        <v>1</v>
      </c>
      <c r="AB8" s="751">
        <f t="shared" ref="AB8:AB47" si="4">D8/H8</f>
        <v>1</v>
      </c>
      <c r="AC8" s="751">
        <f t="shared" ref="AC8:AC47" si="5">D8/J8</f>
        <v>1</v>
      </c>
    </row>
    <row r="9" spans="1:29" s="35" customFormat="1">
      <c r="A9" s="395" t="s">
        <v>2360</v>
      </c>
      <c r="B9" s="28" t="s">
        <v>2361</v>
      </c>
      <c r="C9" s="2743" t="s">
        <v>2829</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57"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t="s">
        <v>2880</v>
      </c>
      <c r="D10" s="52">
        <v>100</v>
      </c>
      <c r="E10" s="403" t="s">
        <v>2880</v>
      </c>
      <c r="F10" s="52">
        <f>SUMIF(66:66,E10,67:67)-SUMIF(66:66,C10,67:67)+100</f>
        <v>100</v>
      </c>
      <c r="G10" s="404" t="s">
        <v>2880</v>
      </c>
      <c r="H10" s="52">
        <f>SUMIF(66:66,G10,67:67)-SUMIF(66:66,C10,67:67)+100</f>
        <v>100</v>
      </c>
      <c r="I10" s="403" t="s">
        <v>2880</v>
      </c>
      <c r="J10" s="52">
        <f>SUMIF(66:66,I10,67:67)-SUMIF(66:66,C10,67:67)+100</f>
        <v>100</v>
      </c>
      <c r="K10" s="596">
        <v>2</v>
      </c>
      <c r="L10" s="1247"/>
      <c r="M10" s="1248"/>
      <c r="N10" s="1248"/>
      <c r="O10" s="1248"/>
      <c r="P10" s="3057"/>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1886"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2367</v>
      </c>
      <c r="Q15" s="1898" t="str">
        <f t="shared" si="6"/>
        <v>办公集聚程度</v>
      </c>
      <c r="R15" s="752" t="s">
        <v>25</v>
      </c>
      <c r="S15" s="753">
        <f t="shared" si="0"/>
        <v>100</v>
      </c>
      <c r="T15" s="752" t="s">
        <v>25</v>
      </c>
      <c r="U15" s="753">
        <f t="shared" si="1"/>
        <v>100</v>
      </c>
      <c r="V15" s="752" t="s">
        <v>25</v>
      </c>
      <c r="W15" s="753">
        <f t="shared" si="2"/>
        <v>100</v>
      </c>
      <c r="X15" s="1899"/>
      <c r="Y15" s="3039" t="s">
        <v>2367</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1898"/>
      <c r="R16" s="752"/>
      <c r="S16" s="753"/>
      <c r="T16" s="752"/>
      <c r="U16" s="753"/>
      <c r="V16" s="752"/>
      <c r="W16" s="753"/>
      <c r="X16" s="1899"/>
      <c r="Y16" s="3040"/>
      <c r="Z16" s="1901"/>
      <c r="AA16" s="1902">
        <v>1</v>
      </c>
      <c r="AB16" s="1902">
        <v>1</v>
      </c>
      <c r="AC16" s="1902">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1898"/>
      <c r="R18" s="752"/>
      <c r="S18" s="753"/>
      <c r="T18" s="752"/>
      <c r="U18" s="753"/>
      <c r="V18" s="752"/>
      <c r="W18" s="753"/>
      <c r="X18" s="1899"/>
      <c r="Y18" s="3040"/>
      <c r="Z18" s="1901"/>
      <c r="AA18" s="1902">
        <v>1</v>
      </c>
      <c r="AB18" s="1902">
        <v>1</v>
      </c>
      <c r="AC18" s="1902">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1898"/>
      <c r="R20" s="752"/>
      <c r="S20" s="753"/>
      <c r="T20" s="752"/>
      <c r="U20" s="753"/>
      <c r="V20" s="752"/>
      <c r="W20" s="753"/>
      <c r="X20" s="1899"/>
      <c r="Y20" s="3040"/>
      <c r="Z20" s="1901"/>
      <c r="AA20" s="1902">
        <v>1</v>
      </c>
      <c r="AB20" s="1902">
        <v>1</v>
      </c>
      <c r="AC20" s="1902">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t="s">
        <v>2869</v>
      </c>
      <c r="D22" s="427"/>
      <c r="E22" s="426" t="s">
        <v>2869</v>
      </c>
      <c r="F22" s="427"/>
      <c r="G22" s="1471" t="s">
        <v>2869</v>
      </c>
      <c r="H22" s="427"/>
      <c r="I22" s="1471" t="s">
        <v>2869</v>
      </c>
      <c r="J22" s="427"/>
      <c r="K22" s="1468"/>
      <c r="L22" s="1252"/>
      <c r="M22" s="1243"/>
      <c r="N22" s="1243"/>
      <c r="O22" s="1243"/>
      <c r="P22" s="3021"/>
      <c r="Q22" s="1898"/>
      <c r="R22" s="752"/>
      <c r="S22" s="753"/>
      <c r="T22" s="752"/>
      <c r="U22" s="753"/>
      <c r="V22" s="752"/>
      <c r="W22" s="753"/>
      <c r="X22" s="1899"/>
      <c r="Y22" s="3040"/>
      <c r="Z22" s="1901"/>
      <c r="AA22" s="1902">
        <v>1</v>
      </c>
      <c r="AB22" s="1902">
        <v>1</v>
      </c>
      <c r="AC22" s="1902">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1898"/>
      <c r="R24" s="752"/>
      <c r="S24" s="753"/>
      <c r="T24" s="752"/>
      <c r="U24" s="753"/>
      <c r="V24" s="752"/>
      <c r="W24" s="753"/>
      <c r="X24" s="1899"/>
      <c r="Y24" s="3040"/>
      <c r="Z24" s="1901"/>
      <c r="AA24" s="1902">
        <v>1</v>
      </c>
      <c r="AB24" s="1902">
        <v>1</v>
      </c>
      <c r="AC24" s="1902">
        <v>1</v>
      </c>
    </row>
    <row r="25" spans="1:29" ht="27">
      <c r="A25" s="383"/>
      <c r="B25" s="615" t="s">
        <v>2485</v>
      </c>
      <c r="C25" s="2749" t="s">
        <v>2875</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2834</v>
      </c>
      <c r="D26" s="415"/>
      <c r="E26" s="600" t="s">
        <v>2834</v>
      </c>
      <c r="F26" s="415"/>
      <c r="G26" s="618" t="s">
        <v>2834</v>
      </c>
      <c r="H26" s="415"/>
      <c r="I26" s="600" t="s">
        <v>2834</v>
      </c>
      <c r="J26" s="415"/>
      <c r="K26" s="599"/>
      <c r="L26" s="1252"/>
      <c r="M26" s="1243"/>
      <c r="N26" s="1243"/>
      <c r="O26" s="1243"/>
      <c r="P26" s="3021"/>
      <c r="Q26" s="1898"/>
      <c r="R26" s="752"/>
      <c r="S26" s="753"/>
      <c r="T26" s="752"/>
      <c r="U26" s="753"/>
      <c r="V26" s="752"/>
      <c r="W26" s="753"/>
      <c r="X26" s="1899"/>
      <c r="Y26" s="3040"/>
      <c r="Z26" s="1901"/>
      <c r="AA26" s="1902">
        <v>1</v>
      </c>
      <c r="AB26" s="1902">
        <v>1</v>
      </c>
      <c r="AC26" s="1902">
        <v>1</v>
      </c>
    </row>
    <row r="27" spans="1:29" ht="15">
      <c r="A27" s="408"/>
      <c r="B27" s="616" t="s">
        <v>2458</v>
      </c>
      <c r="C27" s="618" t="s">
        <v>2838</v>
      </c>
      <c r="D27" s="415">
        <v>100</v>
      </c>
      <c r="E27" s="600" t="s">
        <v>2842</v>
      </c>
      <c r="F27" s="415">
        <f>SUMIF(89:89,E27,90:90)-SUMIF(89:89,C27,90:90)+100</f>
        <v>96</v>
      </c>
      <c r="G27" s="618" t="s">
        <v>2838</v>
      </c>
      <c r="H27" s="415">
        <f>SUMIF(89:89,G27,90:90)-SUMIF(89:89,C27,90:90)+100</f>
        <v>100</v>
      </c>
      <c r="I27" s="600" t="s">
        <v>2840</v>
      </c>
      <c r="J27" s="415">
        <f>SUMIF(89:89,I27,90:90)-SUMIF(89:89,C27,90:90)+100</f>
        <v>98</v>
      </c>
      <c r="K27" s="596">
        <v>2</v>
      </c>
      <c r="L27" s="1252"/>
      <c r="M27" s="1243"/>
      <c r="N27" s="1243"/>
      <c r="O27" s="1243"/>
      <c r="P27" s="3021"/>
      <c r="Q27" s="1898" t="str">
        <f t="shared" ref="Q27:Q47" si="11">B27</f>
        <v>楼层</v>
      </c>
      <c r="R27" s="752" t="s">
        <v>25</v>
      </c>
      <c r="S27" s="753">
        <f>F27</f>
        <v>96</v>
      </c>
      <c r="T27" s="752" t="s">
        <v>25</v>
      </c>
      <c r="U27" s="753">
        <f>H27</f>
        <v>100</v>
      </c>
      <c r="V27" s="752" t="s">
        <v>25</v>
      </c>
      <c r="W27" s="753">
        <f>J27</f>
        <v>98</v>
      </c>
      <c r="X27" s="1899"/>
      <c r="Y27" s="3040"/>
      <c r="Z27" s="1901" t="str">
        <f>Q27</f>
        <v>楼层</v>
      </c>
      <c r="AA27" s="1902">
        <f t="shared" si="3"/>
        <v>1.0416666666666667</v>
      </c>
      <c r="AB27" s="1902">
        <f t="shared" si="4"/>
        <v>1</v>
      </c>
      <c r="AC27" s="1902">
        <f t="shared" si="5"/>
        <v>1.0204081632653061</v>
      </c>
    </row>
    <row r="28" spans="1:29" s="35" customFormat="1" ht="15">
      <c r="A28" s="411"/>
      <c r="B28" s="615" t="s">
        <v>2486</v>
      </c>
      <c r="C28" s="2471" t="s">
        <v>2852</v>
      </c>
      <c r="D28" s="443">
        <v>100</v>
      </c>
      <c r="E28" s="2458" t="s">
        <v>2852</v>
      </c>
      <c r="F28" s="443">
        <f>SUMIF(91:91,E28,92:92)-SUMIF(91:91,C28,92:92)+100</f>
        <v>100</v>
      </c>
      <c r="G28" s="2471" t="s">
        <v>2846</v>
      </c>
      <c r="H28" s="443">
        <f>SUMIF(91:91,G28,92:92)-SUMIF(91:91,C28,92:92)+100</f>
        <v>102</v>
      </c>
      <c r="I28" s="2458" t="s">
        <v>2852</v>
      </c>
      <c r="J28" s="443">
        <f>SUMIF(91:91,I28,92:92)-SUMIF(91:91,C28,92:92)+100</f>
        <v>100</v>
      </c>
      <c r="K28" s="596">
        <v>0.5</v>
      </c>
      <c r="L28" s="1244"/>
      <c r="M28" s="1245"/>
      <c r="N28" s="1245"/>
      <c r="O28" s="1245"/>
      <c r="P28" s="3021"/>
      <c r="Q28" s="1886" t="str">
        <f t="shared" si="11"/>
        <v>朝向</v>
      </c>
      <c r="R28" s="748" t="s">
        <v>25</v>
      </c>
      <c r="S28" s="749">
        <f>F28</f>
        <v>100</v>
      </c>
      <c r="T28" s="748" t="s">
        <v>25</v>
      </c>
      <c r="U28" s="749">
        <f>H28</f>
        <v>102</v>
      </c>
      <c r="V28" s="748" t="s">
        <v>25</v>
      </c>
      <c r="W28" s="749">
        <f>J28</f>
        <v>100</v>
      </c>
      <c r="X28" s="750"/>
      <c r="Y28" s="3040"/>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2" t="s">
        <v>25</v>
      </c>
      <c r="S32" s="753">
        <f t="shared" si="12"/>
        <v>100</v>
      </c>
      <c r="T32" s="752" t="s">
        <v>25</v>
      </c>
      <c r="U32" s="753">
        <f t="shared" si="13"/>
        <v>100</v>
      </c>
      <c r="V32" s="752" t="s">
        <v>25</v>
      </c>
      <c r="W32" s="753">
        <f t="shared" si="14"/>
        <v>100</v>
      </c>
      <c r="X32" s="1899"/>
      <c r="Y32" s="3040"/>
      <c r="Z32" s="1901">
        <f t="shared" si="15"/>
        <v>111</v>
      </c>
      <c r="AA32" s="1902">
        <f t="shared" si="3"/>
        <v>1</v>
      </c>
      <c r="AB32" s="1902">
        <f t="shared" si="4"/>
        <v>1</v>
      </c>
      <c r="AC32" s="1902">
        <f t="shared" si="5"/>
        <v>1</v>
      </c>
    </row>
    <row r="33" spans="1:29" ht="15">
      <c r="A33" s="419" t="s">
        <v>2371</v>
      </c>
      <c r="B33" s="28" t="s">
        <v>2487</v>
      </c>
      <c r="C33" s="2473" t="s">
        <v>2888</v>
      </c>
      <c r="D33" s="448">
        <v>100</v>
      </c>
      <c r="E33" s="2473" t="s">
        <v>2888</v>
      </c>
      <c r="F33" s="442">
        <f>SUMIF(101:101,E33,102:102)-SUMIF(101:101,C33,102:102)+100</f>
        <v>100</v>
      </c>
      <c r="G33" s="2473" t="s">
        <v>2888</v>
      </c>
      <c r="H33" s="415">
        <f>SUMIF(101:101,G33,102:102)-SUMIF(101:101,C33,102:102)+100</f>
        <v>100</v>
      </c>
      <c r="I33" s="2473" t="s">
        <v>2888</v>
      </c>
      <c r="J33" s="448">
        <f>SUMIF(101:101,I33,102:102)-SUMIF(101:101,C33,102:102)+100</f>
        <v>100</v>
      </c>
      <c r="K33" s="596">
        <v>2</v>
      </c>
      <c r="L33" s="1252"/>
      <c r="M33" s="1243"/>
      <c r="N33" s="1243"/>
      <c r="O33" s="1243"/>
      <c r="P33" s="3064" t="s">
        <v>2373</v>
      </c>
      <c r="Q33" s="1898" t="str">
        <f t="shared" si="11"/>
        <v>建筑类型</v>
      </c>
      <c r="R33" s="752" t="s">
        <v>25</v>
      </c>
      <c r="S33" s="753">
        <f t="shared" si="12"/>
        <v>100</v>
      </c>
      <c r="T33" s="752" t="s">
        <v>25</v>
      </c>
      <c r="U33" s="753">
        <f t="shared" si="13"/>
        <v>100</v>
      </c>
      <c r="V33" s="752" t="s">
        <v>25</v>
      </c>
      <c r="W33" s="753">
        <f t="shared" si="14"/>
        <v>100</v>
      </c>
      <c r="X33" s="1899"/>
      <c r="Y33" s="3044" t="s">
        <v>2373</v>
      </c>
      <c r="Z33" s="1901" t="str">
        <f t="shared" si="15"/>
        <v>建筑类型</v>
      </c>
      <c r="AA33" s="1902">
        <f t="shared" si="3"/>
        <v>1</v>
      </c>
      <c r="AB33" s="1902">
        <f t="shared" si="4"/>
        <v>1</v>
      </c>
      <c r="AC33" s="1902">
        <f t="shared" si="5"/>
        <v>1</v>
      </c>
    </row>
    <row r="34" spans="1:29" s="452" customFormat="1" ht="15">
      <c r="A34" s="449"/>
      <c r="B34" s="402" t="s">
        <v>2374</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98</v>
      </c>
      <c r="X34" s="757"/>
      <c r="Y34" s="3044"/>
      <c r="Z34" s="758" t="str">
        <f t="shared" si="15"/>
        <v>项目建筑规模</v>
      </c>
      <c r="AA34" s="1902">
        <f t="shared" si="3"/>
        <v>1</v>
      </c>
      <c r="AB34" s="1902">
        <f t="shared" si="4"/>
        <v>1</v>
      </c>
      <c r="AC34" s="1902">
        <f t="shared" si="5"/>
        <v>1.0204081632653061</v>
      </c>
    </row>
    <row r="35" spans="1:29" ht="15">
      <c r="A35" s="453"/>
      <c r="B35" s="402" t="s">
        <v>2375</v>
      </c>
      <c r="C35" s="441" t="s">
        <v>2857</v>
      </c>
      <c r="D35" s="415">
        <v>100</v>
      </c>
      <c r="E35" s="441" t="s">
        <v>2857</v>
      </c>
      <c r="F35" s="442">
        <f>SUMIF(106:106,E35,107:107)-SUMIF(106:106,C35,107:107)+100</f>
        <v>100</v>
      </c>
      <c r="G35" s="441" t="s">
        <v>2857</v>
      </c>
      <c r="H35" s="415">
        <f>SUMIF(106:106,G35,107:107)-SUMIF(106:106,C35,107:107)+100</f>
        <v>100</v>
      </c>
      <c r="I35" s="441" t="s">
        <v>2857</v>
      </c>
      <c r="J35" s="415">
        <f>SUMIF(106:106,I35,107:107)-SUMIF(106:106,C35,107:107)+100</f>
        <v>100</v>
      </c>
      <c r="K35" s="596">
        <v>2</v>
      </c>
      <c r="L35" s="1252"/>
      <c r="M35" s="1243"/>
      <c r="N35" s="1243"/>
      <c r="O35" s="1243"/>
      <c r="P35" s="3065"/>
      <c r="Q35" s="1898" t="str">
        <f t="shared" si="11"/>
        <v>建筑结构</v>
      </c>
      <c r="R35" s="752" t="s">
        <v>25</v>
      </c>
      <c r="S35" s="753">
        <f t="shared" si="12"/>
        <v>100</v>
      </c>
      <c r="T35" s="752" t="s">
        <v>25</v>
      </c>
      <c r="U35" s="753">
        <f t="shared" si="13"/>
        <v>100</v>
      </c>
      <c r="V35" s="752" t="s">
        <v>25</v>
      </c>
      <c r="W35" s="753">
        <f t="shared" si="14"/>
        <v>100</v>
      </c>
      <c r="X35" s="1899"/>
      <c r="Y35" s="3044"/>
      <c r="Z35" s="1901" t="str">
        <f t="shared" si="15"/>
        <v>建筑结构</v>
      </c>
      <c r="AA35" s="1902">
        <f t="shared" si="3"/>
        <v>1</v>
      </c>
      <c r="AB35" s="1902">
        <f t="shared" si="4"/>
        <v>1</v>
      </c>
      <c r="AC35" s="1902">
        <f t="shared" si="5"/>
        <v>1</v>
      </c>
    </row>
    <row r="36" spans="1:29" ht="15">
      <c r="A36" s="453"/>
      <c r="B36" s="402" t="s">
        <v>2460</v>
      </c>
      <c r="C36" s="441" t="s">
        <v>2860</v>
      </c>
      <c r="D36" s="415">
        <v>100</v>
      </c>
      <c r="E36" s="441" t="s">
        <v>2860</v>
      </c>
      <c r="F36" s="442">
        <f>SUMIF(108:108,E36,109:109)-SUMIF(108:108,C36,109:109)+100</f>
        <v>100</v>
      </c>
      <c r="G36" s="441" t="s">
        <v>2860</v>
      </c>
      <c r="H36" s="415">
        <f>SUMIF(108:108,G36,109:109)-SUMIF(108:108,C36,109:109)+100</f>
        <v>100</v>
      </c>
      <c r="I36" s="441" t="s">
        <v>2860</v>
      </c>
      <c r="J36" s="415">
        <f>SUMIF(108:108,I36,109:109)-SUMIF(108:108,C36,109:109)+100</f>
        <v>100</v>
      </c>
      <c r="K36" s="596"/>
      <c r="L36" s="1252"/>
      <c r="M36" s="1243"/>
      <c r="N36" s="1243"/>
      <c r="O36" s="1243"/>
      <c r="P36" s="3065"/>
      <c r="Q36" s="1898" t="str">
        <f t="shared" si="11"/>
        <v>公共部分装修</v>
      </c>
      <c r="R36" s="752" t="s">
        <v>25</v>
      </c>
      <c r="S36" s="753">
        <f t="shared" si="12"/>
        <v>100</v>
      </c>
      <c r="T36" s="752" t="s">
        <v>25</v>
      </c>
      <c r="U36" s="753">
        <f t="shared" si="13"/>
        <v>100</v>
      </c>
      <c r="V36" s="752" t="s">
        <v>25</v>
      </c>
      <c r="W36" s="753">
        <f t="shared" si="14"/>
        <v>100</v>
      </c>
      <c r="X36" s="1899"/>
      <c r="Y36" s="3044"/>
      <c r="Z36" s="1901" t="str">
        <f t="shared" si="15"/>
        <v>公共部分装修</v>
      </c>
      <c r="AA36" s="1902">
        <f t="shared" si="3"/>
        <v>1</v>
      </c>
      <c r="AB36" s="1902">
        <f t="shared" si="4"/>
        <v>1</v>
      </c>
      <c r="AC36" s="1902">
        <f t="shared" si="5"/>
        <v>1</v>
      </c>
    </row>
    <row r="37" spans="1:29" ht="15">
      <c r="A37" s="453"/>
      <c r="B37" s="402"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5"/>
      <c r="Q37" s="1898" t="str">
        <f t="shared" si="11"/>
        <v>成新度</v>
      </c>
      <c r="R37" s="752" t="s">
        <v>25</v>
      </c>
      <c r="S37" s="753">
        <f t="shared" si="12"/>
        <v>100</v>
      </c>
      <c r="T37" s="752" t="s">
        <v>25</v>
      </c>
      <c r="U37" s="753">
        <f t="shared" si="13"/>
        <v>100</v>
      </c>
      <c r="V37" s="752" t="s">
        <v>25</v>
      </c>
      <c r="W37" s="753">
        <f t="shared" si="14"/>
        <v>100</v>
      </c>
      <c r="X37" s="1899"/>
      <c r="Y37" s="3044"/>
      <c r="Z37" s="1901" t="str">
        <f t="shared" si="15"/>
        <v>成新度</v>
      </c>
      <c r="AA37" s="1902">
        <f t="shared" si="3"/>
        <v>1</v>
      </c>
      <c r="AB37" s="1902">
        <f t="shared" si="4"/>
        <v>1</v>
      </c>
      <c r="AC37" s="1902">
        <f t="shared" si="5"/>
        <v>1</v>
      </c>
    </row>
    <row r="38" spans="1:29" s="35" customFormat="1" ht="15" hidden="1">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402" t="s">
        <v>2489</v>
      </c>
      <c r="C39" s="441" t="s">
        <v>2865</v>
      </c>
      <c r="D39" s="415">
        <v>100</v>
      </c>
      <c r="E39" s="441" t="s">
        <v>2865</v>
      </c>
      <c r="F39" s="442">
        <f>SUMIF(115:115,E39,116:116)-SUMIF(115:115,C39,116:116)+100</f>
        <v>100</v>
      </c>
      <c r="G39" s="441" t="s">
        <v>2865</v>
      </c>
      <c r="H39" s="415">
        <f>SUMIF(115:115,G39,116:116)-SUMIF(115:115,C39,116:116)+100</f>
        <v>100</v>
      </c>
      <c r="I39" s="441" t="s">
        <v>2865</v>
      </c>
      <c r="J39" s="415">
        <f>SUMIF(115:115,I39,116:116)-SUMIF(115:115,C39,116:116)+100</f>
        <v>100</v>
      </c>
      <c r="K39" s="596">
        <v>2</v>
      </c>
      <c r="L39" s="1252"/>
      <c r="M39" s="1243"/>
      <c r="N39" s="1243"/>
      <c r="O39" s="1243"/>
      <c r="P39" s="3065" t="s">
        <v>2373</v>
      </c>
      <c r="Q39" s="1898" t="str">
        <f t="shared" si="11"/>
        <v>物业管理</v>
      </c>
      <c r="R39" s="752" t="s">
        <v>25</v>
      </c>
      <c r="S39" s="753">
        <f t="shared" si="12"/>
        <v>100</v>
      </c>
      <c r="T39" s="752" t="s">
        <v>25</v>
      </c>
      <c r="U39" s="753">
        <f t="shared" si="13"/>
        <v>100</v>
      </c>
      <c r="V39" s="752" t="s">
        <v>25</v>
      </c>
      <c r="W39" s="753">
        <f t="shared" si="14"/>
        <v>100</v>
      </c>
      <c r="X39" s="1899"/>
      <c r="Y39" s="3044" t="s">
        <v>2373</v>
      </c>
      <c r="Z39" s="1901" t="str">
        <f t="shared" si="15"/>
        <v>物业管理</v>
      </c>
      <c r="AA39" s="1902">
        <f t="shared" si="3"/>
        <v>1</v>
      </c>
      <c r="AB39" s="1902">
        <f t="shared" si="4"/>
        <v>1</v>
      </c>
      <c r="AC39" s="1902">
        <f t="shared" si="5"/>
        <v>1</v>
      </c>
    </row>
    <row r="40" spans="1:29" ht="15">
      <c r="A40" s="453"/>
      <c r="B40" s="402" t="s">
        <v>2462</v>
      </c>
      <c r="C40" s="441" t="s">
        <v>2869</v>
      </c>
      <c r="D40" s="415">
        <v>100</v>
      </c>
      <c r="E40" s="441" t="s">
        <v>2869</v>
      </c>
      <c r="F40" s="442">
        <f>SUMIF(117:117,E40,118:118)-SUMIF(117:117,C40,118:118)+100</f>
        <v>100</v>
      </c>
      <c r="G40" s="441" t="s">
        <v>2869</v>
      </c>
      <c r="H40" s="415">
        <f>SUMIF(117:117,G40,118:118)-SUMIF(117:117,C40,118:118)+100</f>
        <v>100</v>
      </c>
      <c r="I40" s="441" t="s">
        <v>2869</v>
      </c>
      <c r="J40" s="415">
        <f>SUMIF(117:117,I40,118:118)-SUMIF(117:117,C40,118:118)+100</f>
        <v>100</v>
      </c>
      <c r="K40" s="596">
        <v>2</v>
      </c>
      <c r="L40" s="1252"/>
      <c r="M40" s="1243"/>
      <c r="N40" s="1243"/>
      <c r="O40" s="1243"/>
      <c r="P40" s="3065"/>
      <c r="Q40" s="1898" t="str">
        <f t="shared" si="11"/>
        <v>市政基础设施</v>
      </c>
      <c r="R40" s="752" t="s">
        <v>25</v>
      </c>
      <c r="S40" s="753">
        <f t="shared" si="12"/>
        <v>100</v>
      </c>
      <c r="T40" s="752" t="s">
        <v>25</v>
      </c>
      <c r="U40" s="753">
        <f t="shared" si="13"/>
        <v>100</v>
      </c>
      <c r="V40" s="752" t="s">
        <v>25</v>
      </c>
      <c r="W40" s="753">
        <f t="shared" si="14"/>
        <v>100</v>
      </c>
      <c r="X40" s="1899"/>
      <c r="Y40" s="3044"/>
      <c r="Z40" s="1901" t="str">
        <f t="shared" si="15"/>
        <v>市政基础设施</v>
      </c>
      <c r="AA40" s="1902">
        <f t="shared" si="3"/>
        <v>1</v>
      </c>
      <c r="AB40" s="1902">
        <f t="shared" si="4"/>
        <v>1</v>
      </c>
      <c r="AC40" s="1902">
        <f t="shared" si="5"/>
        <v>1</v>
      </c>
    </row>
    <row r="41" spans="1:29" ht="15">
      <c r="A41" s="453"/>
      <c r="B41" s="402" t="s">
        <v>2464</v>
      </c>
      <c r="C41" s="600" t="s">
        <v>2872</v>
      </c>
      <c r="D41" s="415">
        <v>100</v>
      </c>
      <c r="E41" s="600" t="s">
        <v>2872</v>
      </c>
      <c r="F41" s="442">
        <f>SUMIF(119:119,E41,120:120)-SUMIF(119:119,C41,120:120)+100</f>
        <v>100</v>
      </c>
      <c r="G41" s="600" t="s">
        <v>2872</v>
      </c>
      <c r="H41" s="415">
        <f>SUMIF(119:119,G41,120:120)-SUMIF(119:119,C41,120:120)+100</f>
        <v>100</v>
      </c>
      <c r="I41" s="600" t="s">
        <v>2872</v>
      </c>
      <c r="J41" s="415">
        <f>SUMIF(119:119,I41,120:120)-SUMIF(119:119,C41,120:120)+100</f>
        <v>100</v>
      </c>
      <c r="K41" s="596">
        <v>10</v>
      </c>
      <c r="L41" s="1252"/>
      <c r="M41" s="1243"/>
      <c r="N41" s="1243"/>
      <c r="O41" s="1243"/>
      <c r="P41" s="3065"/>
      <c r="Q41" s="1898" t="str">
        <f t="shared" si="11"/>
        <v>层高</v>
      </c>
      <c r="R41" s="752" t="s">
        <v>25</v>
      </c>
      <c r="S41" s="753">
        <f t="shared" si="12"/>
        <v>100</v>
      </c>
      <c r="T41" s="752" t="s">
        <v>25</v>
      </c>
      <c r="U41" s="753">
        <f t="shared" si="13"/>
        <v>100</v>
      </c>
      <c r="V41" s="752" t="s">
        <v>25</v>
      </c>
      <c r="W41" s="753">
        <f t="shared" si="14"/>
        <v>100</v>
      </c>
      <c r="X41" s="1899"/>
      <c r="Y41" s="3044"/>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1902">
        <f t="shared" si="3"/>
        <v>1</v>
      </c>
      <c r="AB42" s="1902">
        <f t="shared" si="4"/>
        <v>1</v>
      </c>
      <c r="AC42" s="1902">
        <f t="shared" si="5"/>
        <v>1</v>
      </c>
    </row>
    <row r="43" spans="1:29" ht="15">
      <c r="A43" s="453"/>
      <c r="B43" s="402" t="s">
        <v>2467</v>
      </c>
      <c r="C43" s="441" t="s">
        <v>2860</v>
      </c>
      <c r="D43" s="415">
        <v>100</v>
      </c>
      <c r="E43" s="441" t="s">
        <v>2860</v>
      </c>
      <c r="F43" s="442">
        <f>SUMIF(123:123,E43,124:124)-SUMIF(123:123,C43,124:124)+100</f>
        <v>100</v>
      </c>
      <c r="G43" s="441" t="s">
        <v>2860</v>
      </c>
      <c r="H43" s="415">
        <f>SUMIF(123:123,G43,124:124)-SUMIF(123:123,C43,124:124)+100</f>
        <v>100</v>
      </c>
      <c r="I43" s="441" t="s">
        <v>2860</v>
      </c>
      <c r="J43" s="415">
        <f>SUMIF(123:123,I43,124:124)-SUMIF(123:123,C43,124:124)+100</f>
        <v>100</v>
      </c>
      <c r="K43" s="596">
        <v>2</v>
      </c>
      <c r="L43" s="1252"/>
      <c r="M43" s="1243"/>
      <c r="N43" s="1243"/>
      <c r="O43" s="1243"/>
      <c r="P43" s="3065"/>
      <c r="Q43" s="1898" t="str">
        <f t="shared" si="11"/>
        <v>内部装修</v>
      </c>
      <c r="R43" s="752" t="s">
        <v>25</v>
      </c>
      <c r="S43" s="753">
        <f t="shared" si="12"/>
        <v>100</v>
      </c>
      <c r="T43" s="752" t="s">
        <v>25</v>
      </c>
      <c r="U43" s="753">
        <f t="shared" si="13"/>
        <v>100</v>
      </c>
      <c r="V43" s="752" t="s">
        <v>25</v>
      </c>
      <c r="W43" s="753">
        <f t="shared" si="14"/>
        <v>100</v>
      </c>
      <c r="X43" s="1899"/>
      <c r="Y43" s="3044"/>
      <c r="Z43" s="1901" t="str">
        <f t="shared" si="15"/>
        <v>内部装修</v>
      </c>
      <c r="AA43" s="1902">
        <f t="shared" si="3"/>
        <v>1</v>
      </c>
      <c r="AB43" s="1902">
        <f t="shared" si="4"/>
        <v>1</v>
      </c>
      <c r="AC43" s="1902">
        <f t="shared" si="5"/>
        <v>1</v>
      </c>
    </row>
    <row r="44" spans="1:29" ht="15" hidden="1">
      <c r="A44" s="453"/>
      <c r="B44" s="402"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1898" t="str">
        <f t="shared" si="11"/>
        <v>内部装修维护情况</v>
      </c>
      <c r="R44" s="752" t="s">
        <v>25</v>
      </c>
      <c r="S44" s="753">
        <f t="shared" si="12"/>
        <v>100</v>
      </c>
      <c r="T44" s="752" t="s">
        <v>25</v>
      </c>
      <c r="U44" s="753">
        <f t="shared" si="13"/>
        <v>100</v>
      </c>
      <c r="V44" s="752" t="s">
        <v>25</v>
      </c>
      <c r="W44" s="753">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2" t="s">
        <v>25</v>
      </c>
      <c r="S46" s="753">
        <f t="shared" si="12"/>
        <v>100</v>
      </c>
      <c r="T46" s="752" t="s">
        <v>25</v>
      </c>
      <c r="U46" s="753">
        <f t="shared" si="13"/>
        <v>100</v>
      </c>
      <c r="V46" s="752" t="s">
        <v>25</v>
      </c>
      <c r="W46" s="753">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2" t="s">
        <v>25</v>
      </c>
      <c r="S47" s="753">
        <f t="shared" si="12"/>
        <v>100</v>
      </c>
      <c r="T47" s="752" t="s">
        <v>25</v>
      </c>
      <c r="U47" s="753">
        <f t="shared" si="13"/>
        <v>100</v>
      </c>
      <c r="V47" s="752" t="s">
        <v>25</v>
      </c>
      <c r="W47" s="753">
        <f t="shared" si="14"/>
        <v>100</v>
      </c>
      <c r="X47" s="1899"/>
      <c r="Y47" s="3045"/>
      <c r="Z47" s="1901">
        <f t="shared" si="15"/>
        <v>111</v>
      </c>
      <c r="AA47" s="1902">
        <f t="shared" si="3"/>
        <v>1</v>
      </c>
      <c r="AB47" s="1902">
        <f t="shared" si="4"/>
        <v>1</v>
      </c>
      <c r="AC47" s="1902">
        <f t="shared" si="5"/>
        <v>1</v>
      </c>
    </row>
    <row r="48" spans="1:29" ht="15">
      <c r="A48" s="460" t="s">
        <v>2385</v>
      </c>
      <c r="B48" s="461"/>
      <c r="C48" s="1501" t="s">
        <v>1</v>
      </c>
      <c r="D48" s="1502"/>
      <c r="E48" s="1503">
        <v>53000</v>
      </c>
      <c r="F48" s="1504"/>
      <c r="G48" s="1505">
        <v>55500</v>
      </c>
      <c r="H48" s="1506"/>
      <c r="I48" s="1503">
        <v>62500</v>
      </c>
      <c r="J48" s="1506"/>
      <c r="K48" s="761"/>
      <c r="L48" s="1255"/>
      <c r="M48" s="1243"/>
      <c r="N48" s="1243"/>
      <c r="O48" s="1243"/>
      <c r="P48" s="3057" t="str">
        <f>A48</f>
        <v>成交单价（元/平方米）</v>
      </c>
      <c r="Q48" s="3050"/>
      <c r="R48" s="3051">
        <f>E48</f>
        <v>53000</v>
      </c>
      <c r="S48" s="3051"/>
      <c r="T48" s="3051">
        <f>G48</f>
        <v>55500</v>
      </c>
      <c r="U48" s="3051"/>
      <c r="V48" s="3051">
        <f>I48</f>
        <v>62500</v>
      </c>
      <c r="W48" s="3051"/>
      <c r="X48" s="737"/>
      <c r="Y48" s="759"/>
      <c r="Z48" s="737"/>
      <c r="AA48" s="737"/>
      <c r="AB48" s="737"/>
      <c r="AC48" s="737"/>
    </row>
    <row r="49" spans="1:29" ht="15.75" thickBot="1">
      <c r="A49" s="467" t="s">
        <v>2468</v>
      </c>
      <c r="B49" s="468"/>
      <c r="C49" s="1507">
        <f>R50</f>
        <v>58232</v>
      </c>
      <c r="D49" s="1508"/>
      <c r="E49" s="1509">
        <f>R49</f>
        <v>55208</v>
      </c>
      <c r="F49" s="1509"/>
      <c r="G49" s="1507">
        <f>T49</f>
        <v>54412</v>
      </c>
      <c r="H49" s="1508"/>
      <c r="I49" s="1509">
        <f>V49</f>
        <v>65077</v>
      </c>
      <c r="J49" s="1508"/>
      <c r="K49" s="762"/>
      <c r="L49" s="1255"/>
      <c r="M49" s="1243"/>
      <c r="N49" s="1243"/>
      <c r="O49" s="1243"/>
      <c r="P49" s="3057" t="str">
        <f>A49</f>
        <v>比较价值（元/平方米）</v>
      </c>
      <c r="Q49" s="3050"/>
      <c r="R49" s="3051">
        <f>IF(E1="售价",ROUND(PRODUCT(R48,AA7:AA47),0),ROUND(PRODUCT(R48,AA7:AA47),1))</f>
        <v>55208</v>
      </c>
      <c r="S49" s="3051"/>
      <c r="T49" s="3051">
        <f>IF(E1="售价",ROUND(PRODUCT(T48,AB7:AB47),0),ROUND(PRODUCT(T48,AB7:AB47),1))</f>
        <v>54412</v>
      </c>
      <c r="U49" s="3051"/>
      <c r="V49" s="3051">
        <f>IF(E1="售价",ROUND(PRODUCT(V48,AC7:AC47),0),ROUND(PRODUCT(V48,AC7:AC47),1))</f>
        <v>65077</v>
      </c>
      <c r="W49" s="3051"/>
      <c r="X49" s="737"/>
      <c r="Y49" s="737"/>
      <c r="Z49" s="737"/>
      <c r="AA49" s="737"/>
      <c r="AB49" s="737"/>
      <c r="AC49" s="737"/>
    </row>
    <row r="50" spans="1:29" ht="15.75" thickBot="1">
      <c r="A50" s="473" t="s">
        <v>2491</v>
      </c>
      <c r="B50" s="474"/>
      <c r="C50" s="1511">
        <f>R50</f>
        <v>58232</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58232</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2471</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2472</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2473</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2831</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2832</v>
      </c>
      <c r="D87" s="2745" t="s">
        <v>2833</v>
      </c>
      <c r="E87" s="2745" t="s">
        <v>2835</v>
      </c>
      <c r="F87" s="2745" t="s">
        <v>2836</v>
      </c>
      <c r="G87" s="2745" t="s">
        <v>2837</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2839</v>
      </c>
      <c r="D89" s="2745" t="s">
        <v>2841</v>
      </c>
      <c r="E89" s="2745" t="s">
        <v>2843</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2844</v>
      </c>
      <c r="D91" s="2745" t="s">
        <v>2845</v>
      </c>
      <c r="E91" s="2745" t="s">
        <v>2847</v>
      </c>
      <c r="F91" s="2745" t="s">
        <v>2848</v>
      </c>
      <c r="G91" s="2745" t="s">
        <v>2849</v>
      </c>
      <c r="H91" s="2746" t="s">
        <v>2851</v>
      </c>
      <c r="I91" s="2746" t="s">
        <v>2853</v>
      </c>
      <c r="J91" s="2746" t="s">
        <v>2854</v>
      </c>
      <c r="K91" s="2746" t="s">
        <v>2855</v>
      </c>
      <c r="L91" s="2747" t="s">
        <v>2856</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2890</v>
      </c>
      <c r="D101" s="2744" t="s">
        <v>2891</v>
      </c>
      <c r="E101" s="2744" t="s">
        <v>2892</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2858</v>
      </c>
      <c r="D106" s="2745" t="s">
        <v>2859</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2861</v>
      </c>
      <c r="D108" s="2745" t="s">
        <v>2862</v>
      </c>
      <c r="E108" s="2745" t="s">
        <v>2863</v>
      </c>
      <c r="F108" s="2748" t="s">
        <v>2864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2866</v>
      </c>
      <c r="D115" s="2745" t="s">
        <v>2867</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2868</v>
      </c>
      <c r="D117" s="2745" t="s">
        <v>2870</v>
      </c>
      <c r="E117" s="2745" t="s">
        <v>2871</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2873</v>
      </c>
      <c r="D119" s="2748" t="s">
        <v>2874</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2861</v>
      </c>
      <c r="D123" s="2745" t="s">
        <v>2862</v>
      </c>
      <c r="E123" s="2745" t="s">
        <v>2863</v>
      </c>
      <c r="F123" s="2748" t="s">
        <v>2864</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2497</v>
      </c>
      <c r="C1" s="1725"/>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2011</v>
      </c>
      <c r="B3" s="593" t="e">
        <f ca="1">ROUND(IF(D2="——",C43,IF(C2="万元",B2*10000/D3,B2/D3)),0)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2359</v>
      </c>
      <c r="Q8" s="3047"/>
      <c r="R8" s="748" t="s">
        <v>25</v>
      </c>
      <c r="S8" s="749">
        <f t="shared" si="0"/>
        <v>100</v>
      </c>
      <c r="T8" s="748" t="s">
        <v>25</v>
      </c>
      <c r="U8" s="749">
        <f t="shared" si="1"/>
        <v>100</v>
      </c>
      <c r="V8" s="748" t="s">
        <v>25</v>
      </c>
      <c r="W8" s="749">
        <f t="shared" si="2"/>
        <v>100</v>
      </c>
      <c r="X8" s="750"/>
      <c r="Y8" s="3046" t="s">
        <v>2359</v>
      </c>
      <c r="Z8" s="3047"/>
      <c r="AA8" s="751">
        <f t="shared" ref="AA8:AA40" si="3">D8/F8</f>
        <v>1</v>
      </c>
      <c r="AB8" s="751">
        <f t="shared" ref="AB8:AB40" si="4">D8/H8</f>
        <v>1</v>
      </c>
      <c r="AC8" s="751">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2366</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2367</v>
      </c>
      <c r="Q15" s="1898" t="str">
        <f t="shared" si="6"/>
        <v>产业集聚程度</v>
      </c>
      <c r="R15" s="752" t="s">
        <v>25</v>
      </c>
      <c r="S15" s="753">
        <f t="shared" si="0"/>
        <v>100</v>
      </c>
      <c r="T15" s="752" t="s">
        <v>25</v>
      </c>
      <c r="U15" s="753">
        <f t="shared" si="1"/>
        <v>100</v>
      </c>
      <c r="V15" s="752" t="s">
        <v>25</v>
      </c>
      <c r="W15" s="753">
        <f t="shared" si="2"/>
        <v>100</v>
      </c>
      <c r="X15" s="1899"/>
      <c r="Y15" s="3039"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2371</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8" t="s">
        <v>2373</v>
      </c>
      <c r="Q29" s="1898" t="str">
        <f t="shared" si="11"/>
        <v>建筑类型</v>
      </c>
      <c r="R29" s="752" t="s">
        <v>25</v>
      </c>
      <c r="S29" s="753">
        <f t="shared" si="12"/>
        <v>100</v>
      </c>
      <c r="T29" s="752" t="s">
        <v>25</v>
      </c>
      <c r="U29" s="753">
        <f t="shared" si="13"/>
        <v>100</v>
      </c>
      <c r="V29" s="752" t="s">
        <v>25</v>
      </c>
      <c r="W29" s="753">
        <f t="shared" si="14"/>
        <v>100</v>
      </c>
      <c r="X29" s="1899"/>
      <c r="Y29" s="3044"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4" t="str">
        <f t="shared" si="11"/>
        <v>项目建筑规模</v>
      </c>
      <c r="R30" s="755" t="s">
        <v>25</v>
      </c>
      <c r="S30" s="756" t="e">
        <f t="shared" si="12"/>
        <v>#N/A</v>
      </c>
      <c r="T30" s="755" t="s">
        <v>25</v>
      </c>
      <c r="U30" s="756" t="e">
        <f t="shared" si="13"/>
        <v>#N/A</v>
      </c>
      <c r="V30" s="755" t="s">
        <v>25</v>
      </c>
      <c r="W30" s="756" t="e">
        <f t="shared" si="14"/>
        <v>#N/A</v>
      </c>
      <c r="X30" s="757"/>
      <c r="Y30" s="3044"/>
      <c r="Z30" s="758" t="str">
        <f t="shared" si="15"/>
        <v>项目建筑规模</v>
      </c>
      <c r="AA30" s="1902" t="e">
        <f t="shared" si="3"/>
        <v>#N/A</v>
      </c>
      <c r="AB30" s="1902" t="e">
        <f t="shared" si="4"/>
        <v>#N/A</v>
      </c>
      <c r="AC30" s="1902"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2" t="s">
        <v>25</v>
      </c>
      <c r="S31" s="753">
        <f t="shared" si="12"/>
        <v>100</v>
      </c>
      <c r="T31" s="752" t="s">
        <v>25</v>
      </c>
      <c r="U31" s="753">
        <f t="shared" si="13"/>
        <v>100</v>
      </c>
      <c r="V31" s="752" t="s">
        <v>25</v>
      </c>
      <c r="W31" s="753">
        <f t="shared" si="14"/>
        <v>100</v>
      </c>
      <c r="X31" s="1899"/>
      <c r="Y31" s="3044"/>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2" t="s">
        <v>25</v>
      </c>
      <c r="S32" s="753">
        <f t="shared" si="12"/>
        <v>100</v>
      </c>
      <c r="T32" s="752" t="s">
        <v>25</v>
      </c>
      <c r="U32" s="753">
        <f t="shared" si="13"/>
        <v>100</v>
      </c>
      <c r="V32" s="752" t="s">
        <v>25</v>
      </c>
      <c r="W32" s="753">
        <f t="shared" si="14"/>
        <v>100</v>
      </c>
      <c r="X32" s="1899"/>
      <c r="Y32" s="3044"/>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2" t="s">
        <v>25</v>
      </c>
      <c r="S33" s="753" t="e">
        <f t="shared" si="12"/>
        <v>#N/A</v>
      </c>
      <c r="T33" s="752" t="s">
        <v>25</v>
      </c>
      <c r="U33" s="753" t="e">
        <f t="shared" si="13"/>
        <v>#N/A</v>
      </c>
      <c r="V33" s="752" t="s">
        <v>25</v>
      </c>
      <c r="W33" s="753"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8" t="s">
        <v>25</v>
      </c>
      <c r="S34" s="749">
        <f t="shared" si="12"/>
        <v>100</v>
      </c>
      <c r="T34" s="748" t="s">
        <v>25</v>
      </c>
      <c r="U34" s="749">
        <f t="shared" si="13"/>
        <v>100</v>
      </c>
      <c r="V34" s="748" t="s">
        <v>25</v>
      </c>
      <c r="W34" s="749">
        <f t="shared" si="14"/>
        <v>100</v>
      </c>
      <c r="X34" s="750"/>
      <c r="Y34" s="3044"/>
      <c r="Z34" s="23" t="str">
        <f t="shared" si="15"/>
        <v>物业管理</v>
      </c>
      <c r="AA34" s="751">
        <f t="shared" si="3"/>
        <v>1</v>
      </c>
      <c r="AB34" s="751">
        <f t="shared" si="4"/>
        <v>1</v>
      </c>
      <c r="AC34" s="751">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2373</v>
      </c>
      <c r="Q35" s="1898" t="str">
        <f t="shared" si="11"/>
        <v>市政基础设施</v>
      </c>
      <c r="R35" s="752" t="s">
        <v>25</v>
      </c>
      <c r="S35" s="753">
        <f t="shared" si="12"/>
        <v>100</v>
      </c>
      <c r="T35" s="752" t="s">
        <v>25</v>
      </c>
      <c r="U35" s="753">
        <f t="shared" si="13"/>
        <v>100</v>
      </c>
      <c r="V35" s="752" t="s">
        <v>25</v>
      </c>
      <c r="W35" s="753">
        <f t="shared" si="14"/>
        <v>100</v>
      </c>
      <c r="X35" s="1899"/>
      <c r="Y35" s="3044" t="s">
        <v>2373</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2" t="s">
        <v>25</v>
      </c>
      <c r="S36" s="753">
        <f t="shared" si="12"/>
        <v>100</v>
      </c>
      <c r="T36" s="752" t="s">
        <v>25</v>
      </c>
      <c r="U36" s="753">
        <f t="shared" si="13"/>
        <v>100</v>
      </c>
      <c r="V36" s="752" t="s">
        <v>25</v>
      </c>
      <c r="W36" s="753">
        <f t="shared" si="14"/>
        <v>100</v>
      </c>
      <c r="X36" s="1899"/>
      <c r="Y36" s="3044"/>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2" t="s">
        <v>25</v>
      </c>
      <c r="S37" s="753">
        <f t="shared" si="12"/>
        <v>0</v>
      </c>
      <c r="T37" s="752" t="s">
        <v>25</v>
      </c>
      <c r="U37" s="753">
        <f t="shared" si="13"/>
        <v>0</v>
      </c>
      <c r="V37" s="752" t="s">
        <v>25</v>
      </c>
      <c r="W37" s="753">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4">
        <f t="shared" si="11"/>
        <v>111</v>
      </c>
      <c r="R38" s="755" t="s">
        <v>25</v>
      </c>
      <c r="S38" s="756">
        <f t="shared" si="12"/>
        <v>100</v>
      </c>
      <c r="T38" s="755" t="s">
        <v>25</v>
      </c>
      <c r="U38" s="756">
        <f t="shared" si="13"/>
        <v>100</v>
      </c>
      <c r="V38" s="755" t="s">
        <v>25</v>
      </c>
      <c r="W38" s="756">
        <f t="shared" si="14"/>
        <v>100</v>
      </c>
      <c r="X38" s="757"/>
      <c r="Y38" s="3044"/>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2" t="s">
        <v>25</v>
      </c>
      <c r="S39" s="753">
        <f t="shared" si="12"/>
        <v>100</v>
      </c>
      <c r="T39" s="752" t="s">
        <v>25</v>
      </c>
      <c r="U39" s="753">
        <f t="shared" si="13"/>
        <v>100</v>
      </c>
      <c r="V39" s="752" t="s">
        <v>25</v>
      </c>
      <c r="W39" s="753">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2" t="s">
        <v>25</v>
      </c>
      <c r="S40" s="753">
        <f t="shared" si="12"/>
        <v>100</v>
      </c>
      <c r="T40" s="752" t="s">
        <v>25</v>
      </c>
      <c r="U40" s="753">
        <f t="shared" si="13"/>
        <v>100</v>
      </c>
      <c r="V40" s="752" t="s">
        <v>25</v>
      </c>
      <c r="W40" s="753">
        <f t="shared" si="14"/>
        <v>100</v>
      </c>
      <c r="X40" s="1899"/>
      <c r="Y40" s="3045"/>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1"/>
      <c r="L41" s="1255"/>
      <c r="M41" s="1256"/>
      <c r="N41" s="1243"/>
      <c r="O41" s="1256"/>
      <c r="P41" s="3050" t="str">
        <f>A41</f>
        <v>成交单价（元/平方米）</v>
      </c>
      <c r="Q41" s="3050"/>
      <c r="R41" s="3051">
        <f>E41</f>
        <v>0</v>
      </c>
      <c r="S41" s="3051"/>
      <c r="T41" s="3051">
        <f>G41</f>
        <v>0</v>
      </c>
      <c r="U41" s="3051"/>
      <c r="V41" s="3051">
        <f>I41</f>
        <v>0</v>
      </c>
      <c r="W41" s="3051"/>
      <c r="X41" s="737"/>
      <c r="Y41" s="759"/>
      <c r="Z41" s="737"/>
      <c r="AA41" s="737"/>
      <c r="AB41" s="737"/>
      <c r="AC41" s="737"/>
    </row>
    <row r="42" spans="1:29" ht="15.75" thickBot="1">
      <c r="A42" s="467" t="s">
        <v>2468</v>
      </c>
      <c r="B42" s="468"/>
      <c r="C42" s="1507" t="e">
        <f>R43</f>
        <v>#DIV/0!</v>
      </c>
      <c r="D42" s="1508"/>
      <c r="E42" s="1509" t="e">
        <f>R42</f>
        <v>#DIV/0!</v>
      </c>
      <c r="F42" s="1509"/>
      <c r="G42" s="1507" t="e">
        <f>T42</f>
        <v>#DIV/0!</v>
      </c>
      <c r="H42" s="1508"/>
      <c r="I42" s="1509" t="e">
        <f>V42</f>
        <v>#DIV/0!</v>
      </c>
      <c r="J42" s="1508"/>
      <c r="K42" s="762"/>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7"/>
      <c r="Y42" s="737"/>
      <c r="Z42" s="737"/>
      <c r="AA42" s="737"/>
      <c r="AB42" s="737"/>
      <c r="AC42" s="737"/>
    </row>
    <row r="43" spans="1:29" ht="15.75" thickBot="1">
      <c r="A43" s="473" t="s">
        <v>2491</v>
      </c>
      <c r="B43" s="474"/>
      <c r="C43" s="1511" t="e">
        <f>R43</f>
        <v>#DIV/0!</v>
      </c>
      <c r="D43" s="1511"/>
      <c r="E43" s="1511"/>
      <c r="F43" s="1511"/>
      <c r="G43" s="1511"/>
      <c r="H43" s="1511"/>
      <c r="I43" s="1511"/>
      <c r="J43" s="1511"/>
      <c r="K43" s="763"/>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2473</v>
      </c>
      <c r="B51" s="737"/>
      <c r="C51" s="742"/>
      <c r="D51" s="742"/>
      <c r="E51" s="742"/>
      <c r="F51" s="743"/>
      <c r="G51" s="743"/>
      <c r="H51" s="742"/>
      <c r="I51" s="742"/>
      <c r="J51" s="742"/>
      <c r="K51" s="744"/>
      <c r="L51" s="745"/>
      <c r="M51" s="742"/>
      <c r="N51" s="742"/>
      <c r="O51" s="742"/>
      <c r="P51" s="484"/>
      <c r="Q51" s="485"/>
    </row>
    <row r="52" spans="1:17" s="489" customFormat="1" ht="15">
      <c r="A52" s="486" t="s">
        <v>2355</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2371</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29"/>
      <c r="E1" s="2382"/>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2011</v>
      </c>
      <c r="B3" s="593" t="e">
        <f>IF(AND(D2="——",B37="元/平方米"),C39,ROUND(F3*C39/D3,0))</f>
        <v>#DIV/0!</v>
      </c>
      <c r="C3" s="379" t="s">
        <v>2341</v>
      </c>
      <c r="D3" s="378">
        <f>IF(C1="仅计算典型户型",'数据-取费表'!E5,'数据-取费表'!B5)</f>
        <v>61.62</v>
      </c>
      <c r="E3" s="1091" t="s">
        <v>2509</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513"/>
      <c r="M4" s="425"/>
      <c r="N4" s="425"/>
      <c r="O4" s="425"/>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2356</v>
      </c>
      <c r="Q7" s="3048"/>
      <c r="R7" s="748" t="s">
        <v>25</v>
      </c>
      <c r="S7" s="749">
        <f t="shared" ref="S7:S14" si="0">F7</f>
        <v>0</v>
      </c>
      <c r="T7" s="748" t="s">
        <v>25</v>
      </c>
      <c r="U7" s="749">
        <f t="shared" ref="U7:U14" si="1">H7</f>
        <v>0</v>
      </c>
      <c r="V7" s="748" t="s">
        <v>25</v>
      </c>
      <c r="W7" s="749">
        <f t="shared" ref="W7:W14"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2359</v>
      </c>
      <c r="Q8" s="3047"/>
      <c r="R8" s="748" t="s">
        <v>25</v>
      </c>
      <c r="S8" s="749">
        <f t="shared" si="0"/>
        <v>0</v>
      </c>
      <c r="T8" s="748" t="s">
        <v>25</v>
      </c>
      <c r="U8" s="749">
        <f t="shared" si="1"/>
        <v>0</v>
      </c>
      <c r="V8" s="748" t="s">
        <v>25</v>
      </c>
      <c r="W8" s="749">
        <f t="shared" si="2"/>
        <v>0</v>
      </c>
      <c r="X8" s="750"/>
      <c r="Y8" s="3046" t="s">
        <v>2359</v>
      </c>
      <c r="Z8" s="3047"/>
      <c r="AA8" s="751" t="e">
        <f t="shared" ref="AA8:AA36" si="3">D8/F8</f>
        <v>#DIV/0!</v>
      </c>
      <c r="AB8" s="751" t="e">
        <f t="shared" ref="AB8:AB36" si="4">D8/H8</f>
        <v>#DIV/0!</v>
      </c>
      <c r="AC8" s="751"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2362</v>
      </c>
      <c r="Q9" s="1886" t="str">
        <f t="shared" ref="Q9:Q14" si="6">B9</f>
        <v>用途</v>
      </c>
      <c r="R9" s="748" t="s">
        <v>25</v>
      </c>
      <c r="S9" s="749">
        <f t="shared" si="0"/>
        <v>100</v>
      </c>
      <c r="T9" s="748" t="s">
        <v>25</v>
      </c>
      <c r="U9" s="749">
        <f t="shared" si="1"/>
        <v>100</v>
      </c>
      <c r="V9" s="748" t="s">
        <v>25</v>
      </c>
      <c r="W9" s="749">
        <f t="shared" si="2"/>
        <v>100</v>
      </c>
      <c r="X9" s="750"/>
      <c r="Y9" s="2862" t="s">
        <v>2363</v>
      </c>
      <c r="Z9" s="23" t="str">
        <f t="shared" ref="Z9:Z14" si="7">Q9</f>
        <v>用途</v>
      </c>
      <c r="AA9" s="751">
        <f t="shared" si="3"/>
        <v>1</v>
      </c>
      <c r="AB9" s="751">
        <f t="shared" si="4"/>
        <v>1</v>
      </c>
      <c r="AC9" s="751">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380" t="s">
        <v>2366</v>
      </c>
      <c r="B14" s="613" t="s">
        <v>2510</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2367</v>
      </c>
      <c r="Q14" s="1898" t="str">
        <f t="shared" si="6"/>
        <v>交通便捷度</v>
      </c>
      <c r="R14" s="752" t="s">
        <v>25</v>
      </c>
      <c r="S14" s="753">
        <f t="shared" si="0"/>
        <v>100</v>
      </c>
      <c r="T14" s="752" t="s">
        <v>25</v>
      </c>
      <c r="U14" s="753">
        <f t="shared" si="1"/>
        <v>100</v>
      </c>
      <c r="V14" s="752" t="s">
        <v>25</v>
      </c>
      <c r="W14" s="753">
        <f t="shared" si="2"/>
        <v>100</v>
      </c>
      <c r="X14" s="1899"/>
      <c r="Y14" s="3039"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42.75">
      <c r="A16" s="383"/>
      <c r="B16" s="615" t="s">
        <v>2482</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28.5">
      <c r="A18" s="383"/>
      <c r="B18" s="617" t="s">
        <v>2483</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57">
      <c r="A20" s="383"/>
      <c r="B20" s="615" t="s">
        <v>2511</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2371</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2373</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44" t="s">
        <v>2373</v>
      </c>
      <c r="Z26" s="1901" t="str">
        <f t="shared" ref="Z26:Z36" si="15">Q26</f>
        <v>配套类型</v>
      </c>
      <c r="AA26" s="1902">
        <f t="shared" si="3"/>
        <v>1</v>
      </c>
      <c r="AB26" s="1902">
        <f t="shared" si="4"/>
        <v>1</v>
      </c>
      <c r="AC26" s="1902">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4" t="str">
        <f t="shared" si="11"/>
        <v>项目停车位配比</v>
      </c>
      <c r="R27" s="755" t="s">
        <v>25</v>
      </c>
      <c r="S27" s="756">
        <f t="shared" si="12"/>
        <v>100</v>
      </c>
      <c r="T27" s="755" t="s">
        <v>25</v>
      </c>
      <c r="U27" s="756">
        <f t="shared" si="13"/>
        <v>100</v>
      </c>
      <c r="V27" s="755" t="s">
        <v>25</v>
      </c>
      <c r="W27" s="756">
        <f t="shared" si="14"/>
        <v>100</v>
      </c>
      <c r="X27" s="757"/>
      <c r="Y27" s="3044"/>
      <c r="Z27" s="758" t="str">
        <f t="shared" si="15"/>
        <v>项目停车位配比</v>
      </c>
      <c r="AA27" s="1902">
        <f t="shared" si="3"/>
        <v>1</v>
      </c>
      <c r="AB27" s="1902">
        <f t="shared" si="4"/>
        <v>1</v>
      </c>
      <c r="AC27" s="1902">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2" t="s">
        <v>25</v>
      </c>
      <c r="S28" s="753">
        <f t="shared" si="12"/>
        <v>100</v>
      </c>
      <c r="T28" s="752" t="s">
        <v>25</v>
      </c>
      <c r="U28" s="753">
        <f t="shared" si="13"/>
        <v>100</v>
      </c>
      <c r="V28" s="752" t="s">
        <v>25</v>
      </c>
      <c r="W28" s="753">
        <f t="shared" si="14"/>
        <v>100</v>
      </c>
      <c r="X28" s="1899"/>
      <c r="Y28" s="3044"/>
      <c r="Z28" s="1901" t="str">
        <f t="shared" si="15"/>
        <v>公共部分装修</v>
      </c>
      <c r="AA28" s="1902">
        <f t="shared" si="3"/>
        <v>1</v>
      </c>
      <c r="AB28" s="1902">
        <f t="shared" si="4"/>
        <v>1</v>
      </c>
      <c r="AC28" s="1902">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2" t="s">
        <v>25</v>
      </c>
      <c r="S29" s="753" t="e">
        <f t="shared" si="12"/>
        <v>#N/A</v>
      </c>
      <c r="T29" s="752" t="s">
        <v>25</v>
      </c>
      <c r="U29" s="753" t="e">
        <f t="shared" si="13"/>
        <v>#N/A</v>
      </c>
      <c r="V29" s="752" t="s">
        <v>25</v>
      </c>
      <c r="W29" s="753" t="e">
        <f t="shared" si="14"/>
        <v>#N/A</v>
      </c>
      <c r="X29" s="1899"/>
      <c r="Y29" s="3044"/>
      <c r="Z29" s="1901" t="str">
        <f t="shared" si="15"/>
        <v>成新率</v>
      </c>
      <c r="AA29" s="1902" t="e">
        <f t="shared" si="3"/>
        <v>#N/A</v>
      </c>
      <c r="AB29" s="1902" t="e">
        <f t="shared" si="4"/>
        <v>#N/A</v>
      </c>
      <c r="AC29" s="1902"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2" t="s">
        <v>25</v>
      </c>
      <c r="S30" s="753">
        <f t="shared" si="12"/>
        <v>100</v>
      </c>
      <c r="T30" s="752" t="s">
        <v>25</v>
      </c>
      <c r="U30" s="753">
        <f t="shared" si="13"/>
        <v>100</v>
      </c>
      <c r="V30" s="752" t="s">
        <v>25</v>
      </c>
      <c r="W30" s="753">
        <f t="shared" si="14"/>
        <v>100</v>
      </c>
      <c r="X30" s="1899"/>
      <c r="Y30" s="3044"/>
      <c r="Z30" s="1901" t="str">
        <f t="shared" si="15"/>
        <v>物业等级</v>
      </c>
      <c r="AA30" s="1902">
        <f t="shared" si="3"/>
        <v>1</v>
      </c>
      <c r="AB30" s="1902">
        <f t="shared" si="4"/>
        <v>1</v>
      </c>
      <c r="AC30" s="1902">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8" t="s">
        <v>25</v>
      </c>
      <c r="S31" s="749" t="e">
        <f t="shared" si="12"/>
        <v>#N/A</v>
      </c>
      <c r="T31" s="748" t="s">
        <v>25</v>
      </c>
      <c r="U31" s="749" t="e">
        <f t="shared" si="13"/>
        <v>#N/A</v>
      </c>
      <c r="V31" s="748" t="s">
        <v>25</v>
      </c>
      <c r="W31" s="749" t="e">
        <f t="shared" si="14"/>
        <v>#N/A</v>
      </c>
      <c r="X31" s="750"/>
      <c r="Y31" s="3044"/>
      <c r="Z31" s="23" t="str">
        <f t="shared" si="15"/>
        <v>停车位面积</v>
      </c>
      <c r="AA31" s="751" t="e">
        <f t="shared" si="3"/>
        <v>#N/A</v>
      </c>
      <c r="AB31" s="751" t="e">
        <f t="shared" si="4"/>
        <v>#N/A</v>
      </c>
      <c r="AC31" s="751"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2373</v>
      </c>
      <c r="Q32" s="1898" t="str">
        <f t="shared" si="11"/>
        <v>车位类型</v>
      </c>
      <c r="R32" s="752" t="s">
        <v>25</v>
      </c>
      <c r="S32" s="753">
        <f t="shared" si="12"/>
        <v>100</v>
      </c>
      <c r="T32" s="752" t="s">
        <v>25</v>
      </c>
      <c r="U32" s="753">
        <f t="shared" si="13"/>
        <v>100</v>
      </c>
      <c r="V32" s="752" t="s">
        <v>25</v>
      </c>
      <c r="W32" s="753">
        <f t="shared" si="14"/>
        <v>100</v>
      </c>
      <c r="X32" s="1899"/>
      <c r="Y32" s="3044" t="s">
        <v>2373</v>
      </c>
      <c r="Z32" s="1901" t="str">
        <f t="shared" si="15"/>
        <v>车位类型</v>
      </c>
      <c r="AA32" s="1902">
        <f t="shared" si="3"/>
        <v>1</v>
      </c>
      <c r="AB32" s="1902">
        <f t="shared" si="4"/>
        <v>1</v>
      </c>
      <c r="AC32" s="1902">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2" t="s">
        <v>25</v>
      </c>
      <c r="S33" s="753">
        <f t="shared" si="12"/>
        <v>100</v>
      </c>
      <c r="T33" s="752" t="s">
        <v>25</v>
      </c>
      <c r="U33" s="753">
        <f t="shared" si="13"/>
        <v>100</v>
      </c>
      <c r="V33" s="752" t="s">
        <v>25</v>
      </c>
      <c r="W33" s="753">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4">
        <f t="shared" si="11"/>
        <v>111</v>
      </c>
      <c r="R35" s="755" t="s">
        <v>25</v>
      </c>
      <c r="S35" s="756">
        <f t="shared" si="12"/>
        <v>100</v>
      </c>
      <c r="T35" s="755" t="s">
        <v>25</v>
      </c>
      <c r="U35" s="756">
        <f t="shared" si="13"/>
        <v>100</v>
      </c>
      <c r="V35" s="755" t="s">
        <v>25</v>
      </c>
      <c r="W35" s="756">
        <f t="shared" si="14"/>
        <v>100</v>
      </c>
      <c r="X35" s="757"/>
      <c r="Y35" s="3044"/>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2" t="s">
        <v>25</v>
      </c>
      <c r="S36" s="753">
        <f t="shared" si="12"/>
        <v>100</v>
      </c>
      <c r="T36" s="752" t="s">
        <v>25</v>
      </c>
      <c r="U36" s="753">
        <f t="shared" si="13"/>
        <v>100</v>
      </c>
      <c r="V36" s="752" t="s">
        <v>25</v>
      </c>
      <c r="W36" s="753">
        <f t="shared" si="14"/>
        <v>100</v>
      </c>
      <c r="X36" s="1899"/>
      <c r="Y36" s="3044"/>
      <c r="Z36" s="1901">
        <f t="shared" si="15"/>
        <v>111</v>
      </c>
      <c r="AA36" s="1902">
        <f t="shared" si="3"/>
        <v>1</v>
      </c>
      <c r="AB36" s="1902">
        <f t="shared" si="4"/>
        <v>1</v>
      </c>
      <c r="AC36" s="1902">
        <f t="shared" si="5"/>
        <v>1</v>
      </c>
    </row>
    <row r="37" spans="1:29" ht="15">
      <c r="A37" s="460" t="s">
        <v>2521</v>
      </c>
      <c r="B37" s="1092" t="s">
        <v>2522</v>
      </c>
      <c r="C37" s="1501" t="s">
        <v>1</v>
      </c>
      <c r="D37" s="1502"/>
      <c r="E37" s="1503"/>
      <c r="F37" s="1504"/>
      <c r="G37" s="1505"/>
      <c r="H37" s="1506"/>
      <c r="I37" s="1503"/>
      <c r="J37" s="1506"/>
      <c r="K37" s="603"/>
      <c r="L37" s="1524"/>
      <c r="M37" s="737"/>
      <c r="N37" s="425"/>
      <c r="O37" s="737"/>
      <c r="P37" s="3050" t="str">
        <f>A37</f>
        <v>成交单价</v>
      </c>
      <c r="Q37" s="3050"/>
      <c r="R37" s="3051">
        <f>E37</f>
        <v>0</v>
      </c>
      <c r="S37" s="3051"/>
      <c r="T37" s="3051">
        <f>G37</f>
        <v>0</v>
      </c>
      <c r="U37" s="3051"/>
      <c r="V37" s="3051">
        <f>I37</f>
        <v>0</v>
      </c>
      <c r="W37" s="3051"/>
      <c r="X37" s="737"/>
      <c r="Y37" s="759"/>
      <c r="Z37" s="737"/>
      <c r="AA37" s="737"/>
      <c r="AB37" s="737"/>
      <c r="AC37" s="737"/>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7"/>
      <c r="Y38" s="737"/>
      <c r="Z38" s="737"/>
      <c r="AA38" s="737"/>
      <c r="AB38" s="737"/>
      <c r="AC38" s="737"/>
    </row>
    <row r="39" spans="1:29" ht="15.75" thickBot="1">
      <c r="A39" s="473" t="s">
        <v>2524</v>
      </c>
      <c r="B39" s="474"/>
      <c r="C39" s="1511" t="e">
        <f>R39</f>
        <v>#DIV/0!</v>
      </c>
      <c r="D39" s="1511"/>
      <c r="E39" s="1511"/>
      <c r="F39" s="1511"/>
      <c r="G39" s="1511"/>
      <c r="H39" s="1511"/>
      <c r="I39" s="1511"/>
      <c r="J39" s="1511"/>
      <c r="K39" s="605"/>
      <c r="L39" s="1524"/>
      <c r="M39" s="737"/>
      <c r="N39" s="737"/>
      <c r="O39" s="737"/>
      <c r="P39" s="3056" t="str">
        <f>A39</f>
        <v>估价对象XX用房的比较价值（楼面单价，元/平方米）</v>
      </c>
      <c r="Q39" s="3057"/>
      <c r="R39" s="3058" t="e">
        <f>IF(E1="售价",ROUND(AVERAGE(R38:V38),0),ROUND(AVERAGE(R38:V38),1))</f>
        <v>#DIV/0!</v>
      </c>
      <c r="S39" s="3058"/>
      <c r="T39" s="3058"/>
      <c r="U39" s="3058"/>
      <c r="V39" s="3058"/>
      <c r="W39" s="3058"/>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2528</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2529</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 ca="1">ROUND(IF(D2="——",C37,IF(C2="万元",B2*10000/D3,B2/D3)),0)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2356</v>
      </c>
      <c r="Q7" s="3048"/>
      <c r="R7" s="748" t="s">
        <v>25</v>
      </c>
      <c r="S7" s="749">
        <f t="shared" ref="S7:S14" si="0">F7</f>
        <v>0</v>
      </c>
      <c r="T7" s="748" t="s">
        <v>25</v>
      </c>
      <c r="U7" s="749">
        <f t="shared" ref="U7:U14" si="1">H7</f>
        <v>0</v>
      </c>
      <c r="V7" s="748" t="s">
        <v>25</v>
      </c>
      <c r="W7" s="749">
        <f t="shared" ref="W7:W14"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34" si="3">D8/F8</f>
        <v>#DIV/0!</v>
      </c>
      <c r="AB8" s="751" t="e">
        <f t="shared" ref="AB8:AB34" si="4">D8/H8</f>
        <v>#DIV/0!</v>
      </c>
      <c r="AC8" s="751"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2362</v>
      </c>
      <c r="Q9" s="1886" t="str">
        <f t="shared" ref="Q9:Q14" si="6">B9</f>
        <v>用途</v>
      </c>
      <c r="R9" s="748" t="s">
        <v>25</v>
      </c>
      <c r="S9" s="749">
        <f t="shared" si="0"/>
        <v>100</v>
      </c>
      <c r="T9" s="748" t="s">
        <v>25</v>
      </c>
      <c r="U9" s="749">
        <f t="shared" si="1"/>
        <v>100</v>
      </c>
      <c r="V9" s="748" t="s">
        <v>25</v>
      </c>
      <c r="W9" s="749">
        <f t="shared" si="2"/>
        <v>100</v>
      </c>
      <c r="X9" s="750"/>
      <c r="Y9" s="2862" t="s">
        <v>2363</v>
      </c>
      <c r="Z9" s="23" t="str">
        <f t="shared" ref="Z9:Z14" si="7">Q9</f>
        <v>用途</v>
      </c>
      <c r="AA9" s="751">
        <f t="shared" si="3"/>
        <v>1</v>
      </c>
      <c r="AB9" s="751">
        <f t="shared" si="4"/>
        <v>1</v>
      </c>
      <c r="AC9" s="751">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419" t="s">
        <v>2366</v>
      </c>
      <c r="B14" s="26" t="s">
        <v>2510</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2367</v>
      </c>
      <c r="Q14" s="1898" t="str">
        <f t="shared" si="6"/>
        <v>交通便捷度</v>
      </c>
      <c r="R14" s="752" t="s">
        <v>25</v>
      </c>
      <c r="S14" s="753">
        <f t="shared" si="0"/>
        <v>100</v>
      </c>
      <c r="T14" s="752" t="s">
        <v>25</v>
      </c>
      <c r="U14" s="753">
        <f t="shared" si="1"/>
        <v>100</v>
      </c>
      <c r="V14" s="752" t="s">
        <v>25</v>
      </c>
      <c r="W14" s="753">
        <f t="shared" si="2"/>
        <v>100</v>
      </c>
      <c r="X14" s="1899"/>
      <c r="Y14" s="3039"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42.75">
      <c r="A16" s="408"/>
      <c r="B16" s="615" t="s">
        <v>2482</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28.5">
      <c r="A18" s="408"/>
      <c r="B18" s="617" t="s">
        <v>2483</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57">
      <c r="A20" s="408"/>
      <c r="B20" s="431" t="s">
        <v>2511</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2371</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8" t="s">
        <v>2373</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44" t="s">
        <v>2373</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4" t="str">
        <f t="shared" si="11"/>
        <v>成新率</v>
      </c>
      <c r="R27" s="755" t="s">
        <v>25</v>
      </c>
      <c r="S27" s="756" t="e">
        <f t="shared" si="12"/>
        <v>#N/A</v>
      </c>
      <c r="T27" s="755" t="s">
        <v>25</v>
      </c>
      <c r="U27" s="756" t="e">
        <f t="shared" si="13"/>
        <v>#N/A</v>
      </c>
      <c r="V27" s="755" t="s">
        <v>25</v>
      </c>
      <c r="W27" s="756" t="e">
        <f t="shared" si="14"/>
        <v>#N/A</v>
      </c>
      <c r="X27" s="757"/>
      <c r="Y27" s="3044"/>
      <c r="Z27" s="758"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2" t="s">
        <v>25</v>
      </c>
      <c r="S28" s="753">
        <f t="shared" si="12"/>
        <v>100</v>
      </c>
      <c r="T28" s="752" t="s">
        <v>25</v>
      </c>
      <c r="U28" s="753">
        <f t="shared" si="13"/>
        <v>100</v>
      </c>
      <c r="V28" s="752" t="s">
        <v>25</v>
      </c>
      <c r="W28" s="753">
        <f t="shared" si="14"/>
        <v>100</v>
      </c>
      <c r="X28" s="1899"/>
      <c r="Y28" s="3044"/>
      <c r="Z28" s="1901" t="str">
        <f t="shared" si="15"/>
        <v>物业等级</v>
      </c>
      <c r="AA28" s="1902">
        <f t="shared" si="3"/>
        <v>1</v>
      </c>
      <c r="AB28" s="1902">
        <f t="shared" si="4"/>
        <v>1</v>
      </c>
      <c r="AC28" s="1902">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2" t="s">
        <v>25</v>
      </c>
      <c r="S29" s="753">
        <f t="shared" si="12"/>
        <v>100</v>
      </c>
      <c r="T29" s="752" t="s">
        <v>25</v>
      </c>
      <c r="U29" s="753">
        <f t="shared" si="13"/>
        <v>100</v>
      </c>
      <c r="V29" s="752" t="s">
        <v>25</v>
      </c>
      <c r="W29" s="753">
        <f t="shared" si="14"/>
        <v>100</v>
      </c>
      <c r="X29" s="1899"/>
      <c r="Y29" s="3044"/>
      <c r="Z29" s="1901" t="str">
        <f t="shared" si="15"/>
        <v>有无电梯</v>
      </c>
      <c r="AA29" s="1902">
        <f t="shared" si="3"/>
        <v>1</v>
      </c>
      <c r="AB29" s="1902">
        <f t="shared" si="4"/>
        <v>1</v>
      </c>
      <c r="AC29" s="1902">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2" t="s">
        <v>25</v>
      </c>
      <c r="S30" s="753" t="e">
        <f t="shared" si="12"/>
        <v>#N/A</v>
      </c>
      <c r="T30" s="752" t="s">
        <v>25</v>
      </c>
      <c r="U30" s="753" t="e">
        <f t="shared" si="13"/>
        <v>#N/A</v>
      </c>
      <c r="V30" s="752" t="s">
        <v>25</v>
      </c>
      <c r="W30" s="753"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8" t="s">
        <v>25</v>
      </c>
      <c r="S31" s="749">
        <f t="shared" si="12"/>
        <v>100</v>
      </c>
      <c r="T31" s="748" t="s">
        <v>25</v>
      </c>
      <c r="U31" s="749">
        <f t="shared" si="13"/>
        <v>100</v>
      </c>
      <c r="V31" s="748" t="s">
        <v>25</v>
      </c>
      <c r="W31" s="749">
        <f t="shared" si="14"/>
        <v>100</v>
      </c>
      <c r="X31" s="750"/>
      <c r="Y31" s="3044"/>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2373</v>
      </c>
      <c r="Q32" s="1898">
        <f t="shared" si="11"/>
        <v>111</v>
      </c>
      <c r="R32" s="752" t="s">
        <v>25</v>
      </c>
      <c r="S32" s="753">
        <f t="shared" si="12"/>
        <v>100</v>
      </c>
      <c r="T32" s="752" t="s">
        <v>25</v>
      </c>
      <c r="U32" s="753">
        <f t="shared" si="13"/>
        <v>100</v>
      </c>
      <c r="V32" s="752" t="s">
        <v>25</v>
      </c>
      <c r="W32" s="753">
        <f t="shared" si="14"/>
        <v>100</v>
      </c>
      <c r="X32" s="1899"/>
      <c r="Y32" s="3044" t="s">
        <v>2373</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2" t="s">
        <v>25</v>
      </c>
      <c r="S33" s="753">
        <f t="shared" si="12"/>
        <v>100</v>
      </c>
      <c r="T33" s="752" t="s">
        <v>25</v>
      </c>
      <c r="U33" s="753">
        <f t="shared" si="13"/>
        <v>100</v>
      </c>
      <c r="V33" s="752" t="s">
        <v>25</v>
      </c>
      <c r="W33" s="753">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1"/>
      <c r="L35" s="1255"/>
      <c r="M35" s="1256"/>
      <c r="N35" s="1243"/>
      <c r="O35" s="1256"/>
      <c r="P35" s="3050" t="str">
        <f>A35</f>
        <v>成交单价（元/平方米）</v>
      </c>
      <c r="Q35" s="3050"/>
      <c r="R35" s="3051">
        <f>E35</f>
        <v>0</v>
      </c>
      <c r="S35" s="3051"/>
      <c r="T35" s="3051">
        <f>G35</f>
        <v>0</v>
      </c>
      <c r="U35" s="3051"/>
      <c r="V35" s="3051">
        <f>I35</f>
        <v>0</v>
      </c>
      <c r="W35" s="3051"/>
      <c r="X35" s="737"/>
      <c r="Y35" s="759"/>
      <c r="Z35" s="737"/>
      <c r="AA35" s="737"/>
      <c r="AB35" s="737"/>
      <c r="AC35" s="737"/>
    </row>
    <row r="36" spans="1:29" ht="15.75" thickBot="1">
      <c r="A36" s="467" t="s">
        <v>2468</v>
      </c>
      <c r="B36" s="468"/>
      <c r="C36" s="1507" t="e">
        <f>R37</f>
        <v>#DIV/0!</v>
      </c>
      <c r="D36" s="1508"/>
      <c r="E36" s="1509" t="e">
        <f>R36</f>
        <v>#DIV/0!</v>
      </c>
      <c r="F36" s="1509"/>
      <c r="G36" s="1507" t="e">
        <f>T36</f>
        <v>#DIV/0!</v>
      </c>
      <c r="H36" s="1508"/>
      <c r="I36" s="1509" t="e">
        <f>V36</f>
        <v>#DIV/0!</v>
      </c>
      <c r="J36" s="1508"/>
      <c r="K36" s="762"/>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7"/>
      <c r="Y36" s="737"/>
      <c r="Z36" s="737"/>
      <c r="AA36" s="737"/>
      <c r="AB36" s="737"/>
      <c r="AC36" s="737"/>
    </row>
    <row r="37" spans="1:29" ht="15.75" thickBot="1">
      <c r="A37" s="473" t="s">
        <v>2491</v>
      </c>
      <c r="B37" s="474"/>
      <c r="C37" s="1511" t="e">
        <f>R37</f>
        <v>#DIV/0!</v>
      </c>
      <c r="D37" s="1511"/>
      <c r="E37" s="1511"/>
      <c r="F37" s="1511"/>
      <c r="G37" s="1511"/>
      <c r="H37" s="1511"/>
      <c r="I37" s="1511"/>
      <c r="J37" s="1511"/>
      <c r="K37" s="763"/>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2473</v>
      </c>
      <c r="B45" s="737"/>
      <c r="C45" s="742"/>
      <c r="D45" s="742"/>
      <c r="E45" s="742"/>
      <c r="F45" s="743"/>
      <c r="G45" s="743"/>
      <c r="H45" s="742"/>
      <c r="I45" s="742"/>
      <c r="J45" s="742"/>
      <c r="K45" s="744"/>
      <c r="L45" s="745"/>
      <c r="M45" s="742"/>
      <c r="N45" s="742"/>
      <c r="O45" s="742"/>
      <c r="P45" s="484"/>
      <c r="Q45" s="485"/>
    </row>
    <row r="46" spans="1:29" s="489" customFormat="1" ht="15">
      <c r="A46" s="486" t="s">
        <v>2355</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2010</v>
      </c>
      <c r="B2" s="654" t="e">
        <f>F66</f>
        <v>#DIV/0!</v>
      </c>
      <c r="C2" s="731" t="s">
        <v>2546</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30"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2355</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5" si="3">D8/F8</f>
        <v>#DIV/0!</v>
      </c>
      <c r="AB8" s="751" t="e">
        <f t="shared" ref="AB8:AB45" si="4">D8/H8</f>
        <v>#DIV/0!</v>
      </c>
      <c r="AC8" s="751" t="e">
        <f t="shared" ref="AC8:AC45" si="5">D8/J8</f>
        <v>#DIV/0!</v>
      </c>
    </row>
    <row r="9" spans="1:30" s="35" customFormat="1">
      <c r="A9" s="395" t="s">
        <v>2360</v>
      </c>
      <c r="B9" s="28" t="s">
        <v>2361</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30" s="407" customFormat="1" ht="27">
      <c r="A10" s="401"/>
      <c r="B10" s="402" t="s">
        <v>2364</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2366</v>
      </c>
      <c r="B15" s="1486" t="s">
        <v>1740</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2367</v>
      </c>
      <c r="Q15" s="1898" t="str">
        <f t="shared" si="6"/>
        <v>居住社区成熟度</v>
      </c>
      <c r="R15" s="752" t="s">
        <v>25</v>
      </c>
      <c r="S15" s="753">
        <f t="shared" si="0"/>
        <v>100</v>
      </c>
      <c r="T15" s="752" t="s">
        <v>25</v>
      </c>
      <c r="U15" s="753">
        <f t="shared" si="1"/>
        <v>100</v>
      </c>
      <c r="V15" s="752" t="s">
        <v>25</v>
      </c>
      <c r="W15" s="753">
        <f t="shared" si="2"/>
        <v>100</v>
      </c>
      <c r="X15" s="1899"/>
      <c r="Y15" s="3039"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71.25">
      <c r="A17" s="383"/>
      <c r="B17" s="1488"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71.25">
      <c r="A19" s="383"/>
      <c r="B19" s="1488"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85.5">
      <c r="A21" s="383"/>
      <c r="B21" s="1488" t="s">
        <v>2510</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40"/>
      <c r="Q24" s="1898"/>
      <c r="R24" s="752"/>
      <c r="S24" s="753"/>
      <c r="T24" s="752"/>
      <c r="U24" s="753"/>
      <c r="V24" s="752"/>
      <c r="W24" s="753"/>
      <c r="X24" s="1899"/>
      <c r="Y24" s="3040"/>
      <c r="Z24" s="1901"/>
      <c r="AA24" s="1902"/>
      <c r="AB24" s="1902"/>
      <c r="AC24" s="1902"/>
    </row>
    <row r="25" spans="1:29" ht="57">
      <c r="A25" s="383"/>
      <c r="B25" s="1490" t="s">
        <v>2551</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42.75">
      <c r="A27" s="383"/>
      <c r="B27" s="1490" t="s">
        <v>2453</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28.5">
      <c r="A29" s="633"/>
      <c r="B29" s="1490" t="s">
        <v>2454</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8" t="s">
        <v>2373</v>
      </c>
      <c r="Q36" s="1898">
        <f t="shared" si="8"/>
        <v>111</v>
      </c>
      <c r="R36" s="752" t="s">
        <v>25</v>
      </c>
      <c r="S36" s="753">
        <f t="shared" si="10"/>
        <v>100</v>
      </c>
      <c r="T36" s="752" t="s">
        <v>25</v>
      </c>
      <c r="U36" s="753">
        <f t="shared" si="11"/>
        <v>100</v>
      </c>
      <c r="V36" s="752" t="s">
        <v>25</v>
      </c>
      <c r="W36" s="753">
        <f t="shared" si="12"/>
        <v>100</v>
      </c>
      <c r="X36" s="1899"/>
      <c r="Y36" s="3044"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5" t="s">
        <v>25</v>
      </c>
      <c r="S37" s="756">
        <f t="shared" si="10"/>
        <v>100</v>
      </c>
      <c r="T37" s="755" t="s">
        <v>25</v>
      </c>
      <c r="U37" s="756">
        <f t="shared" si="11"/>
        <v>100</v>
      </c>
      <c r="V37" s="755" t="s">
        <v>25</v>
      </c>
      <c r="W37" s="756">
        <f t="shared" si="12"/>
        <v>100</v>
      </c>
      <c r="X37" s="757"/>
      <c r="Y37" s="3044"/>
      <c r="Z37" s="758">
        <f t="shared" si="13"/>
        <v>111</v>
      </c>
      <c r="AA37" s="1902">
        <f t="shared" si="3"/>
        <v>1</v>
      </c>
      <c r="AB37" s="1902">
        <f t="shared" si="4"/>
        <v>1</v>
      </c>
      <c r="AC37" s="1902">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2" t="s">
        <v>25</v>
      </c>
      <c r="S38" s="753" t="e">
        <f t="shared" si="10"/>
        <v>#N/A</v>
      </c>
      <c r="T38" s="752" t="s">
        <v>25</v>
      </c>
      <c r="U38" s="753" t="e">
        <f t="shared" si="11"/>
        <v>#N/A</v>
      </c>
      <c r="V38" s="752" t="s">
        <v>25</v>
      </c>
      <c r="W38" s="753" t="e">
        <f t="shared" si="12"/>
        <v>#N/A</v>
      </c>
      <c r="X38" s="1899"/>
      <c r="Y38" s="3044"/>
      <c r="Z38" s="1901" t="str">
        <f t="shared" si="13"/>
        <v>宗地面积</v>
      </c>
      <c r="AA38" s="1902" t="e">
        <f t="shared" si="3"/>
        <v>#N/A</v>
      </c>
      <c r="AB38" s="1902" t="e">
        <f t="shared" si="4"/>
        <v>#N/A</v>
      </c>
      <c r="AC38" s="1902"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2" t="s">
        <v>25</v>
      </c>
      <c r="S39" s="753">
        <f t="shared" si="10"/>
        <v>100</v>
      </c>
      <c r="T39" s="752" t="s">
        <v>25</v>
      </c>
      <c r="U39" s="753">
        <f t="shared" si="11"/>
        <v>100</v>
      </c>
      <c r="V39" s="752" t="s">
        <v>25</v>
      </c>
      <c r="W39" s="753">
        <f t="shared" si="12"/>
        <v>100</v>
      </c>
      <c r="X39" s="1899"/>
      <c r="Y39" s="3044"/>
      <c r="Z39" s="1901" t="str">
        <f t="shared" si="13"/>
        <v>宗地形状</v>
      </c>
      <c r="AA39" s="1902">
        <f t="shared" si="3"/>
        <v>1</v>
      </c>
      <c r="AB39" s="1902">
        <f t="shared" si="4"/>
        <v>1</v>
      </c>
      <c r="AC39" s="1902">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2" t="s">
        <v>25</v>
      </c>
      <c r="S40" s="753">
        <f t="shared" si="10"/>
        <v>100</v>
      </c>
      <c r="T40" s="752" t="s">
        <v>25</v>
      </c>
      <c r="U40" s="753">
        <f t="shared" si="11"/>
        <v>100</v>
      </c>
      <c r="V40" s="752" t="s">
        <v>25</v>
      </c>
      <c r="W40" s="753">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8" t="s">
        <v>25</v>
      </c>
      <c r="S41" s="749">
        <f t="shared" si="10"/>
        <v>100</v>
      </c>
      <c r="T41" s="748" t="s">
        <v>25</v>
      </c>
      <c r="U41" s="749">
        <f t="shared" si="11"/>
        <v>100</v>
      </c>
      <c r="V41" s="748" t="s">
        <v>25</v>
      </c>
      <c r="W41" s="749">
        <f t="shared" si="12"/>
        <v>100</v>
      </c>
      <c r="X41" s="750"/>
      <c r="Y41" s="3044"/>
      <c r="Z41" s="23" t="str">
        <f t="shared" si="13"/>
        <v>宗地开发程度</v>
      </c>
      <c r="AA41" s="751">
        <f t="shared" si="3"/>
        <v>1</v>
      </c>
      <c r="AB41" s="751">
        <f t="shared" si="4"/>
        <v>1</v>
      </c>
      <c r="AC41" s="751">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2373</v>
      </c>
      <c r="Q42" s="1898" t="str">
        <f t="shared" si="14"/>
        <v>工程地质条件</v>
      </c>
      <c r="R42" s="752" t="s">
        <v>25</v>
      </c>
      <c r="S42" s="753">
        <f t="shared" si="10"/>
        <v>100</v>
      </c>
      <c r="T42" s="752" t="s">
        <v>25</v>
      </c>
      <c r="U42" s="753">
        <f t="shared" si="11"/>
        <v>100</v>
      </c>
      <c r="V42" s="752" t="s">
        <v>25</v>
      </c>
      <c r="W42" s="753">
        <f t="shared" si="12"/>
        <v>100</v>
      </c>
      <c r="X42" s="1899"/>
      <c r="Y42" s="3044" t="s">
        <v>2373</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2" t="s">
        <v>25</v>
      </c>
      <c r="S43" s="753">
        <f t="shared" si="10"/>
        <v>100</v>
      </c>
      <c r="T43" s="752" t="s">
        <v>25</v>
      </c>
      <c r="U43" s="753">
        <f t="shared" si="11"/>
        <v>100</v>
      </c>
      <c r="V43" s="752" t="s">
        <v>25</v>
      </c>
      <c r="W43" s="753">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2" t="s">
        <v>25</v>
      </c>
      <c r="S44" s="753">
        <f t="shared" si="10"/>
        <v>100</v>
      </c>
      <c r="T44" s="752" t="s">
        <v>25</v>
      </c>
      <c r="U44" s="753">
        <f t="shared" si="11"/>
        <v>100</v>
      </c>
      <c r="V44" s="752" t="s">
        <v>25</v>
      </c>
      <c r="W44" s="753">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5" t="s">
        <v>25</v>
      </c>
      <c r="S45" s="756">
        <f t="shared" si="10"/>
        <v>100</v>
      </c>
      <c r="T45" s="755" t="s">
        <v>25</v>
      </c>
      <c r="U45" s="756">
        <f t="shared" si="11"/>
        <v>100</v>
      </c>
      <c r="V45" s="755" t="s">
        <v>25</v>
      </c>
      <c r="W45" s="756">
        <f t="shared" si="12"/>
        <v>100</v>
      </c>
      <c r="X45" s="757"/>
      <c r="Y45" s="3044"/>
      <c r="Z45" s="758">
        <f t="shared" si="13"/>
        <v>111</v>
      </c>
      <c r="AA45" s="1902">
        <f t="shared" si="3"/>
        <v>1</v>
      </c>
      <c r="AB45" s="1902">
        <f t="shared" si="4"/>
        <v>1</v>
      </c>
      <c r="AC45" s="1902">
        <f t="shared" si="5"/>
        <v>1</v>
      </c>
    </row>
    <row r="46" spans="1:29" ht="15">
      <c r="A46" s="460" t="s">
        <v>2521</v>
      </c>
      <c r="B46" s="2492" t="s">
        <v>2558</v>
      </c>
      <c r="C46" s="665" t="s">
        <v>1</v>
      </c>
      <c r="D46" s="462"/>
      <c r="E46" s="463"/>
      <c r="F46" s="464"/>
      <c r="G46" s="465"/>
      <c r="H46" s="466"/>
      <c r="I46" s="463"/>
      <c r="J46" s="466"/>
      <c r="K46" s="761"/>
      <c r="L46" s="1255"/>
      <c r="M46" s="1256"/>
      <c r="N46" s="1243"/>
      <c r="O46" s="1256"/>
      <c r="P46" s="3050" t="str">
        <f>A46</f>
        <v>成交单价</v>
      </c>
      <c r="Q46" s="3050"/>
      <c r="R46" s="3030">
        <f>E46</f>
        <v>0</v>
      </c>
      <c r="S46" s="3030"/>
      <c r="T46" s="3030">
        <f>G46</f>
        <v>0</v>
      </c>
      <c r="U46" s="3030"/>
      <c r="V46" s="3030">
        <f>I46</f>
        <v>0</v>
      </c>
      <c r="W46" s="3030"/>
      <c r="X46" s="737"/>
      <c r="Y46" s="759"/>
      <c r="Z46" s="737"/>
      <c r="AA46" s="737"/>
      <c r="AB46" s="737"/>
      <c r="AC46" s="737"/>
    </row>
    <row r="47" spans="1:29" ht="15.75" thickBot="1">
      <c r="A47" s="467" t="s">
        <v>2468</v>
      </c>
      <c r="B47" s="666"/>
      <c r="C47" s="471" t="e">
        <f>R48</f>
        <v>#DIV/0!</v>
      </c>
      <c r="D47" s="470"/>
      <c r="E47" s="471" t="e">
        <f>R47</f>
        <v>#DIV/0!</v>
      </c>
      <c r="F47" s="472"/>
      <c r="G47" s="469" t="e">
        <f>T47</f>
        <v>#DIV/0!</v>
      </c>
      <c r="H47" s="470"/>
      <c r="I47" s="471" t="e">
        <f>V47</f>
        <v>#DIV/0!</v>
      </c>
      <c r="J47" s="470"/>
      <c r="K47" s="762"/>
      <c r="L47" s="1255"/>
      <c r="M47" s="1256"/>
      <c r="N47" s="1256"/>
      <c r="O47" s="1256"/>
      <c r="P47" s="3050" t="str">
        <f>A47</f>
        <v>比较价值（元/平方米）</v>
      </c>
      <c r="Q47" s="3050"/>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2491</v>
      </c>
      <c r="B48" s="474"/>
      <c r="C48" s="475" t="e">
        <f>R48</f>
        <v>#DIV/0!</v>
      </c>
      <c r="D48" s="475"/>
      <c r="E48" s="475"/>
      <c r="F48" s="475"/>
      <c r="G48" s="475"/>
      <c r="H48" s="475"/>
      <c r="I48" s="475"/>
      <c r="J48" s="475"/>
      <c r="K48" s="763"/>
      <c r="L48" s="1255"/>
      <c r="M48" s="1256"/>
      <c r="N48" s="1256"/>
      <c r="O48" s="1256"/>
      <c r="P48" s="3056" t="str">
        <f>A48</f>
        <v>估价对象XX用房的比较价值（楼面单价，元/平方米）</v>
      </c>
      <c r="Q48" s="3057"/>
      <c r="R48" s="3070" t="e">
        <f>ROUND(AVERAGE(R47:V47),0)</f>
        <v>#DIV/0!</v>
      </c>
      <c r="S48" s="3070"/>
      <c r="T48" s="3070"/>
      <c r="U48" s="3070"/>
      <c r="V48" s="3070"/>
      <c r="W48" s="3070"/>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2559</v>
      </c>
      <c r="B55" s="668" t="s">
        <v>2560</v>
      </c>
      <c r="C55" s="2493" t="s">
        <v>2561</v>
      </c>
      <c r="D55" s="2494" t="s">
        <v>2562</v>
      </c>
      <c r="E55" s="669" t="s">
        <v>2563</v>
      </c>
      <c r="F55" s="670" t="s">
        <v>2564</v>
      </c>
      <c r="G55" s="62" t="s">
        <v>2565</v>
      </c>
      <c r="H55" s="62">
        <f>项目基本情况!G8</f>
        <v>0</v>
      </c>
      <c r="I55" s="2495" t="s">
        <v>2566</v>
      </c>
      <c r="J55" s="738"/>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2568</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2569</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2570</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2571</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2572</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2573</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2574</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2575</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2576</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2577</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2473</v>
      </c>
      <c r="B69" s="737"/>
      <c r="C69" s="742"/>
      <c r="D69" s="742"/>
      <c r="E69" s="742"/>
      <c r="F69" s="743"/>
      <c r="G69" s="743"/>
      <c r="H69" s="742"/>
      <c r="I69" s="1272"/>
      <c r="J69" s="1272"/>
      <c r="K69" s="1270"/>
      <c r="L69" s="1271"/>
      <c r="M69" s="1272"/>
      <c r="N69" s="1272"/>
      <c r="O69" s="1272"/>
      <c r="P69" s="484"/>
      <c r="Q69" s="485"/>
    </row>
    <row r="70" spans="1:17" s="1673" customFormat="1" ht="15">
      <c r="A70" s="2496" t="s">
        <v>2578</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2579</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2010</v>
      </c>
      <c r="B2" s="654" t="e">
        <f>F61</f>
        <v>#DIV/0!</v>
      </c>
      <c r="C2" s="731" t="s">
        <v>2546</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0" si="3">D8/F8</f>
        <v>#DIV/0!</v>
      </c>
      <c r="AB8" s="751" t="e">
        <f t="shared" ref="AB8:AB40" si="4">D8/H8</f>
        <v>#DIV/0!</v>
      </c>
      <c r="AC8" s="751" t="e">
        <f t="shared" ref="AC8:AC40" si="5">D8/J8</f>
        <v>#DIV/0!</v>
      </c>
    </row>
    <row r="9" spans="1:29" s="35" customFormat="1">
      <c r="A9" s="395" t="s">
        <v>2360</v>
      </c>
      <c r="B9" s="28" t="s">
        <v>2361</v>
      </c>
      <c r="C9" s="2484" t="s">
        <v>2593</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2366</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2367</v>
      </c>
      <c r="Q15" s="1898" t="str">
        <f t="shared" si="6"/>
        <v>产业集聚程度</v>
      </c>
      <c r="R15" s="752" t="s">
        <v>25</v>
      </c>
      <c r="S15" s="753">
        <f t="shared" si="0"/>
        <v>100</v>
      </c>
      <c r="T15" s="752" t="s">
        <v>25</v>
      </c>
      <c r="U15" s="753">
        <f t="shared" si="1"/>
        <v>100</v>
      </c>
      <c r="V15" s="752" t="s">
        <v>25</v>
      </c>
      <c r="W15" s="753">
        <f t="shared" si="2"/>
        <v>100</v>
      </c>
      <c r="X15" s="1899"/>
      <c r="Y15" s="3039"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8" t="s">
        <v>2373</v>
      </c>
      <c r="Q32" s="1898">
        <f t="shared" si="8"/>
        <v>111</v>
      </c>
      <c r="R32" s="752" t="s">
        <v>25</v>
      </c>
      <c r="S32" s="753">
        <f t="shared" si="10"/>
        <v>100</v>
      </c>
      <c r="T32" s="752" t="s">
        <v>25</v>
      </c>
      <c r="U32" s="753">
        <f t="shared" si="11"/>
        <v>100</v>
      </c>
      <c r="V32" s="752" t="s">
        <v>25</v>
      </c>
      <c r="W32" s="753">
        <f t="shared" si="12"/>
        <v>100</v>
      </c>
      <c r="X32" s="1899"/>
      <c r="Y32" s="3044" t="s">
        <v>2373</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5" t="s">
        <v>25</v>
      </c>
      <c r="S33" s="756">
        <f t="shared" si="10"/>
        <v>100</v>
      </c>
      <c r="T33" s="755" t="s">
        <v>25</v>
      </c>
      <c r="U33" s="756">
        <f t="shared" si="11"/>
        <v>100</v>
      </c>
      <c r="V33" s="755" t="s">
        <v>25</v>
      </c>
      <c r="W33" s="756">
        <f t="shared" si="12"/>
        <v>100</v>
      </c>
      <c r="X33" s="757"/>
      <c r="Y33" s="3044"/>
      <c r="Z33" s="758">
        <f t="shared" si="13"/>
        <v>111</v>
      </c>
      <c r="AA33" s="1902">
        <f t="shared" si="3"/>
        <v>1</v>
      </c>
      <c r="AB33" s="1902">
        <f t="shared" si="4"/>
        <v>1</v>
      </c>
      <c r="AC33" s="1902">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2" t="s">
        <v>25</v>
      </c>
      <c r="S34" s="753" t="e">
        <f t="shared" si="10"/>
        <v>#N/A</v>
      </c>
      <c r="T34" s="752" t="s">
        <v>25</v>
      </c>
      <c r="U34" s="753" t="e">
        <f t="shared" si="11"/>
        <v>#N/A</v>
      </c>
      <c r="V34" s="752" t="s">
        <v>25</v>
      </c>
      <c r="W34" s="753" t="e">
        <f t="shared" si="12"/>
        <v>#N/A</v>
      </c>
      <c r="X34" s="1899"/>
      <c r="Y34" s="3044"/>
      <c r="Z34" s="1901" t="str">
        <f t="shared" si="13"/>
        <v>宗地面积</v>
      </c>
      <c r="AA34" s="1902" t="e">
        <f t="shared" si="3"/>
        <v>#N/A</v>
      </c>
      <c r="AB34" s="1902" t="e">
        <f t="shared" si="4"/>
        <v>#N/A</v>
      </c>
      <c r="AC34" s="1902"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2" t="s">
        <v>25</v>
      </c>
      <c r="S35" s="753">
        <f t="shared" si="10"/>
        <v>100</v>
      </c>
      <c r="T35" s="752" t="s">
        <v>25</v>
      </c>
      <c r="U35" s="753">
        <f t="shared" si="11"/>
        <v>100</v>
      </c>
      <c r="V35" s="752" t="s">
        <v>25</v>
      </c>
      <c r="W35" s="753">
        <f t="shared" si="12"/>
        <v>100</v>
      </c>
      <c r="X35" s="1899"/>
      <c r="Y35" s="3044"/>
      <c r="Z35" s="1901" t="str">
        <f t="shared" si="13"/>
        <v>宗地形状</v>
      </c>
      <c r="AA35" s="1902">
        <f t="shared" si="3"/>
        <v>1</v>
      </c>
      <c r="AB35" s="1902">
        <f t="shared" si="4"/>
        <v>1</v>
      </c>
      <c r="AC35" s="1902">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8" t="s">
        <v>25</v>
      </c>
      <c r="S36" s="749">
        <f t="shared" si="10"/>
        <v>100</v>
      </c>
      <c r="T36" s="748" t="s">
        <v>25</v>
      </c>
      <c r="U36" s="749">
        <f t="shared" si="11"/>
        <v>100</v>
      </c>
      <c r="V36" s="748" t="s">
        <v>25</v>
      </c>
      <c r="W36" s="749">
        <f t="shared" si="12"/>
        <v>100</v>
      </c>
      <c r="X36" s="750"/>
      <c r="Y36" s="3044"/>
      <c r="Z36" s="23" t="str">
        <f t="shared" si="13"/>
        <v>宗地开发程度</v>
      </c>
      <c r="AA36" s="751">
        <f t="shared" si="3"/>
        <v>1</v>
      </c>
      <c r="AB36" s="751">
        <f t="shared" si="4"/>
        <v>1</v>
      </c>
      <c r="AC36" s="751">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2373</v>
      </c>
      <c r="Q37" s="1898" t="str">
        <f t="shared" si="14"/>
        <v>工程地质条件</v>
      </c>
      <c r="R37" s="752" t="s">
        <v>25</v>
      </c>
      <c r="S37" s="753">
        <f t="shared" si="10"/>
        <v>100</v>
      </c>
      <c r="T37" s="752" t="s">
        <v>25</v>
      </c>
      <c r="U37" s="753">
        <f t="shared" si="11"/>
        <v>100</v>
      </c>
      <c r="V37" s="752" t="s">
        <v>25</v>
      </c>
      <c r="W37" s="753">
        <f t="shared" si="12"/>
        <v>100</v>
      </c>
      <c r="X37" s="1899"/>
      <c r="Y37" s="3044" t="s">
        <v>2373</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2" t="s">
        <v>25</v>
      </c>
      <c r="S38" s="753">
        <f t="shared" si="10"/>
        <v>100</v>
      </c>
      <c r="T38" s="752" t="s">
        <v>25</v>
      </c>
      <c r="U38" s="753">
        <f t="shared" si="11"/>
        <v>100</v>
      </c>
      <c r="V38" s="752" t="s">
        <v>25</v>
      </c>
      <c r="W38" s="753">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2" t="s">
        <v>25</v>
      </c>
      <c r="S39" s="753">
        <f t="shared" si="10"/>
        <v>100</v>
      </c>
      <c r="T39" s="752" t="s">
        <v>25</v>
      </c>
      <c r="U39" s="753">
        <f t="shared" si="11"/>
        <v>100</v>
      </c>
      <c r="V39" s="752" t="s">
        <v>25</v>
      </c>
      <c r="W39" s="753">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5" t="s">
        <v>25</v>
      </c>
      <c r="S40" s="756">
        <f t="shared" si="10"/>
        <v>100</v>
      </c>
      <c r="T40" s="755" t="s">
        <v>25</v>
      </c>
      <c r="U40" s="756">
        <f t="shared" si="11"/>
        <v>100</v>
      </c>
      <c r="V40" s="755" t="s">
        <v>25</v>
      </c>
      <c r="W40" s="756">
        <f t="shared" si="12"/>
        <v>100</v>
      </c>
      <c r="X40" s="757"/>
      <c r="Y40" s="3044"/>
      <c r="Z40" s="758">
        <f t="shared" si="13"/>
        <v>111</v>
      </c>
      <c r="AA40" s="1902">
        <f t="shared" si="3"/>
        <v>1</v>
      </c>
      <c r="AB40" s="1902">
        <f t="shared" si="4"/>
        <v>1</v>
      </c>
      <c r="AC40" s="1902">
        <f t="shared" si="5"/>
        <v>1</v>
      </c>
    </row>
    <row r="41" spans="1:29" ht="15">
      <c r="A41" s="460" t="s">
        <v>2521</v>
      </c>
      <c r="B41" s="2492" t="s">
        <v>2596</v>
      </c>
      <c r="C41" s="665" t="s">
        <v>1</v>
      </c>
      <c r="D41" s="462"/>
      <c r="E41" s="463"/>
      <c r="F41" s="464"/>
      <c r="G41" s="465"/>
      <c r="H41" s="466"/>
      <c r="I41" s="463"/>
      <c r="J41" s="466"/>
      <c r="K41" s="761"/>
      <c r="L41" s="1255"/>
      <c r="M41" s="1243"/>
      <c r="N41" s="1243"/>
      <c r="O41" s="1256"/>
      <c r="P41" s="3050" t="str">
        <f>A41</f>
        <v>成交单价</v>
      </c>
      <c r="Q41" s="3050"/>
      <c r="R41" s="3030">
        <f>E41</f>
        <v>0</v>
      </c>
      <c r="S41" s="3030"/>
      <c r="T41" s="3030">
        <f>G41</f>
        <v>0</v>
      </c>
      <c r="U41" s="3030"/>
      <c r="V41" s="3030">
        <f>I41</f>
        <v>0</v>
      </c>
      <c r="W41" s="3030"/>
      <c r="X41" s="737"/>
      <c r="Y41" s="759"/>
      <c r="Z41" s="737"/>
      <c r="AA41" s="737"/>
      <c r="AB41" s="737"/>
      <c r="AC41" s="737"/>
    </row>
    <row r="42" spans="1:29" ht="15.75" thickBot="1">
      <c r="A42" s="467" t="s">
        <v>2468</v>
      </c>
      <c r="B42" s="666"/>
      <c r="C42" s="471" t="e">
        <f>R43</f>
        <v>#DIV/0!</v>
      </c>
      <c r="D42" s="470"/>
      <c r="E42" s="471" t="e">
        <f>R42</f>
        <v>#DIV/0!</v>
      </c>
      <c r="F42" s="472"/>
      <c r="G42" s="469" t="e">
        <f>T42</f>
        <v>#DIV/0!</v>
      </c>
      <c r="H42" s="470"/>
      <c r="I42" s="471" t="e">
        <f>V42</f>
        <v>#DIV/0!</v>
      </c>
      <c r="J42" s="470"/>
      <c r="K42" s="762"/>
      <c r="L42" s="1255"/>
      <c r="M42" s="1243"/>
      <c r="N42" s="1243"/>
      <c r="O42" s="1256"/>
      <c r="P42" s="3050" t="str">
        <f>A42</f>
        <v>比较价值（元/平方米）</v>
      </c>
      <c r="Q42" s="3050"/>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2491</v>
      </c>
      <c r="B43" s="474"/>
      <c r="C43" s="475" t="e">
        <f>R43</f>
        <v>#DIV/0!</v>
      </c>
      <c r="D43" s="475"/>
      <c r="E43" s="475"/>
      <c r="F43" s="475"/>
      <c r="G43" s="475"/>
      <c r="H43" s="475"/>
      <c r="I43" s="475"/>
      <c r="J43" s="475"/>
      <c r="K43" s="763"/>
      <c r="L43" s="1255"/>
      <c r="M43" s="1243"/>
      <c r="N43" s="1243"/>
      <c r="O43" s="1256"/>
      <c r="P43" s="3056" t="str">
        <f>A43</f>
        <v>估价对象XX用房的比较价值（楼面单价，元/平方米）</v>
      </c>
      <c r="Q43" s="3057"/>
      <c r="R43" s="3070" t="e">
        <f>ROUND(AVERAGE(R42:V42),0)</f>
        <v>#DIV/0!</v>
      </c>
      <c r="S43" s="3070"/>
      <c r="T43" s="3070"/>
      <c r="U43" s="3070"/>
      <c r="V43" s="3070"/>
      <c r="W43" s="3070"/>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3" t="s">
        <v>2561</v>
      </c>
      <c r="D50" s="2494" t="s">
        <v>2562</v>
      </c>
      <c r="E50" s="669" t="s">
        <v>2563</v>
      </c>
      <c r="F50" s="670" t="s">
        <v>2564</v>
      </c>
      <c r="G50" s="1901" t="s">
        <v>2597</v>
      </c>
      <c r="H50" s="1901">
        <f>项目基本情况!G8</f>
        <v>0</v>
      </c>
      <c r="I50" s="1848"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2568</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2570</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2571</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2473</v>
      </c>
      <c r="B64" s="737"/>
      <c r="C64" s="742"/>
      <c r="D64" s="742"/>
      <c r="E64" s="742"/>
      <c r="F64" s="743"/>
      <c r="G64" s="743"/>
      <c r="H64" s="742"/>
      <c r="I64" s="1272"/>
      <c r="J64" s="1272"/>
      <c r="K64" s="1270"/>
      <c r="L64" s="1271"/>
      <c r="M64" s="1272"/>
      <c r="N64" s="1272"/>
      <c r="O64" s="1272"/>
      <c r="P64" s="484"/>
      <c r="Q64" s="485"/>
    </row>
    <row r="65" spans="1:17" s="489" customFormat="1" ht="15">
      <c r="A65" s="2496" t="s">
        <v>2578</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2598</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8">
        <f>SUMPRODUCT((区片价!B5:B9=I2)*(区片价!C3:F3=E2)*(区片价!C5:F9))</f>
        <v>0</v>
      </c>
      <c r="N1" s="1121">
        <f>SUMPRODUCT((因素修正幅度!B5:B9=I2)*(因素修正幅度!C3:F3=E2)*(因素修正幅度!C5:F9))</f>
        <v>0</v>
      </c>
      <c r="O1" s="1461"/>
      <c r="P1" s="1461"/>
      <c r="Q1" s="1461"/>
      <c r="R1" s="1708" t="s">
        <v>2602</v>
      </c>
      <c r="S1" s="1708" t="s">
        <v>2603</v>
      </c>
      <c r="T1" s="1708" t="s">
        <v>2604</v>
      </c>
      <c r="U1" s="1708" t="s">
        <v>2605</v>
      </c>
      <c r="V1" s="1708" t="s">
        <v>2606</v>
      </c>
      <c r="W1" s="1712"/>
      <c r="X1" s="1712"/>
      <c r="Y1" s="1712"/>
      <c r="Z1" s="1712"/>
      <c r="AA1" s="1712"/>
      <c r="AB1" s="1712"/>
      <c r="AC1" s="1713"/>
      <c r="AD1" s="1714"/>
      <c r="AE1" s="1714"/>
      <c r="AF1" s="1714"/>
      <c r="AG1" s="1714"/>
      <c r="AH1" s="1714"/>
      <c r="AI1" s="1714"/>
      <c r="AJ1" s="1715"/>
    </row>
    <row r="2" spans="1:36" ht="24.75">
      <c r="A2" s="165" t="s">
        <v>2607</v>
      </c>
      <c r="B2" s="168" t="e">
        <f>C26</f>
        <v>#DIV/0!</v>
      </c>
      <c r="C2" s="2508" t="s">
        <v>2608</v>
      </c>
      <c r="D2" s="2509" t="s">
        <v>2609</v>
      </c>
      <c r="E2" s="2510"/>
      <c r="F2" s="2509" t="s">
        <v>2610</v>
      </c>
      <c r="G2" s="2511">
        <f>项目基本情况!F9</f>
        <v>0</v>
      </c>
      <c r="H2" s="2512" t="s">
        <v>2611</v>
      </c>
      <c r="I2" s="2511">
        <f>项目基本情况!F10</f>
        <v>0</v>
      </c>
      <c r="J2" s="2513"/>
      <c r="L2" s="2514" t="s">
        <v>2612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2613</v>
      </c>
      <c r="B3" s="168" t="e">
        <f>ROUND(B2/D1,0)</f>
        <v>#DIV/0!</v>
      </c>
      <c r="C3" s="2508" t="s">
        <v>2614</v>
      </c>
      <c r="D3" s="2509" t="s">
        <v>2615</v>
      </c>
      <c r="E3" s="2515"/>
      <c r="F3" s="2516" t="s">
        <v>2616</v>
      </c>
      <c r="G3" s="940">
        <f>项目基本情况!C15</f>
        <v>0</v>
      </c>
      <c r="H3" s="115" t="s">
        <v>2617</v>
      </c>
      <c r="I3" s="973">
        <v>7</v>
      </c>
      <c r="J3" s="2513" t="s">
        <v>2618</v>
      </c>
      <c r="L3" s="2514" t="s">
        <v>2619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4" t="s">
        <v>2620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2621</v>
      </c>
      <c r="B5" s="2518" t="s">
        <v>2622</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2624</v>
      </c>
      <c r="C6" s="942">
        <f>SUMIF(L1:L12,G2,M1:M12)</f>
        <v>0</v>
      </c>
      <c r="D6" s="2529" t="s">
        <v>2625</v>
      </c>
      <c r="E6" s="2530"/>
      <c r="F6" s="2530"/>
      <c r="G6" s="2531"/>
      <c r="H6" s="2531"/>
      <c r="I6" s="2531"/>
      <c r="J6" s="2532"/>
      <c r="K6" s="2533"/>
      <c r="L6" s="2514" t="s">
        <v>2626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1" t="str">
        <f>IF(E2="商业",IF(C8="不临58条商业街","",2),"")</f>
        <v/>
      </c>
      <c r="B7" s="2534" t="s">
        <v>2627</v>
      </c>
      <c r="C7" s="943" t="e">
        <f>IF(C8="不临58条商业街",1,ROUND(1+(1.6*E8+1.2*E9+0.8*E10+0.4*E11)*C9,4))</f>
        <v>#DIV/0!</v>
      </c>
      <c r="D7" s="2535" t="s">
        <v>2628</v>
      </c>
      <c r="E7" s="974"/>
      <c r="F7" s="2536"/>
      <c r="G7" s="2537"/>
      <c r="H7" s="2537"/>
      <c r="I7" s="2537"/>
      <c r="J7" s="2538"/>
      <c r="K7" s="2533"/>
      <c r="L7" s="2514" t="s">
        <v>2629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2630</v>
      </c>
      <c r="X7" s="1710">
        <f>G2</f>
        <v>0</v>
      </c>
      <c r="Y7" s="1710" t="s">
        <v>2631</v>
      </c>
      <c r="Z7" s="1711">
        <f>G3</f>
        <v>0</v>
      </c>
      <c r="AA7" s="1712"/>
      <c r="AB7" s="1712"/>
      <c r="AC7" s="1713"/>
      <c r="AD7" s="1714"/>
      <c r="AE7" s="1714"/>
      <c r="AF7" s="1714"/>
      <c r="AG7" s="1714"/>
      <c r="AH7" s="1714"/>
      <c r="AI7" s="1714"/>
      <c r="AJ7" s="1715"/>
    </row>
    <row r="8" spans="1:36" ht="15">
      <c r="A8" s="3072"/>
      <c r="B8" s="115" t="s">
        <v>2632</v>
      </c>
      <c r="C8" s="2539"/>
      <c r="D8" s="944" t="s">
        <v>89</v>
      </c>
      <c r="E8" s="945" t="e">
        <f>ROUND(C11/E7,4)</f>
        <v>#DIV/0!</v>
      </c>
      <c r="F8" s="2540" t="s">
        <v>2633</v>
      </c>
      <c r="G8" s="2541"/>
      <c r="H8" s="2541"/>
      <c r="I8" s="2541"/>
      <c r="J8" s="2542"/>
      <c r="L8" s="2514" t="s">
        <v>2634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4" t="s">
        <v>2635</v>
      </c>
      <c r="X8" s="3085"/>
      <c r="Y8" s="1716" t="s">
        <v>2636</v>
      </c>
      <c r="Z8" s="1716" t="s">
        <v>2637</v>
      </c>
      <c r="AA8" s="1716" t="s">
        <v>2638</v>
      </c>
      <c r="AB8" s="1716" t="s">
        <v>2639</v>
      </c>
      <c r="AC8" s="1716" t="s">
        <v>2640</v>
      </c>
      <c r="AD8" s="1716" t="s">
        <v>2641</v>
      </c>
      <c r="AE8" s="1716" t="s">
        <v>2642</v>
      </c>
      <c r="AF8" s="1716" t="s">
        <v>2643</v>
      </c>
      <c r="AG8" s="1716" t="s">
        <v>2644</v>
      </c>
      <c r="AH8" s="1716" t="s">
        <v>2645</v>
      </c>
      <c r="AI8" s="1716" t="s">
        <v>2646</v>
      </c>
      <c r="AJ8" s="1716" t="s">
        <v>2647</v>
      </c>
    </row>
    <row r="9" spans="1:36" ht="15">
      <c r="A9" s="3072"/>
      <c r="B9" s="115" t="s">
        <v>2648</v>
      </c>
      <c r="C9" s="946">
        <f>SUMIF(修正!C59:C119,C8,修正!E59:E119)</f>
        <v>0</v>
      </c>
      <c r="D9" s="117" t="s">
        <v>90</v>
      </c>
      <c r="E9" s="117" t="e">
        <f>ROUND(C11/E7,4)</f>
        <v>#DIV/0!</v>
      </c>
      <c r="F9" s="2540" t="s">
        <v>2649</v>
      </c>
      <c r="G9" s="2541"/>
      <c r="H9" s="2541"/>
      <c r="I9" s="2541"/>
      <c r="J9" s="2542"/>
      <c r="L9" s="2514" t="s">
        <v>2650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6" t="s">
        <v>2651</v>
      </c>
      <c r="X9" s="1717" t="s">
        <v>2652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2653</v>
      </c>
      <c r="C10" s="117">
        <f>SUMIF(修正!C59:C119,C8,修正!F59:F119)</f>
        <v>0</v>
      </c>
      <c r="D10" s="117" t="s">
        <v>91</v>
      </c>
      <c r="E10" s="117" t="e">
        <f>ROUND(C11/E7,4)</f>
        <v>#DIV/0!</v>
      </c>
      <c r="F10" s="2540" t="s">
        <v>2654</v>
      </c>
      <c r="G10" s="2541"/>
      <c r="H10" s="2541"/>
      <c r="I10" s="2541"/>
      <c r="J10" s="2542"/>
      <c r="L10" s="2514" t="s">
        <v>2655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3" t="s">
        <v>2656</v>
      </c>
      <c r="C11" s="947">
        <f>C10/4</f>
        <v>0</v>
      </c>
      <c r="D11" s="947" t="s">
        <v>92</v>
      </c>
      <c r="E11" s="947" t="e">
        <f>ROUND(C11/E7,4)</f>
        <v>#DIV/0!</v>
      </c>
      <c r="F11" s="2544" t="s">
        <v>2657</v>
      </c>
      <c r="G11" s="2545"/>
      <c r="H11" s="2545"/>
      <c r="I11" s="2545"/>
      <c r="J11" s="2546"/>
      <c r="L11" s="2514" t="s">
        <v>2658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6" t="s">
        <v>2659</v>
      </c>
      <c r="X11" s="1721" t="s">
        <v>2660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1" t="str">
        <f>IF(E2="住宅",2,"")</f>
        <v/>
      </c>
      <c r="B12" s="2547" t="s">
        <v>2661</v>
      </c>
      <c r="C12" s="943">
        <f>ROUND(C15*D15*E15*F15*G15*H15*I15*J15,4)</f>
        <v>1.32</v>
      </c>
      <c r="D12" s="2548" t="s">
        <v>2662</v>
      </c>
      <c r="E12" s="2549"/>
      <c r="F12" s="2549"/>
      <c r="G12" s="2550"/>
      <c r="H12" s="2550"/>
      <c r="I12" s="2550"/>
      <c r="J12" s="2551"/>
      <c r="L12" s="2552" t="s">
        <v>2663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6"/>
      <c r="X12" s="1723" t="s">
        <v>2664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3" t="s">
        <v>2665</v>
      </c>
      <c r="C13" s="2554" t="s">
        <v>2666</v>
      </c>
      <c r="D13" s="2555" t="s">
        <v>2667</v>
      </c>
      <c r="E13" s="2555" t="s">
        <v>2668</v>
      </c>
      <c r="F13" s="20" t="s">
        <v>2669</v>
      </c>
      <c r="G13" s="2556" t="s">
        <v>2670</v>
      </c>
      <c r="H13" s="2556" t="s">
        <v>2670</v>
      </c>
      <c r="I13" s="2556" t="s">
        <v>2670</v>
      </c>
      <c r="J13" s="2557" t="s">
        <v>2670</v>
      </c>
      <c r="L13" s="1461"/>
      <c r="M13" s="1461"/>
      <c r="N13" s="1461"/>
      <c r="O13" s="1461"/>
      <c r="P13" s="1461"/>
      <c r="Q13" s="1461"/>
      <c r="R13" s="1708">
        <v>12</v>
      </c>
      <c r="S13" s="1709"/>
      <c r="T13" s="1708" t="e">
        <f t="shared" si="0"/>
        <v>#DIV/0!</v>
      </c>
      <c r="U13" s="1709"/>
      <c r="V13" s="1708" t="e">
        <f t="shared" si="1"/>
        <v>#DIV/0!</v>
      </c>
      <c r="W13" s="308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1"/>
      <c r="B14" s="2558"/>
      <c r="C14" s="2559" t="s">
        <v>2671</v>
      </c>
      <c r="D14" s="2560" t="s">
        <v>2672</v>
      </c>
      <c r="E14" s="2560" t="s">
        <v>2672</v>
      </c>
      <c r="F14" s="2561" t="s">
        <v>2673</v>
      </c>
      <c r="G14" s="2562" t="s">
        <v>2674</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6" t="s">
        <v>2675</v>
      </c>
      <c r="C15" s="150">
        <f>IF(C14="有",1.1,1)</f>
        <v>1.1000000000000001</v>
      </c>
      <c r="D15" s="150">
        <f>IF(D14="有",1.1,1)</f>
        <v>1</v>
      </c>
      <c r="E15" s="150">
        <f>IF(E14="有",1.1,1)</f>
        <v>1</v>
      </c>
      <c r="F15" s="150">
        <f>IF(F14="500米范围内",1.2,IF(F14="500-1000米",1.1,1))</f>
        <v>1.2</v>
      </c>
      <c r="G15" s="975">
        <v>1</v>
      </c>
      <c r="H15" s="975">
        <v>1</v>
      </c>
      <c r="I15" s="975">
        <v>1</v>
      </c>
      <c r="J15" s="976">
        <v>1</v>
      </c>
      <c r="L15" s="2567" t="s">
        <v>2676</v>
      </c>
      <c r="M15" s="944" t="s">
        <v>2677</v>
      </c>
      <c r="N15" s="944" t="s">
        <v>2678</v>
      </c>
      <c r="O15" s="944" t="s">
        <v>2679</v>
      </c>
      <c r="P15" s="2568" t="s">
        <v>2680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4" t="s">
        <v>2681</v>
      </c>
      <c r="C16" s="1884" t="e">
        <f>ROUND(SUM(G17:J17)/C17,0)</f>
        <v>#DIV/0!</v>
      </c>
      <c r="D16" s="2569" t="s">
        <v>2682</v>
      </c>
      <c r="E16" s="2570"/>
      <c r="F16" s="2571"/>
      <c r="G16" s="2572"/>
      <c r="H16" s="2572"/>
      <c r="I16" s="2572"/>
      <c r="J16" s="2573"/>
      <c r="L16" s="1459" t="s">
        <v>2683</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4" t="s">
        <v>2684</v>
      </c>
      <c r="C17" s="948">
        <f>SUMPRODUCT((修正!A2:A5=E2)*(修正!B1:M1=G2)*(修正!B2:M5))</f>
        <v>0</v>
      </c>
      <c r="D17" s="2575" t="s">
        <v>2685</v>
      </c>
      <c r="E17" s="947" t="str">
        <f>IF(OR(G2="八级",G2="九级",G2="十级",G2="十一级",G2="十二级"),"五通一平","七通一平")</f>
        <v>七通一平</v>
      </c>
      <c r="F17" s="948" t="s">
        <v>2686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2688</v>
      </c>
      <c r="B18" s="2577" t="s">
        <v>2689</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2690</v>
      </c>
      <c r="B19" s="2577" t="s">
        <v>2691</v>
      </c>
      <c r="C19" s="951" t="e">
        <f>ROUND(IF(H19="按公示增长率计算",SUMPRODUCT((地价!A3:A23=YEAR(G19)&amp;"-"&amp;ROUNDUP(MONTH(G19)/3,0))*(地价!X2:AB2=E2)*(地价!X3:AB23)),IF(H19="地价指数",M20/M19,(1+I19)^O19)),4)</f>
        <v>#DIV/0!</v>
      </c>
      <c r="D19" s="2585" t="s">
        <v>2692</v>
      </c>
      <c r="E19" s="952">
        <v>41640</v>
      </c>
      <c r="F19" s="2585" t="s">
        <v>2693</v>
      </c>
      <c r="G19" s="953">
        <f>'数据-取费表'!B2</f>
        <v>43284</v>
      </c>
      <c r="H19" s="2586" t="s">
        <v>2694</v>
      </c>
      <c r="I19" s="954" t="str">
        <f>IF(H19="季度增幅（自定义）",SUMIF(N21:N24,E2,O21:O24),"")</f>
        <v/>
      </c>
      <c r="J19" s="2582"/>
      <c r="K19" s="2583"/>
      <c r="L19" s="2587" t="s">
        <v>2695</v>
      </c>
      <c r="M19" s="1825">
        <f>ROUND(SUMIF(地价!B2:F2,E2,地价!B23:F23),0)</f>
        <v>0</v>
      </c>
      <c r="N19" s="1465" t="s">
        <v>2696</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2697</v>
      </c>
      <c r="B20" s="2592" t="s">
        <v>2698</v>
      </c>
      <c r="C20" s="956" t="e">
        <f>ROUND(POWER(1+G20,J20-I20)*(POWER(1+G20,I20)-1)/(POWER(1+G20,J20)-1),4)</f>
        <v>#DIV/0!</v>
      </c>
      <c r="D20" s="2593" t="s">
        <v>2699</v>
      </c>
      <c r="E20" s="1855">
        <f ca="1">存贷款利率!D4/100</f>
        <v>4.3499999999999997E-2</v>
      </c>
      <c r="F20" s="2593" t="s">
        <v>2687</v>
      </c>
      <c r="G20" s="962">
        <f>SUMIF(M15:P15,E2,M17:P17)</f>
        <v>0</v>
      </c>
      <c r="H20" s="2593" t="s">
        <v>2700</v>
      </c>
      <c r="I20" s="963">
        <f>'数据-取费表'!B13</f>
        <v>40</v>
      </c>
      <c r="J20" s="964">
        <f>IF(E2="住宅",70,IF(E2="商业",40,50))</f>
        <v>50</v>
      </c>
      <c r="K20" s="2583"/>
      <c r="L20" s="2594" t="s">
        <v>2701</v>
      </c>
      <c r="M20" s="1826">
        <f>ROUND(SUMPRODUCT((地价!A4:A23=YEAR(G19)&amp;"-"&amp;ROUNDUP(MONTH(G19)/3,0))*(地价!B2:F2=E2)*(地价!B4:F23)),0)</f>
        <v>0</v>
      </c>
      <c r="N20" s="2595" t="s">
        <v>2702</v>
      </c>
      <c r="O20" s="2596" t="s">
        <v>2703</v>
      </c>
      <c r="P20" s="2597" t="s">
        <v>2704</v>
      </c>
      <c r="R20" s="1461"/>
      <c r="S20" s="1461"/>
      <c r="T20" s="1461"/>
      <c r="U20" s="1461"/>
      <c r="V20" s="1461"/>
      <c r="W20" s="1461"/>
      <c r="X20" s="1461"/>
      <c r="Y20" s="1461"/>
      <c r="Z20" s="1461"/>
      <c r="AA20" s="1461"/>
      <c r="AB20" s="1461"/>
      <c r="AC20" s="1461"/>
      <c r="AD20" s="1461"/>
      <c r="AE20" s="2583"/>
      <c r="AF20" s="2583"/>
    </row>
    <row r="21" spans="1:37" s="2526" customFormat="1" ht="14.25">
      <c r="A21" s="2598" t="s">
        <v>2705</v>
      </c>
      <c r="B21" s="2599" t="s">
        <v>2706</v>
      </c>
      <c r="C21" s="965" t="b">
        <f>IF(B21="容积率修正",IF(G3&lt;=10,D22,J22),C23)</f>
        <v>0</v>
      </c>
      <c r="D21" s="2600"/>
      <c r="E21" s="2600"/>
      <c r="F21" s="2600"/>
      <c r="G21" s="2600"/>
      <c r="H21" s="2600"/>
      <c r="I21" s="2600"/>
      <c r="J21" s="2601"/>
      <c r="K21" s="2583"/>
      <c r="N21" s="2602" t="s">
        <v>2707</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2708</v>
      </c>
      <c r="C22" s="1898" t="s">
        <v>2709</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2710</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2711</v>
      </c>
      <c r="C23" s="957">
        <f>ROUND(IF(G3&gt;1,IF(I3&lt;7,SUMPRODUCT((B93:B98=I3)*(C92:N92=G2)*(C93:N98)),SUMIF(C92:N92,G2,C100:N100)),IF(I3&lt;7,SUMPRODUCT((B102:B107=I3)*(C92:N92=G2)*(C102:N107)),SUMIF(C92:N92,G2,C109:N109))),4)</f>
        <v>0</v>
      </c>
      <c r="D23" s="2563"/>
      <c r="E23" s="2563"/>
      <c r="F23" s="2605"/>
      <c r="G23" s="2606"/>
      <c r="H23" s="2607"/>
      <c r="I23" s="2608"/>
      <c r="J23" s="2609"/>
      <c r="N23" s="2602" t="s">
        <v>2712</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2713</v>
      </c>
      <c r="B24" s="2611" t="s">
        <v>2714</v>
      </c>
      <c r="C24" s="967">
        <f>SUMIF(A46:A88,E2,B46:B88)</f>
        <v>0</v>
      </c>
      <c r="D24" s="2612"/>
      <c r="E24" s="2613"/>
      <c r="F24" s="2613"/>
      <c r="G24" s="2613"/>
      <c r="H24" s="2613"/>
      <c r="I24" s="2613"/>
      <c r="J24" s="2614"/>
      <c r="K24" s="2583"/>
      <c r="N24" s="2615" t="s">
        <v>2715</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2716</v>
      </c>
      <c r="B25" s="2616" t="s">
        <v>2717</v>
      </c>
      <c r="C25" s="958"/>
      <c r="D25" s="2537"/>
      <c r="E25" s="2537"/>
      <c r="F25" s="2617"/>
      <c r="G25" s="2537"/>
      <c r="H25" s="2537"/>
      <c r="I25" s="2537"/>
      <c r="J25" s="2538"/>
      <c r="L25" s="1461"/>
      <c r="M25" s="1461"/>
      <c r="N25" s="2618" t="s">
        <v>2718</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2719</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2720</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2721</v>
      </c>
      <c r="C28" s="2629" t="s">
        <v>2722</v>
      </c>
      <c r="D28" s="2629" t="s">
        <v>2723</v>
      </c>
      <c r="E28" s="2630" t="s">
        <v>2724</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2725</v>
      </c>
      <c r="C29" s="123" t="e">
        <f>ROUND(C5*C18*C19*C20*C21*C24,0)</f>
        <v>#DIV/0!</v>
      </c>
      <c r="D29" s="2634"/>
      <c r="E29" s="971" t="e">
        <f>ROUND(C29*D29,0)</f>
        <v>#DIV/0!</v>
      </c>
      <c r="F29" s="2635" t="s">
        <v>2726</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2727</v>
      </c>
      <c r="C30" s="150" t="e">
        <f>ROUND(IF(E2="工业",C29*M39,C29*M38),0)</f>
        <v>#DIV/0!</v>
      </c>
      <c r="D30" s="2640"/>
      <c r="E30" s="971" t="e">
        <f>ROUND(C30*D30,0)</f>
        <v>#DIV/0!</v>
      </c>
      <c r="F30" s="2641" t="s">
        <v>2728</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2729</v>
      </c>
      <c r="C31" s="2646" t="s">
        <v>2730</v>
      </c>
      <c r="D31" s="2550"/>
      <c r="E31" s="2646"/>
      <c r="F31" s="2646"/>
      <c r="G31" s="2548" t="s">
        <v>2731</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2722</v>
      </c>
      <c r="D32" s="479" t="s">
        <v>2723</v>
      </c>
      <c r="E32" s="479" t="s">
        <v>2724</v>
      </c>
      <c r="F32" s="367" t="s">
        <v>2732</v>
      </c>
      <c r="G32" s="957" t="s">
        <v>2722</v>
      </c>
      <c r="H32" s="957" t="s">
        <v>2723</v>
      </c>
      <c r="I32" s="957"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2733</v>
      </c>
      <c r="B33" s="2649" t="s">
        <v>2734</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2735</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2736</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4" t="s">
        <v>2737</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2738</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2739</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2740</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2741</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2742</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2680</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2744</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2745</v>
      </c>
      <c r="B47" s="822" t="s">
        <v>2746</v>
      </c>
      <c r="C47" s="822" t="s">
        <v>2747</v>
      </c>
      <c r="D47" s="822" t="s">
        <v>2748</v>
      </c>
      <c r="E47" s="823" t="s">
        <v>2749</v>
      </c>
      <c r="F47" s="2671" t="s">
        <v>2750</v>
      </c>
      <c r="G47" s="822" t="s">
        <v>2751</v>
      </c>
      <c r="H47" s="2672" t="s">
        <v>2752</v>
      </c>
      <c r="I47" s="822"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2760</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2761</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2762</v>
      </c>
      <c r="B51" s="2675" t="s">
        <v>2763</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2764</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2765</v>
      </c>
      <c r="B53" s="2676" t="s">
        <v>2766</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2767</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2768</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2769</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2770</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2745</v>
      </c>
      <c r="B58" s="2674"/>
      <c r="C58" s="822" t="s">
        <v>2747</v>
      </c>
      <c r="D58" s="822" t="s">
        <v>2748</v>
      </c>
      <c r="E58" s="823" t="s">
        <v>2749</v>
      </c>
      <c r="F58" s="2671" t="s">
        <v>2750</v>
      </c>
      <c r="G58" s="822" t="s">
        <v>2771</v>
      </c>
      <c r="H58" s="2672" t="s">
        <v>2772</v>
      </c>
      <c r="I58" s="822"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2760</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2761</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2762</v>
      </c>
      <c r="B62" s="2675" t="s">
        <v>2763</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2764</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2765</v>
      </c>
      <c r="B64" s="2676" t="s">
        <v>2766</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2767</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2768</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2769</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2775</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2745</v>
      </c>
      <c r="B69" s="2674"/>
      <c r="C69" s="822" t="s">
        <v>2747</v>
      </c>
      <c r="D69" s="822" t="s">
        <v>2748</v>
      </c>
      <c r="E69" s="823" t="s">
        <v>2749</v>
      </c>
      <c r="F69" s="2671" t="s">
        <v>2750</v>
      </c>
      <c r="G69" s="822" t="s">
        <v>2771</v>
      </c>
      <c r="H69" s="2672" t="s">
        <v>2772</v>
      </c>
      <c r="I69" s="822"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2776</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2760</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2761</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2777</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2767</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2768</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2765</v>
      </c>
      <c r="B76" s="2676" t="s">
        <v>2766</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2769</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2778</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2779</v>
      </c>
      <c r="B79" s="2681">
        <f>1+E81</f>
        <v>1</v>
      </c>
      <c r="C79" s="816"/>
      <c r="D79" s="816"/>
      <c r="E79" s="817"/>
      <c r="F79" s="2668"/>
      <c r="G79" s="7"/>
      <c r="H79" s="7"/>
      <c r="I79" s="7"/>
      <c r="J79" s="9"/>
      <c r="K79" s="9"/>
      <c r="L79" s="9"/>
      <c r="M79" s="9"/>
      <c r="N79" s="9"/>
      <c r="Z79" s="2507"/>
      <c r="AA79" s="2584"/>
      <c r="AG79" s="2660"/>
      <c r="AK79" s="2584"/>
    </row>
    <row r="80" spans="1:37" ht="24.75">
      <c r="A80" s="2670" t="s">
        <v>2745</v>
      </c>
      <c r="B80" s="2674"/>
      <c r="C80" s="822" t="s">
        <v>2747</v>
      </c>
      <c r="D80" s="822" t="s">
        <v>2748</v>
      </c>
      <c r="E80" s="823" t="s">
        <v>2749</v>
      </c>
      <c r="F80" s="2671" t="s">
        <v>2750</v>
      </c>
      <c r="G80" s="822" t="s">
        <v>2771</v>
      </c>
      <c r="H80" s="2672" t="s">
        <v>2772</v>
      </c>
      <c r="I80" s="822"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2761</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2777</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2767</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2768</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2765</v>
      </c>
      <c r="B87" s="2676" t="s">
        <v>2766</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2782</v>
      </c>
      <c r="B90" s="3073"/>
      <c r="C90" s="3073"/>
      <c r="D90" s="3073"/>
      <c r="E90" s="3073"/>
      <c r="F90" s="3073"/>
      <c r="G90" s="3073"/>
      <c r="H90" s="3073"/>
      <c r="I90" s="3073"/>
      <c r="J90" s="3073"/>
      <c r="K90" s="2687"/>
      <c r="L90" s="2687"/>
      <c r="M90" s="2687"/>
      <c r="N90" s="2687"/>
    </row>
    <row r="91" spans="1:37">
      <c r="A91" s="3075" t="s">
        <v>2783</v>
      </c>
      <c r="B91" s="3075" t="s">
        <v>2784</v>
      </c>
      <c r="C91" s="2635" t="s">
        <v>2785</v>
      </c>
      <c r="D91" s="2636"/>
      <c r="E91" s="2636"/>
      <c r="F91" s="2636"/>
      <c r="G91" s="2636"/>
      <c r="H91" s="2636"/>
      <c r="I91" s="2636"/>
      <c r="J91" s="2688"/>
      <c r="K91" s="2689"/>
      <c r="L91" s="2689"/>
      <c r="M91" s="2689"/>
      <c r="N91" s="2689"/>
    </row>
    <row r="92" spans="1:37">
      <c r="A92" s="3075"/>
      <c r="B92" s="3075"/>
      <c r="C92" s="971" t="s">
        <v>2636</v>
      </c>
      <c r="D92" s="971" t="s">
        <v>2637</v>
      </c>
      <c r="E92" s="971" t="s">
        <v>2638</v>
      </c>
      <c r="F92" s="971" t="s">
        <v>2639</v>
      </c>
      <c r="G92" s="971" t="s">
        <v>2640</v>
      </c>
      <c r="H92" s="971" t="s">
        <v>2641</v>
      </c>
      <c r="I92" s="971" t="s">
        <v>2642</v>
      </c>
      <c r="J92" s="971" t="s">
        <v>2643</v>
      </c>
      <c r="K92" s="971" t="s">
        <v>2644</v>
      </c>
      <c r="L92" s="971" t="s">
        <v>2645</v>
      </c>
      <c r="M92" s="971" t="s">
        <v>2646</v>
      </c>
      <c r="N92" s="971" t="s">
        <v>2647</v>
      </c>
    </row>
    <row r="93" spans="1:37">
      <c r="A93" s="3076"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2790</v>
      </c>
      <c r="B110" s="3074"/>
      <c r="C110" s="3074"/>
      <c r="D110" s="3074"/>
      <c r="E110" s="3074"/>
      <c r="F110" s="3074"/>
      <c r="G110" s="3074"/>
      <c r="H110" s="3074"/>
      <c r="I110" s="3074"/>
      <c r="J110" s="3074"/>
      <c r="K110" s="2696"/>
      <c r="L110" s="2696"/>
      <c r="M110" s="2696"/>
      <c r="N110" s="2696"/>
    </row>
    <row r="112" spans="1:14" ht="13.5" thickBot="1"/>
    <row r="113" spans="1:13" ht="25.5" thickBot="1">
      <c r="A113" s="927" t="s">
        <v>2791</v>
      </c>
      <c r="B113" s="1378">
        <f>G3</f>
        <v>0</v>
      </c>
      <c r="C113" s="928" t="s">
        <v>2792</v>
      </c>
      <c r="D113" s="929">
        <f>SUMPRODUCT((A115:A118=F113)*(B114:M114=H113)*B115:M118)</f>
        <v>0</v>
      </c>
      <c r="E113" s="2698" t="s">
        <v>2676</v>
      </c>
      <c r="F113" s="2699">
        <f>E2</f>
        <v>0</v>
      </c>
      <c r="G113" s="2698" t="s">
        <v>2610</v>
      </c>
      <c r="H113" s="2699">
        <f>G2</f>
        <v>0</v>
      </c>
      <c r="I113" s="2698"/>
      <c r="J113" s="2700"/>
      <c r="K113" s="2700"/>
      <c r="L113" s="2700"/>
      <c r="M113" s="2700"/>
    </row>
    <row r="114" spans="1:13">
      <c r="A114" s="932"/>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3" t="s">
        <v>2677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3" t="s">
        <v>787</v>
      </c>
      <c r="B1" s="309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3" t="s">
        <v>105</v>
      </c>
      <c r="B1" s="3093"/>
      <c r="C1" s="3093"/>
      <c r="D1" s="3093"/>
      <c r="E1" s="3093"/>
      <c r="F1" s="309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4" t="s">
        <v>118</v>
      </c>
      <c r="B2" s="3094"/>
      <c r="C2" s="3094"/>
      <c r="D2" s="3094"/>
      <c r="E2" s="3094"/>
      <c r="F2" s="309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7" t="s">
        <v>132</v>
      </c>
      <c r="B18" s="906" t="s">
        <v>517</v>
      </c>
      <c r="C18" s="907" t="s">
        <v>518</v>
      </c>
      <c r="D18" s="908"/>
      <c r="E18" s="906">
        <v>1</v>
      </c>
      <c r="F18" s="909" t="s">
        <v>519</v>
      </c>
      <c r="G18" s="910"/>
      <c r="H18" s="902"/>
      <c r="I18" s="902"/>
    </row>
    <row r="19" spans="1:9" s="911" customFormat="1" ht="19.5" customHeight="1">
      <c r="A19" s="3097"/>
      <c r="B19" s="3097" t="s">
        <v>520</v>
      </c>
      <c r="C19" s="907" t="s">
        <v>521</v>
      </c>
      <c r="D19" s="908"/>
      <c r="E19" s="906">
        <v>0.9</v>
      </c>
      <c r="F19" s="909" t="s">
        <v>522</v>
      </c>
      <c r="G19" s="910"/>
      <c r="H19" s="902"/>
      <c r="I19" s="902"/>
    </row>
    <row r="20" spans="1:9" s="911" customFormat="1" ht="19.5" customHeight="1">
      <c r="A20" s="3097"/>
      <c r="B20" s="3097"/>
      <c r="C20" s="907" t="s">
        <v>523</v>
      </c>
      <c r="D20" s="908"/>
      <c r="E20" s="906">
        <v>1.1000000000000001</v>
      </c>
      <c r="F20" s="909" t="s">
        <v>524</v>
      </c>
      <c r="G20" s="910"/>
      <c r="H20" s="902"/>
      <c r="I20" s="902"/>
    </row>
    <row r="21" spans="1:9" s="911" customFormat="1" ht="19.5" customHeight="1">
      <c r="A21" s="3097"/>
      <c r="B21" s="3097"/>
      <c r="C21" s="907" t="s">
        <v>525</v>
      </c>
      <c r="D21" s="908"/>
      <c r="E21" s="906">
        <v>0.8</v>
      </c>
      <c r="F21" s="909" t="s">
        <v>526</v>
      </c>
      <c r="G21" s="910"/>
      <c r="H21" s="902"/>
      <c r="I21" s="902"/>
    </row>
    <row r="22" spans="1:9" s="911" customFormat="1" ht="19.5" customHeight="1">
      <c r="A22" s="3097"/>
      <c r="B22" s="3097"/>
      <c r="C22" s="907" t="s">
        <v>527</v>
      </c>
      <c r="D22" s="908"/>
      <c r="E22" s="906">
        <v>0.5</v>
      </c>
      <c r="F22" s="909"/>
      <c r="G22" s="910"/>
      <c r="H22" s="902"/>
      <c r="I22" s="902"/>
    </row>
    <row r="23" spans="1:9" s="911" customFormat="1" ht="19.5" customHeight="1">
      <c r="A23" s="3097" t="s">
        <v>133</v>
      </c>
      <c r="B23" s="906" t="s">
        <v>517</v>
      </c>
      <c r="C23" s="907" t="s">
        <v>528</v>
      </c>
      <c r="D23" s="908"/>
      <c r="E23" s="906">
        <v>1</v>
      </c>
      <c r="F23" s="909" t="s">
        <v>529</v>
      </c>
      <c r="G23" s="910"/>
      <c r="H23" s="902"/>
      <c r="I23" s="902"/>
    </row>
    <row r="24" spans="1:9" s="911" customFormat="1" ht="19.5" customHeight="1">
      <c r="A24" s="3097"/>
      <c r="B24" s="3097" t="s">
        <v>520</v>
      </c>
      <c r="C24" s="907" t="s">
        <v>530</v>
      </c>
      <c r="D24" s="908"/>
      <c r="E24" s="906">
        <v>0.5</v>
      </c>
      <c r="F24" s="909"/>
      <c r="G24" s="910"/>
      <c r="H24" s="902"/>
      <c r="I24" s="902"/>
    </row>
    <row r="25" spans="1:9" s="911" customFormat="1" ht="19.5" customHeight="1">
      <c r="A25" s="3097"/>
      <c r="B25" s="3097"/>
      <c r="C25" s="907" t="s">
        <v>531</v>
      </c>
      <c r="D25" s="908"/>
      <c r="E25" s="906">
        <v>1.1000000000000001</v>
      </c>
      <c r="F25" s="909"/>
      <c r="G25" s="910"/>
      <c r="H25" s="902"/>
      <c r="I25" s="902"/>
    </row>
    <row r="26" spans="1:9" s="911" customFormat="1" ht="19.5" customHeight="1">
      <c r="A26" s="3097"/>
      <c r="B26" s="3097"/>
      <c r="C26" s="907" t="s">
        <v>532</v>
      </c>
      <c r="D26" s="908"/>
      <c r="E26" s="906">
        <v>1.1000000000000001</v>
      </c>
      <c r="F26" s="909"/>
      <c r="G26" s="910"/>
      <c r="H26" s="902"/>
      <c r="I26" s="902"/>
    </row>
    <row r="27" spans="1:9" s="911" customFormat="1" ht="19.5" customHeight="1">
      <c r="A27" s="3097"/>
      <c r="B27" s="3097"/>
      <c r="C27" s="907" t="s">
        <v>533</v>
      </c>
      <c r="D27" s="908"/>
      <c r="E27" s="906">
        <v>0.9</v>
      </c>
      <c r="F27" s="909" t="s">
        <v>534</v>
      </c>
      <c r="G27" s="910"/>
      <c r="H27" s="902"/>
      <c r="I27" s="902"/>
    </row>
    <row r="28" spans="1:9" s="911" customFormat="1" ht="19.5" customHeight="1">
      <c r="A28" s="3097"/>
      <c r="B28" s="3097"/>
      <c r="C28" s="907" t="s">
        <v>535</v>
      </c>
      <c r="D28" s="908"/>
      <c r="E28" s="906">
        <v>0.9</v>
      </c>
      <c r="F28" s="909" t="s">
        <v>536</v>
      </c>
      <c r="G28" s="910"/>
      <c r="H28" s="902"/>
      <c r="I28" s="902"/>
    </row>
    <row r="29" spans="1:9" s="911" customFormat="1" ht="19.5" customHeight="1">
      <c r="A29" s="3097"/>
      <c r="B29" s="3097"/>
      <c r="C29" s="907" t="s">
        <v>537</v>
      </c>
      <c r="D29" s="908"/>
      <c r="E29" s="906">
        <v>0.9</v>
      </c>
      <c r="F29" s="909" t="s">
        <v>538</v>
      </c>
      <c r="G29" s="910"/>
      <c r="H29" s="902"/>
      <c r="I29" s="902"/>
    </row>
    <row r="30" spans="1:9" s="911" customFormat="1" ht="19.5" customHeight="1">
      <c r="A30" s="3097"/>
      <c r="B30" s="3097"/>
      <c r="C30" s="907" t="s">
        <v>539</v>
      </c>
      <c r="D30" s="908"/>
      <c r="E30" s="906">
        <v>0.9</v>
      </c>
      <c r="F30" s="909" t="s">
        <v>540</v>
      </c>
      <c r="G30" s="910"/>
      <c r="H30" s="902"/>
      <c r="I30" s="902"/>
    </row>
    <row r="31" spans="1:9" s="911" customFormat="1" ht="19.5" customHeight="1">
      <c r="A31" s="3097"/>
      <c r="B31" s="3097"/>
      <c r="C31" s="907" t="s">
        <v>541</v>
      </c>
      <c r="D31" s="908"/>
      <c r="E31" s="906">
        <v>0.8</v>
      </c>
      <c r="F31" s="909" t="s">
        <v>542</v>
      </c>
      <c r="G31" s="910"/>
      <c r="H31" s="902"/>
      <c r="I31" s="902"/>
    </row>
    <row r="32" spans="1:9" s="911" customFormat="1" ht="19.5" customHeight="1">
      <c r="A32" s="3097"/>
      <c r="B32" s="3097"/>
      <c r="C32" s="907" t="s">
        <v>543</v>
      </c>
      <c r="D32" s="908"/>
      <c r="E32" s="906">
        <v>0.8</v>
      </c>
      <c r="F32" s="909" t="s">
        <v>544</v>
      </c>
      <c r="G32" s="910"/>
      <c r="H32" s="902"/>
      <c r="I32" s="902"/>
    </row>
    <row r="33" spans="1:9" s="911" customFormat="1" ht="19.5" customHeight="1">
      <c r="A33" s="3097" t="s">
        <v>134</v>
      </c>
      <c r="B33" s="906" t="s">
        <v>517</v>
      </c>
      <c r="C33" s="907" t="s">
        <v>545</v>
      </c>
      <c r="D33" s="908"/>
      <c r="E33" s="906">
        <v>1</v>
      </c>
      <c r="F33" s="909" t="s">
        <v>546</v>
      </c>
      <c r="G33" s="910"/>
      <c r="H33" s="902"/>
      <c r="I33" s="902"/>
    </row>
    <row r="34" spans="1:9" s="911" customFormat="1" ht="19.5" customHeight="1">
      <c r="A34" s="3097"/>
      <c r="B34" s="906" t="s">
        <v>520</v>
      </c>
      <c r="C34" s="907" t="s">
        <v>547</v>
      </c>
      <c r="D34" s="908"/>
      <c r="E34" s="906">
        <v>1.5</v>
      </c>
      <c r="F34" s="909" t="s">
        <v>548</v>
      </c>
      <c r="G34" s="910"/>
      <c r="H34" s="902"/>
      <c r="I34" s="902"/>
    </row>
    <row r="35" spans="1:9" s="911" customFormat="1" ht="19.5" customHeight="1">
      <c r="A35" s="3097" t="s">
        <v>135</v>
      </c>
      <c r="B35" s="906" t="s">
        <v>517</v>
      </c>
      <c r="C35" s="907" t="s">
        <v>549</v>
      </c>
      <c r="D35" s="908"/>
      <c r="E35" s="906">
        <v>1</v>
      </c>
      <c r="F35" s="909" t="s">
        <v>550</v>
      </c>
      <c r="G35" s="910"/>
      <c r="H35" s="902"/>
      <c r="I35" s="902"/>
    </row>
    <row r="36" spans="1:9" s="911" customFormat="1" ht="19.5" customHeight="1">
      <c r="A36" s="3097"/>
      <c r="B36" s="3097" t="s">
        <v>520</v>
      </c>
      <c r="C36" s="907" t="s">
        <v>551</v>
      </c>
      <c r="D36" s="908"/>
      <c r="E36" s="906">
        <v>1</v>
      </c>
      <c r="F36" s="909" t="s">
        <v>552</v>
      </c>
      <c r="G36" s="910"/>
      <c r="H36" s="902"/>
      <c r="I36" s="902"/>
    </row>
    <row r="37" spans="1:9" s="911" customFormat="1" ht="19.5" customHeight="1">
      <c r="A37" s="3097"/>
      <c r="B37" s="3097"/>
      <c r="C37" s="907" t="s">
        <v>553</v>
      </c>
      <c r="D37" s="908"/>
      <c r="E37" s="906">
        <v>1.5</v>
      </c>
      <c r="F37" s="909" t="s">
        <v>554</v>
      </c>
      <c r="G37" s="910"/>
      <c r="H37" s="902"/>
      <c r="I37" s="902"/>
    </row>
    <row r="38" spans="1:9" s="911" customFormat="1" ht="19.5" customHeight="1">
      <c r="A38" s="3097"/>
      <c r="B38" s="3097"/>
      <c r="C38" s="907" t="s">
        <v>555</v>
      </c>
      <c r="D38" s="908"/>
      <c r="E38" s="906">
        <v>1</v>
      </c>
      <c r="F38" s="909" t="s">
        <v>556</v>
      </c>
      <c r="G38" s="910"/>
      <c r="H38" s="902"/>
      <c r="I38" s="902"/>
    </row>
    <row r="39" spans="1:9" s="911" customFormat="1" ht="19.5" customHeight="1">
      <c r="A39" s="3097"/>
      <c r="B39" s="309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7" t="s">
        <v>571</v>
      </c>
      <c r="C61" s="820" t="s">
        <v>572</v>
      </c>
      <c r="D61" s="820" t="s">
        <v>573</v>
      </c>
      <c r="E61" s="919">
        <v>0.5</v>
      </c>
      <c r="F61" s="906">
        <v>80</v>
      </c>
    </row>
    <row r="62" spans="1:8" s="902" customFormat="1" ht="24">
      <c r="A62" s="906">
        <v>2</v>
      </c>
      <c r="B62" s="3097"/>
      <c r="C62" s="820" t="s">
        <v>574</v>
      </c>
      <c r="D62" s="820" t="s">
        <v>575</v>
      </c>
      <c r="E62" s="919">
        <v>0.5</v>
      </c>
      <c r="F62" s="906">
        <v>80</v>
      </c>
    </row>
    <row r="63" spans="1:8" s="902" customFormat="1" ht="36">
      <c r="A63" s="906">
        <v>3</v>
      </c>
      <c r="B63" s="3097"/>
      <c r="C63" s="820" t="s">
        <v>576</v>
      </c>
      <c r="D63" s="820" t="s">
        <v>577</v>
      </c>
      <c r="E63" s="919">
        <v>0.5</v>
      </c>
      <c r="F63" s="906">
        <v>80</v>
      </c>
    </row>
    <row r="64" spans="1:8" s="902" customFormat="1" ht="36">
      <c r="A64" s="906">
        <v>4</v>
      </c>
      <c r="B64" s="3097"/>
      <c r="C64" s="820" t="s">
        <v>578</v>
      </c>
      <c r="D64" s="820" t="s">
        <v>579</v>
      </c>
      <c r="E64" s="919">
        <v>0.4</v>
      </c>
      <c r="F64" s="906">
        <v>60</v>
      </c>
    </row>
    <row r="65" spans="1:6" s="902" customFormat="1" ht="36">
      <c r="A65" s="906">
        <v>5</v>
      </c>
      <c r="B65" s="3097"/>
      <c r="C65" s="820" t="s">
        <v>580</v>
      </c>
      <c r="D65" s="820" t="s">
        <v>581</v>
      </c>
      <c r="E65" s="919">
        <v>0.2</v>
      </c>
      <c r="F65" s="906">
        <v>30</v>
      </c>
    </row>
    <row r="66" spans="1:6" s="902" customFormat="1" ht="36">
      <c r="A66" s="906">
        <v>6</v>
      </c>
      <c r="B66" s="3097"/>
      <c r="C66" s="820" t="s">
        <v>582</v>
      </c>
      <c r="D66" s="820" t="s">
        <v>583</v>
      </c>
      <c r="E66" s="919">
        <v>0.3</v>
      </c>
      <c r="F66" s="906">
        <v>50</v>
      </c>
    </row>
    <row r="67" spans="1:6" s="902" customFormat="1" ht="36">
      <c r="A67" s="906">
        <v>7</v>
      </c>
      <c r="B67" s="3097"/>
      <c r="C67" s="820" t="s">
        <v>584</v>
      </c>
      <c r="D67" s="820" t="s">
        <v>585</v>
      </c>
      <c r="E67" s="919">
        <v>0.2</v>
      </c>
      <c r="F67" s="906">
        <v>30</v>
      </c>
    </row>
    <row r="68" spans="1:6" s="902" customFormat="1" ht="36">
      <c r="A68" s="906">
        <v>8</v>
      </c>
      <c r="B68" s="3097"/>
      <c r="C68" s="820" t="s">
        <v>586</v>
      </c>
      <c r="D68" s="820" t="s">
        <v>587</v>
      </c>
      <c r="E68" s="919">
        <v>0.2</v>
      </c>
      <c r="F68" s="906">
        <v>30</v>
      </c>
    </row>
    <row r="69" spans="1:6" s="902" customFormat="1" ht="36">
      <c r="A69" s="906">
        <v>9</v>
      </c>
      <c r="B69" s="3097"/>
      <c r="C69" s="820" t="s">
        <v>588</v>
      </c>
      <c r="D69" s="820" t="s">
        <v>589</v>
      </c>
      <c r="E69" s="919">
        <v>0.2</v>
      </c>
      <c r="F69" s="906">
        <v>30</v>
      </c>
    </row>
    <row r="70" spans="1:6" s="902" customFormat="1" ht="48">
      <c r="A70" s="906">
        <v>10</v>
      </c>
      <c r="B70" s="3097"/>
      <c r="C70" s="820" t="s">
        <v>590</v>
      </c>
      <c r="D70" s="820" t="s">
        <v>591</v>
      </c>
      <c r="E70" s="919">
        <v>0.2</v>
      </c>
      <c r="F70" s="906">
        <v>30</v>
      </c>
    </row>
    <row r="71" spans="1:6" s="902" customFormat="1" ht="48">
      <c r="A71" s="906">
        <v>11</v>
      </c>
      <c r="B71" s="3097"/>
      <c r="C71" s="820" t="s">
        <v>592</v>
      </c>
      <c r="D71" s="820" t="s">
        <v>593</v>
      </c>
      <c r="E71" s="919">
        <v>0.2</v>
      </c>
      <c r="F71" s="906">
        <v>30</v>
      </c>
    </row>
    <row r="72" spans="1:6" s="902" customFormat="1" ht="36">
      <c r="A72" s="906">
        <v>12</v>
      </c>
      <c r="B72" s="3097"/>
      <c r="C72" s="820" t="s">
        <v>594</v>
      </c>
      <c r="D72" s="820" t="s">
        <v>595</v>
      </c>
      <c r="E72" s="919">
        <v>0.5</v>
      </c>
      <c r="F72" s="906">
        <v>80</v>
      </c>
    </row>
    <row r="73" spans="1:6" s="902" customFormat="1" ht="24">
      <c r="A73" s="906">
        <v>13</v>
      </c>
      <c r="B73" s="3097"/>
      <c r="C73" s="820" t="s">
        <v>596</v>
      </c>
      <c r="D73" s="820" t="s">
        <v>597</v>
      </c>
      <c r="E73" s="919">
        <v>0.4</v>
      </c>
      <c r="F73" s="906">
        <v>60</v>
      </c>
    </row>
    <row r="74" spans="1:6" s="902" customFormat="1" ht="24">
      <c r="A74" s="906">
        <v>14</v>
      </c>
      <c r="B74" s="3097"/>
      <c r="C74" s="820" t="s">
        <v>598</v>
      </c>
      <c r="D74" s="820" t="s">
        <v>599</v>
      </c>
      <c r="E74" s="919">
        <v>0.2</v>
      </c>
      <c r="F74" s="906">
        <v>30</v>
      </c>
    </row>
    <row r="75" spans="1:6" s="902" customFormat="1" ht="24">
      <c r="A75" s="906">
        <v>15</v>
      </c>
      <c r="B75" s="3097"/>
      <c r="C75" s="820" t="s">
        <v>600</v>
      </c>
      <c r="D75" s="820" t="s">
        <v>601</v>
      </c>
      <c r="E75" s="919">
        <v>0.2</v>
      </c>
      <c r="F75" s="906">
        <v>30</v>
      </c>
    </row>
    <row r="76" spans="1:6" s="902" customFormat="1" ht="24">
      <c r="A76" s="906">
        <v>16</v>
      </c>
      <c r="B76" s="3097" t="s">
        <v>602</v>
      </c>
      <c r="C76" s="820" t="s">
        <v>603</v>
      </c>
      <c r="D76" s="820" t="s">
        <v>604</v>
      </c>
      <c r="E76" s="919">
        <v>0.5</v>
      </c>
      <c r="F76" s="906">
        <v>80</v>
      </c>
    </row>
    <row r="77" spans="1:6" s="902" customFormat="1" ht="24">
      <c r="A77" s="906">
        <v>17</v>
      </c>
      <c r="B77" s="3097"/>
      <c r="C77" s="820" t="s">
        <v>605</v>
      </c>
      <c r="D77" s="820" t="s">
        <v>606</v>
      </c>
      <c r="E77" s="919">
        <v>0.5</v>
      </c>
      <c r="F77" s="906">
        <v>80</v>
      </c>
    </row>
    <row r="78" spans="1:6" s="902" customFormat="1" ht="24">
      <c r="A78" s="906">
        <v>18</v>
      </c>
      <c r="B78" s="3097"/>
      <c r="C78" s="820" t="s">
        <v>607</v>
      </c>
      <c r="D78" s="820" t="s">
        <v>608</v>
      </c>
      <c r="E78" s="919">
        <v>0.2</v>
      </c>
      <c r="F78" s="906">
        <v>30</v>
      </c>
    </row>
    <row r="79" spans="1:6" s="902" customFormat="1" ht="24">
      <c r="A79" s="906">
        <v>19</v>
      </c>
      <c r="B79" s="3097"/>
      <c r="C79" s="820" t="s">
        <v>609</v>
      </c>
      <c r="D79" s="820" t="s">
        <v>610</v>
      </c>
      <c r="E79" s="919">
        <v>0.5</v>
      </c>
      <c r="F79" s="906">
        <v>80</v>
      </c>
    </row>
    <row r="80" spans="1:6" s="902" customFormat="1" ht="36">
      <c r="A80" s="906">
        <v>20</v>
      </c>
      <c r="B80" s="3097"/>
      <c r="C80" s="820" t="s">
        <v>611</v>
      </c>
      <c r="D80" s="820" t="s">
        <v>612</v>
      </c>
      <c r="E80" s="919">
        <v>0.2</v>
      </c>
      <c r="F80" s="906">
        <v>30</v>
      </c>
    </row>
    <row r="81" spans="1:6" s="902" customFormat="1" ht="36">
      <c r="A81" s="906">
        <v>21</v>
      </c>
      <c r="B81" s="3097"/>
      <c r="C81" s="820" t="s">
        <v>613</v>
      </c>
      <c r="D81" s="820" t="s">
        <v>614</v>
      </c>
      <c r="E81" s="919">
        <v>0.2</v>
      </c>
      <c r="F81" s="906">
        <v>30</v>
      </c>
    </row>
    <row r="82" spans="1:6" s="902" customFormat="1" ht="48">
      <c r="A82" s="906">
        <v>22</v>
      </c>
      <c r="B82" s="3097"/>
      <c r="C82" s="820" t="s">
        <v>615</v>
      </c>
      <c r="D82" s="820" t="s">
        <v>616</v>
      </c>
      <c r="E82" s="919">
        <v>0.2</v>
      </c>
      <c r="F82" s="906">
        <v>30</v>
      </c>
    </row>
    <row r="83" spans="1:6" s="902" customFormat="1" ht="48">
      <c r="A83" s="906">
        <v>23</v>
      </c>
      <c r="B83" s="3097"/>
      <c r="C83" s="820" t="s">
        <v>617</v>
      </c>
      <c r="D83" s="820" t="s">
        <v>618</v>
      </c>
      <c r="E83" s="919">
        <v>0.2</v>
      </c>
      <c r="F83" s="906">
        <v>30</v>
      </c>
    </row>
    <row r="84" spans="1:6" s="902" customFormat="1" ht="36">
      <c r="A84" s="906">
        <v>24</v>
      </c>
      <c r="B84" s="3097"/>
      <c r="C84" s="820" t="s">
        <v>619</v>
      </c>
      <c r="D84" s="820" t="s">
        <v>620</v>
      </c>
      <c r="E84" s="919">
        <v>0.2</v>
      </c>
      <c r="F84" s="906">
        <v>30</v>
      </c>
    </row>
    <row r="85" spans="1:6" s="902" customFormat="1" ht="36">
      <c r="A85" s="906">
        <v>25</v>
      </c>
      <c r="B85" s="3097"/>
      <c r="C85" s="820" t="s">
        <v>621</v>
      </c>
      <c r="D85" s="820" t="s">
        <v>622</v>
      </c>
      <c r="E85" s="919">
        <v>0.5</v>
      </c>
      <c r="F85" s="906">
        <v>80</v>
      </c>
    </row>
    <row r="86" spans="1:6" s="902" customFormat="1" ht="36">
      <c r="A86" s="906">
        <v>26</v>
      </c>
      <c r="B86" s="3097"/>
      <c r="C86" s="820" t="s">
        <v>623</v>
      </c>
      <c r="D86" s="820" t="s">
        <v>624</v>
      </c>
      <c r="E86" s="919">
        <v>0.2</v>
      </c>
      <c r="F86" s="906">
        <v>30</v>
      </c>
    </row>
    <row r="87" spans="1:6" s="902" customFormat="1" ht="36">
      <c r="A87" s="906">
        <v>27</v>
      </c>
      <c r="B87" s="3097"/>
      <c r="C87" s="820" t="s">
        <v>625</v>
      </c>
      <c r="D87" s="820" t="s">
        <v>626</v>
      </c>
      <c r="E87" s="919">
        <v>0.2</v>
      </c>
      <c r="F87" s="906">
        <v>30</v>
      </c>
    </row>
    <row r="88" spans="1:6" s="902" customFormat="1" ht="36">
      <c r="A88" s="906">
        <v>28</v>
      </c>
      <c r="B88" s="3097"/>
      <c r="C88" s="820" t="s">
        <v>627</v>
      </c>
      <c r="D88" s="820" t="s">
        <v>628</v>
      </c>
      <c r="E88" s="919">
        <v>0.2</v>
      </c>
      <c r="F88" s="906">
        <v>30</v>
      </c>
    </row>
    <row r="89" spans="1:6" s="902" customFormat="1" ht="24">
      <c r="A89" s="906">
        <v>29</v>
      </c>
      <c r="B89" s="3097"/>
      <c r="C89" s="820" t="s">
        <v>629</v>
      </c>
      <c r="D89" s="820" t="s">
        <v>630</v>
      </c>
      <c r="E89" s="919">
        <v>0.2</v>
      </c>
      <c r="F89" s="906">
        <v>30</v>
      </c>
    </row>
    <row r="90" spans="1:6" s="902" customFormat="1" ht="24">
      <c r="A90" s="906">
        <v>30</v>
      </c>
      <c r="B90" s="3097"/>
      <c r="C90" s="820" t="s">
        <v>631</v>
      </c>
      <c r="D90" s="820" t="s">
        <v>632</v>
      </c>
      <c r="E90" s="919">
        <v>0.2</v>
      </c>
      <c r="F90" s="906">
        <v>30</v>
      </c>
    </row>
    <row r="91" spans="1:6" s="902" customFormat="1" ht="36">
      <c r="A91" s="906">
        <v>31</v>
      </c>
      <c r="B91" s="3097"/>
      <c r="C91" s="820" t="s">
        <v>633</v>
      </c>
      <c r="D91" s="820" t="s">
        <v>634</v>
      </c>
      <c r="E91" s="919">
        <v>0.2</v>
      </c>
      <c r="F91" s="906">
        <v>30</v>
      </c>
    </row>
    <row r="92" spans="1:6" s="902" customFormat="1" ht="24">
      <c r="A92" s="906">
        <v>32</v>
      </c>
      <c r="B92" s="3097" t="s">
        <v>635</v>
      </c>
      <c r="C92" s="906" t="s">
        <v>636</v>
      </c>
      <c r="D92" s="820" t="s">
        <v>637</v>
      </c>
      <c r="E92" s="919">
        <v>0.2</v>
      </c>
      <c r="F92" s="906">
        <v>30</v>
      </c>
    </row>
    <row r="93" spans="1:6" s="902" customFormat="1" ht="36">
      <c r="A93" s="906">
        <v>33</v>
      </c>
      <c r="B93" s="3097"/>
      <c r="C93" s="906" t="s">
        <v>638</v>
      </c>
      <c r="D93" s="820" t="s">
        <v>639</v>
      </c>
      <c r="E93" s="919">
        <v>0.2</v>
      </c>
      <c r="F93" s="906">
        <v>30</v>
      </c>
    </row>
    <row r="94" spans="1:6" s="902" customFormat="1" ht="48">
      <c r="A94" s="906">
        <v>34</v>
      </c>
      <c r="B94" s="3097"/>
      <c r="C94" s="906" t="s">
        <v>640</v>
      </c>
      <c r="D94" s="820" t="s">
        <v>641</v>
      </c>
      <c r="E94" s="919">
        <v>0.2</v>
      </c>
      <c r="F94" s="906">
        <v>30</v>
      </c>
    </row>
    <row r="95" spans="1:6" s="902" customFormat="1" ht="36">
      <c r="A95" s="906">
        <v>35</v>
      </c>
      <c r="B95" s="3097"/>
      <c r="C95" s="906" t="s">
        <v>642</v>
      </c>
      <c r="D95" s="820" t="s">
        <v>643</v>
      </c>
      <c r="E95" s="919">
        <v>0.2</v>
      </c>
      <c r="F95" s="906">
        <v>30</v>
      </c>
    </row>
    <row r="96" spans="1:6" s="902" customFormat="1" ht="48">
      <c r="A96" s="906">
        <v>36</v>
      </c>
      <c r="B96" s="3097"/>
      <c r="C96" s="820" t="s">
        <v>644</v>
      </c>
      <c r="D96" s="820" t="s">
        <v>645</v>
      </c>
      <c r="E96" s="919">
        <v>0.2</v>
      </c>
      <c r="F96" s="906">
        <v>30</v>
      </c>
    </row>
    <row r="97" spans="1:6" s="902" customFormat="1" ht="36">
      <c r="A97" s="906">
        <v>37</v>
      </c>
      <c r="B97" s="3097"/>
      <c r="C97" s="906" t="s">
        <v>646</v>
      </c>
      <c r="D97" s="820" t="s">
        <v>647</v>
      </c>
      <c r="E97" s="919">
        <v>0.2</v>
      </c>
      <c r="F97" s="906">
        <v>30</v>
      </c>
    </row>
    <row r="98" spans="1:6" s="902" customFormat="1" ht="36">
      <c r="A98" s="906">
        <v>38</v>
      </c>
      <c r="B98" s="3097"/>
      <c r="C98" s="906" t="s">
        <v>648</v>
      </c>
      <c r="D98" s="820" t="s">
        <v>649</v>
      </c>
      <c r="E98" s="919">
        <v>0.2</v>
      </c>
      <c r="F98" s="906">
        <v>30</v>
      </c>
    </row>
    <row r="99" spans="1:6" s="902" customFormat="1" ht="36">
      <c r="A99" s="906">
        <v>39</v>
      </c>
      <c r="B99" s="3097" t="s">
        <v>650</v>
      </c>
      <c r="C99" s="906" t="s">
        <v>651</v>
      </c>
      <c r="D99" s="820" t="s">
        <v>652</v>
      </c>
      <c r="E99" s="919">
        <v>0.3</v>
      </c>
      <c r="F99" s="906">
        <v>50</v>
      </c>
    </row>
    <row r="100" spans="1:6" s="902" customFormat="1" ht="24">
      <c r="A100" s="906">
        <v>40</v>
      </c>
      <c r="B100" s="3097"/>
      <c r="C100" s="906" t="s">
        <v>653</v>
      </c>
      <c r="D100" s="820" t="s">
        <v>654</v>
      </c>
      <c r="E100" s="919">
        <v>0.2</v>
      </c>
      <c r="F100" s="906">
        <v>30</v>
      </c>
    </row>
    <row r="101" spans="1:6" s="902" customFormat="1" ht="36">
      <c r="A101" s="906">
        <v>41</v>
      </c>
      <c r="B101" s="309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7" t="s">
        <v>665</v>
      </c>
      <c r="C105" s="906" t="s">
        <v>666</v>
      </c>
      <c r="D105" s="820" t="s">
        <v>667</v>
      </c>
      <c r="E105" s="919">
        <v>0.2</v>
      </c>
      <c r="F105" s="906">
        <v>30</v>
      </c>
    </row>
    <row r="106" spans="1:6" s="902" customFormat="1" ht="36">
      <c r="A106" s="906">
        <v>46</v>
      </c>
      <c r="B106" s="3097"/>
      <c r="C106" s="906" t="s">
        <v>668</v>
      </c>
      <c r="D106" s="820" t="s">
        <v>669</v>
      </c>
      <c r="E106" s="919">
        <v>0.2</v>
      </c>
      <c r="F106" s="906">
        <v>30</v>
      </c>
    </row>
    <row r="107" spans="1:6" s="902" customFormat="1" ht="36">
      <c r="A107" s="906">
        <v>47</v>
      </c>
      <c r="B107" s="3097" t="s">
        <v>670</v>
      </c>
      <c r="C107" s="906" t="s">
        <v>671</v>
      </c>
      <c r="D107" s="820" t="s">
        <v>672</v>
      </c>
      <c r="E107" s="919">
        <v>0.3</v>
      </c>
      <c r="F107" s="906">
        <v>50</v>
      </c>
    </row>
    <row r="108" spans="1:6" s="902" customFormat="1" ht="36">
      <c r="A108" s="906">
        <v>48</v>
      </c>
      <c r="B108" s="309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7" t="s">
        <v>681</v>
      </c>
      <c r="C111" s="906" t="s">
        <v>682</v>
      </c>
      <c r="D111" s="820" t="s">
        <v>683</v>
      </c>
      <c r="E111" s="919">
        <v>0.2</v>
      </c>
      <c r="F111" s="906">
        <v>30</v>
      </c>
    </row>
    <row r="112" spans="1:6" s="902" customFormat="1" ht="24">
      <c r="A112" s="906">
        <v>52</v>
      </c>
      <c r="B112" s="3097"/>
      <c r="C112" s="906" t="s">
        <v>684</v>
      </c>
      <c r="D112" s="820" t="s">
        <v>685</v>
      </c>
      <c r="E112" s="919">
        <v>0.2</v>
      </c>
      <c r="F112" s="906">
        <v>30</v>
      </c>
    </row>
    <row r="113" spans="1:6" s="902" customFormat="1" ht="24">
      <c r="A113" s="906">
        <v>53</v>
      </c>
      <c r="B113" s="309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7" t="s">
        <v>694</v>
      </c>
      <c r="C116" s="906" t="s">
        <v>695</v>
      </c>
      <c r="D116" s="820" t="s">
        <v>696</v>
      </c>
      <c r="E116" s="919">
        <v>0.2</v>
      </c>
      <c r="F116" s="906">
        <v>30</v>
      </c>
    </row>
    <row r="117" spans="1:6" ht="36">
      <c r="A117" s="906">
        <v>57</v>
      </c>
      <c r="B117" s="309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1033</v>
      </c>
      <c r="C1" s="3103"/>
      <c r="D1" s="3103"/>
      <c r="E1" s="3103"/>
      <c r="F1" s="3103"/>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2812</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2819</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2811</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2820</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2816</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2813</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2808</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4">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5">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6"/>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6"/>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7"/>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2825</v>
      </c>
      <c r="D1" s="1738"/>
      <c r="E1" s="2382" t="s">
        <v>1237</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1303</v>
      </c>
      <c r="B2" s="1724">
        <f>IF(D2="——",IF(C2="元",ROUND(C50*D3,0),ROUND(C50*D3/10000,0)),IF(C2="元",ROUND(C50*D3,0),ROUND(C50*D3/10000,0))-E2)</f>
        <v>0</v>
      </c>
      <c r="C2" s="163" t="str">
        <f>'数据-取费表'!B3</f>
        <v>万元</v>
      </c>
      <c r="D2" s="2384" t="s">
        <v>1253</v>
      </c>
      <c r="E2" s="1841">
        <f ca="1">SUMIF(INDIRECT("'"&amp;G2&amp;"'"&amp;"!A:A"),"承租人权益价值",INDIRECT("'"&amp;G2&amp;"'"&amp;"!c:c"))</f>
        <v>-182</v>
      </c>
      <c r="F2" s="2385" t="str">
        <f>C2</f>
        <v>万元</v>
      </c>
      <c r="G2" s="2386" t="s">
        <v>2827</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1304</v>
      </c>
      <c r="B3" s="593">
        <f>ROUND(IF(D2="——",C50,IF(C2="万元",B2*10000/D3,B2/D3)),0)</f>
        <v>4</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60" t="s">
        <v>2348</v>
      </c>
      <c r="Q4" s="3019"/>
      <c r="R4" s="3024" t="s">
        <v>2344</v>
      </c>
      <c r="S4" s="3025"/>
      <c r="T4" s="3024" t="s">
        <v>2345</v>
      </c>
      <c r="U4" s="3025"/>
      <c r="V4" s="3030" t="s">
        <v>2346</v>
      </c>
      <c r="W4" s="3030"/>
      <c r="X4" s="2739"/>
      <c r="Y4" s="3024" t="s">
        <v>2348</v>
      </c>
      <c r="Z4" s="3025"/>
      <c r="AA4" s="3011" t="s">
        <v>2344</v>
      </c>
      <c r="AB4" s="3011" t="s">
        <v>2345</v>
      </c>
      <c r="AC4" s="3011" t="s">
        <v>2346</v>
      </c>
    </row>
    <row r="5" spans="1:29" ht="15">
      <c r="A5" s="383"/>
      <c r="B5" s="384"/>
      <c r="C5" s="3059" t="s">
        <v>2876</v>
      </c>
      <c r="D5" s="3034"/>
      <c r="E5" s="3063" t="s">
        <v>2876</v>
      </c>
      <c r="F5" s="3032"/>
      <c r="G5" s="3059" t="s">
        <v>2876</v>
      </c>
      <c r="H5" s="3034"/>
      <c r="I5" s="3059" t="s">
        <v>2876</v>
      </c>
      <c r="J5" s="3034"/>
      <c r="K5" s="594"/>
      <c r="L5" s="1242"/>
      <c r="M5" s="1243"/>
      <c r="N5" s="1243"/>
      <c r="O5" s="1243"/>
      <c r="P5" s="3061"/>
      <c r="Q5" s="3021"/>
      <c r="R5" s="3026"/>
      <c r="S5" s="3027"/>
      <c r="T5" s="3026"/>
      <c r="U5" s="3027"/>
      <c r="V5" s="3030"/>
      <c r="W5" s="3030"/>
      <c r="X5" s="273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62"/>
      <c r="Q6" s="3023"/>
      <c r="R6" s="3026"/>
      <c r="S6" s="3027"/>
      <c r="T6" s="3028"/>
      <c r="U6" s="3029"/>
      <c r="V6" s="3030"/>
      <c r="W6" s="3030"/>
      <c r="X6" s="2739"/>
      <c r="Y6" s="3028"/>
      <c r="Z6" s="3029"/>
      <c r="AA6" s="3013"/>
      <c r="AB6" s="3013"/>
      <c r="AC6" s="301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2356</v>
      </c>
      <c r="Q7" s="3048"/>
      <c r="R7" s="748" t="s">
        <v>25</v>
      </c>
      <c r="S7" s="749">
        <f t="shared" ref="S7:S15" si="0">F7</f>
        <v>100</v>
      </c>
      <c r="T7" s="748" t="s">
        <v>25</v>
      </c>
      <c r="U7" s="749">
        <f t="shared" ref="U7:U15" si="1">H7</f>
        <v>100</v>
      </c>
      <c r="V7" s="748" t="s">
        <v>25</v>
      </c>
      <c r="W7" s="749">
        <f t="shared" ref="W7:W15" si="2">J7</f>
        <v>100</v>
      </c>
      <c r="X7" s="750"/>
      <c r="Y7" s="3046" t="s">
        <v>2356</v>
      </c>
      <c r="Z7" s="3047"/>
      <c r="AA7" s="751">
        <f>D7/F7</f>
        <v>1</v>
      </c>
      <c r="AB7" s="751">
        <f>D7/H7</f>
        <v>1</v>
      </c>
      <c r="AC7" s="751">
        <f>D7/J7</f>
        <v>1</v>
      </c>
    </row>
    <row r="8" spans="1:29" s="35" customFormat="1" ht="15.75" thickBot="1">
      <c r="A8" s="387" t="s">
        <v>2357</v>
      </c>
      <c r="B8" s="388"/>
      <c r="C8" s="394" t="s">
        <v>2358</v>
      </c>
      <c r="D8" s="390">
        <v>100</v>
      </c>
      <c r="E8" s="394" t="s">
        <v>2828</v>
      </c>
      <c r="F8" s="392">
        <f>SUMIF(62:62,E8,63:63)-SUMIF(62:62,C8,63:63)+100</f>
        <v>100</v>
      </c>
      <c r="G8" s="394" t="s">
        <v>2828</v>
      </c>
      <c r="H8" s="390">
        <f>SUMIF(62:62,G8,63:63)-SUMIF(62:62,C8,63:63)+100</f>
        <v>100</v>
      </c>
      <c r="I8" s="394" t="s">
        <v>2828</v>
      </c>
      <c r="J8" s="390">
        <f>SUMIF(62:62,I8,63:63)-SUMIF(62:62,C8,63:63)+100</f>
        <v>100</v>
      </c>
      <c r="K8" s="595"/>
      <c r="L8" s="1244"/>
      <c r="M8" s="1245"/>
      <c r="N8" s="1245"/>
      <c r="O8" s="1245"/>
      <c r="P8" s="3048" t="s">
        <v>2359</v>
      </c>
      <c r="Q8" s="3047"/>
      <c r="R8" s="748" t="s">
        <v>25</v>
      </c>
      <c r="S8" s="749">
        <f t="shared" si="0"/>
        <v>100</v>
      </c>
      <c r="T8" s="748" t="s">
        <v>25</v>
      </c>
      <c r="U8" s="749">
        <f t="shared" si="1"/>
        <v>100</v>
      </c>
      <c r="V8" s="748" t="s">
        <v>25</v>
      </c>
      <c r="W8" s="749">
        <f t="shared" si="2"/>
        <v>100</v>
      </c>
      <c r="X8" s="750"/>
      <c r="Y8" s="3046" t="s">
        <v>2359</v>
      </c>
      <c r="Z8" s="3047"/>
      <c r="AA8" s="751">
        <f t="shared" ref="AA8:AA47" si="3">D8/F8</f>
        <v>1</v>
      </c>
      <c r="AB8" s="751">
        <f t="shared" ref="AB8:AB47" si="4">D8/H8</f>
        <v>1</v>
      </c>
      <c r="AC8" s="751">
        <f t="shared" ref="AC8:AC47" si="5">D8/J8</f>
        <v>1</v>
      </c>
    </row>
    <row r="9" spans="1:29" s="35" customFormat="1">
      <c r="A9" s="395" t="s">
        <v>2360</v>
      </c>
      <c r="B9" s="28" t="s">
        <v>2361</v>
      </c>
      <c r="C9" s="2743" t="s">
        <v>2829</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57" t="s">
        <v>2362</v>
      </c>
      <c r="Q9" s="2734"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2735" t="s">
        <v>2364</v>
      </c>
      <c r="C10" s="403" t="s">
        <v>2830</v>
      </c>
      <c r="D10" s="52">
        <v>100</v>
      </c>
      <c r="E10" s="403" t="s">
        <v>2830</v>
      </c>
      <c r="F10" s="52">
        <f>SUMIF(66:66,E10,67:67)-SUMIF(66:66,C10,67:67)+100</f>
        <v>100</v>
      </c>
      <c r="G10" s="404" t="s">
        <v>2830</v>
      </c>
      <c r="H10" s="52">
        <f>SUMIF(66:66,G10,67:67)-SUMIF(66:66,C10,67:67)+100</f>
        <v>100</v>
      </c>
      <c r="I10" s="403" t="s">
        <v>2830</v>
      </c>
      <c r="J10" s="52">
        <f>SUMIF(66:66,I10,67:67)-SUMIF(66:66,C10,67:67)+100</f>
        <v>100</v>
      </c>
      <c r="K10" s="596">
        <v>2</v>
      </c>
      <c r="L10" s="1247"/>
      <c r="M10" s="1248"/>
      <c r="N10" s="1248"/>
      <c r="O10" s="1248"/>
      <c r="P10" s="3057"/>
      <c r="Q10" s="2734"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735"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2734"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2734">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2734">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2734">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2367</v>
      </c>
      <c r="Q15" s="2738" t="str">
        <f t="shared" si="6"/>
        <v>办公集聚程度</v>
      </c>
      <c r="R15" s="752" t="s">
        <v>25</v>
      </c>
      <c r="S15" s="753">
        <f t="shared" si="0"/>
        <v>100</v>
      </c>
      <c r="T15" s="752" t="s">
        <v>25</v>
      </c>
      <c r="U15" s="753">
        <f t="shared" si="1"/>
        <v>100</v>
      </c>
      <c r="V15" s="752" t="s">
        <v>25</v>
      </c>
      <c r="W15" s="753">
        <f t="shared" si="2"/>
        <v>100</v>
      </c>
      <c r="X15" s="2739"/>
      <c r="Y15" s="3039" t="s">
        <v>2367</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2738"/>
      <c r="R16" s="752"/>
      <c r="S16" s="753"/>
      <c r="T16" s="752"/>
      <c r="U16" s="753"/>
      <c r="V16" s="752"/>
      <c r="W16" s="753"/>
      <c r="X16" s="2739"/>
      <c r="Y16" s="3040"/>
      <c r="Z16" s="2740"/>
      <c r="AA16" s="2736">
        <v>1</v>
      </c>
      <c r="AB16" s="2736">
        <v>1</v>
      </c>
      <c r="AC16" s="2736">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2738" t="str">
        <f>B17</f>
        <v>交通便捷度</v>
      </c>
      <c r="R17" s="752" t="s">
        <v>25</v>
      </c>
      <c r="S17" s="753">
        <f>F17</f>
        <v>100</v>
      </c>
      <c r="T17" s="752" t="s">
        <v>25</v>
      </c>
      <c r="U17" s="753">
        <f>H17</f>
        <v>100</v>
      </c>
      <c r="V17" s="752" t="s">
        <v>25</v>
      </c>
      <c r="W17" s="753">
        <f>J17</f>
        <v>100</v>
      </c>
      <c r="X17" s="2739"/>
      <c r="Y17" s="3040"/>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2738"/>
      <c r="R18" s="752"/>
      <c r="S18" s="753"/>
      <c r="T18" s="752"/>
      <c r="U18" s="753"/>
      <c r="V18" s="752"/>
      <c r="W18" s="753"/>
      <c r="X18" s="2739"/>
      <c r="Y18" s="3040"/>
      <c r="Z18" s="2740"/>
      <c r="AA18" s="2736">
        <v>1</v>
      </c>
      <c r="AB18" s="2736">
        <v>1</v>
      </c>
      <c r="AC18" s="2736">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2738" t="str">
        <f>B19</f>
        <v>公共配套设施</v>
      </c>
      <c r="R19" s="752" t="s">
        <v>25</v>
      </c>
      <c r="S19" s="753">
        <f>F19</f>
        <v>100</v>
      </c>
      <c r="T19" s="752" t="s">
        <v>25</v>
      </c>
      <c r="U19" s="753">
        <f>H19</f>
        <v>100</v>
      </c>
      <c r="V19" s="752" t="s">
        <v>25</v>
      </c>
      <c r="W19" s="753">
        <f>J19</f>
        <v>100</v>
      </c>
      <c r="X19" s="2739"/>
      <c r="Y19" s="3040"/>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2738"/>
      <c r="R20" s="752"/>
      <c r="S20" s="753"/>
      <c r="T20" s="752"/>
      <c r="U20" s="753"/>
      <c r="V20" s="752"/>
      <c r="W20" s="753"/>
      <c r="X20" s="2739"/>
      <c r="Y20" s="3040"/>
      <c r="Z20" s="2740"/>
      <c r="AA20" s="2736">
        <v>1</v>
      </c>
      <c r="AB20" s="2736">
        <v>1</v>
      </c>
      <c r="AC20" s="2736">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2738" t="str">
        <f>B21</f>
        <v>基础设施水平</v>
      </c>
      <c r="R21" s="752" t="s">
        <v>25</v>
      </c>
      <c r="S21" s="753">
        <f>F21</f>
        <v>100</v>
      </c>
      <c r="T21" s="752" t="s">
        <v>25</v>
      </c>
      <c r="U21" s="753">
        <f>H21</f>
        <v>100</v>
      </c>
      <c r="V21" s="752" t="s">
        <v>25</v>
      </c>
      <c r="W21" s="753">
        <f>J21</f>
        <v>100</v>
      </c>
      <c r="X21" s="2739"/>
      <c r="Y21" s="3040"/>
      <c r="Z21" s="2740" t="str">
        <f>Q21</f>
        <v>基础设施水平</v>
      </c>
      <c r="AA21" s="2736">
        <f t="shared" ref="AA21" si="8">D21/F21</f>
        <v>1</v>
      </c>
      <c r="AB21" s="2736">
        <f t="shared" ref="AB21" si="9">D21/H21</f>
        <v>1</v>
      </c>
      <c r="AC21" s="2736">
        <f t="shared" ref="AC21" si="10">D21/J21</f>
        <v>1</v>
      </c>
    </row>
    <row r="22" spans="1:29" ht="15">
      <c r="A22" s="408"/>
      <c r="B22" s="617"/>
      <c r="C22" s="2469" t="s">
        <v>2869</v>
      </c>
      <c r="D22" s="427"/>
      <c r="E22" s="426" t="s">
        <v>2869</v>
      </c>
      <c r="F22" s="427"/>
      <c r="G22" s="1471" t="s">
        <v>2869</v>
      </c>
      <c r="H22" s="427"/>
      <c r="I22" s="1471" t="s">
        <v>2869</v>
      </c>
      <c r="J22" s="427"/>
      <c r="K22" s="1468"/>
      <c r="L22" s="1252"/>
      <c r="M22" s="1243"/>
      <c r="N22" s="1243"/>
      <c r="O22" s="1243"/>
      <c r="P22" s="3021"/>
      <c r="Q22" s="2738"/>
      <c r="R22" s="752"/>
      <c r="S22" s="753"/>
      <c r="T22" s="752"/>
      <c r="U22" s="753"/>
      <c r="V22" s="752"/>
      <c r="W22" s="753"/>
      <c r="X22" s="2739"/>
      <c r="Y22" s="3040"/>
      <c r="Z22" s="2740"/>
      <c r="AA22" s="2736">
        <v>1</v>
      </c>
      <c r="AB22" s="2736">
        <v>1</v>
      </c>
      <c r="AC22" s="2736">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2738" t="str">
        <f>B23</f>
        <v>环境质量</v>
      </c>
      <c r="R23" s="752" t="s">
        <v>25</v>
      </c>
      <c r="S23" s="753">
        <f>F23</f>
        <v>100</v>
      </c>
      <c r="T23" s="752" t="s">
        <v>25</v>
      </c>
      <c r="U23" s="753">
        <f>H23</f>
        <v>100</v>
      </c>
      <c r="V23" s="752" t="s">
        <v>25</v>
      </c>
      <c r="W23" s="753">
        <f>J23</f>
        <v>100</v>
      </c>
      <c r="X23" s="2739"/>
      <c r="Y23" s="3040"/>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2738"/>
      <c r="R24" s="752"/>
      <c r="S24" s="753"/>
      <c r="T24" s="752"/>
      <c r="U24" s="753"/>
      <c r="V24" s="752"/>
      <c r="W24" s="753"/>
      <c r="X24" s="2739"/>
      <c r="Y24" s="3040"/>
      <c r="Z24" s="2740"/>
      <c r="AA24" s="2736">
        <v>1</v>
      </c>
      <c r="AB24" s="2736">
        <v>1</v>
      </c>
      <c r="AC24" s="2736">
        <v>1</v>
      </c>
    </row>
    <row r="25" spans="1:29" ht="27">
      <c r="A25" s="383"/>
      <c r="B25" s="615" t="s">
        <v>2485</v>
      </c>
      <c r="C25" s="2749" t="s">
        <v>2875</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2738" t="str">
        <f>B25</f>
        <v>毗邻道路的类型与等级</v>
      </c>
      <c r="R25" s="752" t="s">
        <v>25</v>
      </c>
      <c r="S25" s="753">
        <f>F25</f>
        <v>100</v>
      </c>
      <c r="T25" s="752" t="s">
        <v>25</v>
      </c>
      <c r="U25" s="753">
        <f>H25</f>
        <v>100</v>
      </c>
      <c r="V25" s="752" t="s">
        <v>25</v>
      </c>
      <c r="W25" s="753">
        <f>J25</f>
        <v>100</v>
      </c>
      <c r="X25" s="2739"/>
      <c r="Y25" s="3040"/>
      <c r="Z25" s="2740" t="str">
        <f>Q25</f>
        <v>毗邻道路的类型与等级</v>
      </c>
      <c r="AA25" s="2736">
        <f t="shared" si="3"/>
        <v>1</v>
      </c>
      <c r="AB25" s="2736">
        <f t="shared" si="4"/>
        <v>1</v>
      </c>
      <c r="AC25" s="2736">
        <f t="shared" si="5"/>
        <v>1</v>
      </c>
    </row>
    <row r="26" spans="1:29" ht="15">
      <c r="A26" s="383"/>
      <c r="B26" s="616"/>
      <c r="C26" s="618" t="s">
        <v>2834</v>
      </c>
      <c r="D26" s="415"/>
      <c r="E26" s="600" t="s">
        <v>2834</v>
      </c>
      <c r="F26" s="415"/>
      <c r="G26" s="618" t="s">
        <v>2834</v>
      </c>
      <c r="H26" s="415"/>
      <c r="I26" s="600" t="s">
        <v>2834</v>
      </c>
      <c r="J26" s="415"/>
      <c r="K26" s="599"/>
      <c r="L26" s="1252"/>
      <c r="M26" s="1243"/>
      <c r="N26" s="1243"/>
      <c r="O26" s="1243"/>
      <c r="P26" s="3021"/>
      <c r="Q26" s="2738"/>
      <c r="R26" s="752"/>
      <c r="S26" s="753"/>
      <c r="T26" s="752"/>
      <c r="U26" s="753"/>
      <c r="V26" s="752"/>
      <c r="W26" s="753"/>
      <c r="X26" s="2739"/>
      <c r="Y26" s="3040"/>
      <c r="Z26" s="2740"/>
      <c r="AA26" s="2736">
        <v>1</v>
      </c>
      <c r="AB26" s="2736">
        <v>1</v>
      </c>
      <c r="AC26" s="2736">
        <v>1</v>
      </c>
    </row>
    <row r="27" spans="1:29" ht="15">
      <c r="A27" s="408"/>
      <c r="B27" s="616" t="s">
        <v>2458</v>
      </c>
      <c r="C27" s="618" t="s">
        <v>2838</v>
      </c>
      <c r="D27" s="415">
        <v>100</v>
      </c>
      <c r="E27" s="600" t="s">
        <v>2838</v>
      </c>
      <c r="F27" s="415">
        <f>SUMIF(89:89,E27,90:90)-SUMIF(89:89,C27,90:90)+100</f>
        <v>100</v>
      </c>
      <c r="G27" s="618" t="s">
        <v>2840</v>
      </c>
      <c r="H27" s="415">
        <f>SUMIF(89:89,G27,90:90)-SUMIF(89:89,C27,90:90)+100</f>
        <v>98</v>
      </c>
      <c r="I27" s="600" t="s">
        <v>2838</v>
      </c>
      <c r="J27" s="415">
        <f>SUMIF(89:89,I27,90:90)-SUMIF(89:89,C27,90:90)+100</f>
        <v>100</v>
      </c>
      <c r="K27" s="596">
        <v>2</v>
      </c>
      <c r="L27" s="1252"/>
      <c r="M27" s="1243"/>
      <c r="N27" s="1243"/>
      <c r="O27" s="1243"/>
      <c r="P27" s="3021"/>
      <c r="Q27" s="2738" t="str">
        <f t="shared" ref="Q27:Q47" si="11">B27</f>
        <v>楼层</v>
      </c>
      <c r="R27" s="752" t="s">
        <v>25</v>
      </c>
      <c r="S27" s="753">
        <f>F27</f>
        <v>100</v>
      </c>
      <c r="T27" s="752" t="s">
        <v>25</v>
      </c>
      <c r="U27" s="753">
        <f>H27</f>
        <v>98</v>
      </c>
      <c r="V27" s="752" t="s">
        <v>25</v>
      </c>
      <c r="W27" s="753">
        <f>J27</f>
        <v>100</v>
      </c>
      <c r="X27" s="2739"/>
      <c r="Y27" s="3040"/>
      <c r="Z27" s="2740" t="str">
        <f>Q27</f>
        <v>楼层</v>
      </c>
      <c r="AA27" s="2736">
        <f t="shared" si="3"/>
        <v>1</v>
      </c>
      <c r="AB27" s="2736">
        <f t="shared" si="4"/>
        <v>1.0204081632653061</v>
      </c>
      <c r="AC27" s="2736">
        <f t="shared" si="5"/>
        <v>1</v>
      </c>
    </row>
    <row r="28" spans="1:29" s="35" customFormat="1" ht="15">
      <c r="A28" s="411"/>
      <c r="B28" s="615" t="s">
        <v>2486</v>
      </c>
      <c r="C28" s="2471" t="s">
        <v>2852</v>
      </c>
      <c r="D28" s="443">
        <v>100</v>
      </c>
      <c r="E28" s="2458" t="s">
        <v>2850</v>
      </c>
      <c r="F28" s="443">
        <f>SUMIF(91:91,E28,92:92)-SUMIF(91:91,C28,92:92)+100</f>
        <v>100.5</v>
      </c>
      <c r="G28" s="2471" t="s">
        <v>2882</v>
      </c>
      <c r="H28" s="443">
        <f>SUMIF(91:91,G28,92:92)-SUMIF(91:91,C28,92:92)+100</f>
        <v>102.5</v>
      </c>
      <c r="I28" s="2458" t="s">
        <v>2882</v>
      </c>
      <c r="J28" s="443">
        <f>SUMIF(91:91,I28,92:92)-SUMIF(91:91,C28,92:92)+100</f>
        <v>102.5</v>
      </c>
      <c r="K28" s="596">
        <v>0.5</v>
      </c>
      <c r="L28" s="1244"/>
      <c r="M28" s="1245"/>
      <c r="N28" s="1245"/>
      <c r="O28" s="1245"/>
      <c r="P28" s="3021"/>
      <c r="Q28" s="2734" t="str">
        <f t="shared" si="11"/>
        <v>朝向</v>
      </c>
      <c r="R28" s="748" t="s">
        <v>25</v>
      </c>
      <c r="S28" s="749">
        <f>F28</f>
        <v>100.5</v>
      </c>
      <c r="T28" s="748" t="s">
        <v>25</v>
      </c>
      <c r="U28" s="749">
        <f>H28</f>
        <v>102.5</v>
      </c>
      <c r="V28" s="748" t="s">
        <v>25</v>
      </c>
      <c r="W28" s="749">
        <f>J28</f>
        <v>102.5</v>
      </c>
      <c r="X28" s="750"/>
      <c r="Y28" s="3040"/>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2738">
        <f t="shared" si="11"/>
        <v>111</v>
      </c>
      <c r="R29" s="752" t="s">
        <v>25</v>
      </c>
      <c r="S29" s="753">
        <f t="shared" ref="S29:S47" si="12">F29</f>
        <v>100</v>
      </c>
      <c r="T29" s="752" t="s">
        <v>25</v>
      </c>
      <c r="U29" s="753">
        <f t="shared" ref="U29:U47" si="13">H29</f>
        <v>100</v>
      </c>
      <c r="V29" s="752" t="s">
        <v>25</v>
      </c>
      <c r="W29" s="753">
        <f t="shared" ref="W29:W47" si="14">J29</f>
        <v>100</v>
      </c>
      <c r="X29" s="2739"/>
      <c r="Y29" s="3040"/>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2738">
        <f t="shared" si="11"/>
        <v>111</v>
      </c>
      <c r="R30" s="752" t="s">
        <v>25</v>
      </c>
      <c r="S30" s="753">
        <f t="shared" si="12"/>
        <v>100</v>
      </c>
      <c r="T30" s="752" t="s">
        <v>25</v>
      </c>
      <c r="U30" s="753">
        <f t="shared" si="13"/>
        <v>100</v>
      </c>
      <c r="V30" s="752" t="s">
        <v>25</v>
      </c>
      <c r="W30" s="753">
        <f t="shared" si="14"/>
        <v>100</v>
      </c>
      <c r="X30" s="2739"/>
      <c r="Y30" s="3040"/>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2738">
        <f t="shared" si="11"/>
        <v>111</v>
      </c>
      <c r="R31" s="752" t="s">
        <v>25</v>
      </c>
      <c r="S31" s="753">
        <f t="shared" si="12"/>
        <v>100</v>
      </c>
      <c r="T31" s="752" t="s">
        <v>25</v>
      </c>
      <c r="U31" s="753">
        <f t="shared" si="13"/>
        <v>100</v>
      </c>
      <c r="V31" s="752" t="s">
        <v>25</v>
      </c>
      <c r="W31" s="753">
        <f t="shared" si="14"/>
        <v>100</v>
      </c>
      <c r="X31" s="2739"/>
      <c r="Y31" s="3040"/>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2738">
        <f t="shared" si="11"/>
        <v>111</v>
      </c>
      <c r="R32" s="752" t="s">
        <v>25</v>
      </c>
      <c r="S32" s="753">
        <f t="shared" si="12"/>
        <v>100</v>
      </c>
      <c r="T32" s="752" t="s">
        <v>25</v>
      </c>
      <c r="U32" s="753">
        <f t="shared" si="13"/>
        <v>100</v>
      </c>
      <c r="V32" s="752" t="s">
        <v>25</v>
      </c>
      <c r="W32" s="753">
        <f t="shared" si="14"/>
        <v>100</v>
      </c>
      <c r="X32" s="2739"/>
      <c r="Y32" s="3040"/>
      <c r="Z32" s="2740">
        <f t="shared" si="15"/>
        <v>111</v>
      </c>
      <c r="AA32" s="2736">
        <f t="shared" si="3"/>
        <v>1</v>
      </c>
      <c r="AB32" s="2736">
        <f t="shared" si="4"/>
        <v>1</v>
      </c>
      <c r="AC32" s="2736">
        <f t="shared" si="5"/>
        <v>1</v>
      </c>
    </row>
    <row r="33" spans="1:29" ht="15">
      <c r="A33" s="419" t="s">
        <v>2371</v>
      </c>
      <c r="B33" s="28" t="s">
        <v>2487</v>
      </c>
      <c r="C33" s="2473" t="s">
        <v>2888</v>
      </c>
      <c r="D33" s="448">
        <v>100</v>
      </c>
      <c r="E33" s="2473" t="s">
        <v>2888</v>
      </c>
      <c r="F33" s="442">
        <f>SUMIF(101:101,E33,102:102)-SUMIF(101:101,C33,102:102)+100</f>
        <v>100</v>
      </c>
      <c r="G33" s="2473" t="s">
        <v>2888</v>
      </c>
      <c r="H33" s="415">
        <f>SUMIF(101:101,G33,102:102)-SUMIF(101:101,C33,102:102)+100</f>
        <v>100</v>
      </c>
      <c r="I33" s="2473" t="s">
        <v>2888</v>
      </c>
      <c r="J33" s="448">
        <f>SUMIF(101:101,I33,102:102)-SUMIF(101:101,C33,102:102)+100</f>
        <v>100</v>
      </c>
      <c r="K33" s="596">
        <v>2</v>
      </c>
      <c r="L33" s="1252"/>
      <c r="M33" s="1243"/>
      <c r="N33" s="1243"/>
      <c r="O33" s="1243"/>
      <c r="P33" s="3064" t="s">
        <v>2373</v>
      </c>
      <c r="Q33" s="2738" t="str">
        <f t="shared" si="11"/>
        <v>建筑类型</v>
      </c>
      <c r="R33" s="752" t="s">
        <v>25</v>
      </c>
      <c r="S33" s="753">
        <f t="shared" si="12"/>
        <v>100</v>
      </c>
      <c r="T33" s="752" t="s">
        <v>25</v>
      </c>
      <c r="U33" s="753">
        <f t="shared" si="13"/>
        <v>100</v>
      </c>
      <c r="V33" s="752" t="s">
        <v>25</v>
      </c>
      <c r="W33" s="753">
        <f t="shared" si="14"/>
        <v>100</v>
      </c>
      <c r="X33" s="2739"/>
      <c r="Y33" s="3044" t="s">
        <v>2373</v>
      </c>
      <c r="Z33" s="2740" t="str">
        <f t="shared" si="15"/>
        <v>建筑类型</v>
      </c>
      <c r="AA33" s="2736">
        <f t="shared" si="3"/>
        <v>1</v>
      </c>
      <c r="AB33" s="2736">
        <f t="shared" si="4"/>
        <v>1</v>
      </c>
      <c r="AC33" s="2736">
        <f t="shared" si="5"/>
        <v>1</v>
      </c>
    </row>
    <row r="34" spans="1:29" s="452" customFormat="1" ht="15">
      <c r="A34" s="449"/>
      <c r="B34" s="2735" t="s">
        <v>2374</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100</v>
      </c>
      <c r="X34" s="757"/>
      <c r="Y34" s="3044"/>
      <c r="Z34" s="758" t="str">
        <f t="shared" si="15"/>
        <v>项目建筑规模</v>
      </c>
      <c r="AA34" s="2736">
        <f t="shared" si="3"/>
        <v>1</v>
      </c>
      <c r="AB34" s="2736">
        <f t="shared" si="4"/>
        <v>1</v>
      </c>
      <c r="AC34" s="2736">
        <f t="shared" si="5"/>
        <v>1</v>
      </c>
    </row>
    <row r="35" spans="1:29" ht="15">
      <c r="A35" s="453"/>
      <c r="B35" s="2735" t="s">
        <v>2375</v>
      </c>
      <c r="C35" s="441" t="s">
        <v>2857</v>
      </c>
      <c r="D35" s="415">
        <v>100</v>
      </c>
      <c r="E35" s="441" t="s">
        <v>2857</v>
      </c>
      <c r="F35" s="442">
        <f>SUMIF(106:106,E35,107:107)-SUMIF(106:106,C35,107:107)+100</f>
        <v>100</v>
      </c>
      <c r="G35" s="441" t="s">
        <v>2857</v>
      </c>
      <c r="H35" s="415">
        <f>SUMIF(106:106,G35,107:107)-SUMIF(106:106,C35,107:107)+100</f>
        <v>100</v>
      </c>
      <c r="I35" s="441" t="s">
        <v>2857</v>
      </c>
      <c r="J35" s="415">
        <f>SUMIF(106:106,I35,107:107)-SUMIF(106:106,C35,107:107)+100</f>
        <v>100</v>
      </c>
      <c r="K35" s="596">
        <v>2</v>
      </c>
      <c r="L35" s="1252"/>
      <c r="M35" s="1243"/>
      <c r="N35" s="1243"/>
      <c r="O35" s="1243"/>
      <c r="P35" s="3065"/>
      <c r="Q35" s="2738" t="str">
        <f t="shared" si="11"/>
        <v>建筑结构</v>
      </c>
      <c r="R35" s="752" t="s">
        <v>25</v>
      </c>
      <c r="S35" s="753">
        <f t="shared" si="12"/>
        <v>100</v>
      </c>
      <c r="T35" s="752" t="s">
        <v>25</v>
      </c>
      <c r="U35" s="753">
        <f t="shared" si="13"/>
        <v>100</v>
      </c>
      <c r="V35" s="752" t="s">
        <v>25</v>
      </c>
      <c r="W35" s="753">
        <f t="shared" si="14"/>
        <v>100</v>
      </c>
      <c r="X35" s="2739"/>
      <c r="Y35" s="3044"/>
      <c r="Z35" s="2740" t="str">
        <f t="shared" si="15"/>
        <v>建筑结构</v>
      </c>
      <c r="AA35" s="2736">
        <f t="shared" si="3"/>
        <v>1</v>
      </c>
      <c r="AB35" s="2736">
        <f t="shared" si="4"/>
        <v>1</v>
      </c>
      <c r="AC35" s="2736">
        <f t="shared" si="5"/>
        <v>1</v>
      </c>
    </row>
    <row r="36" spans="1:29" ht="15">
      <c r="A36" s="453"/>
      <c r="B36" s="2735" t="s">
        <v>2460</v>
      </c>
      <c r="C36" s="441" t="s">
        <v>2860</v>
      </c>
      <c r="D36" s="415">
        <v>100</v>
      </c>
      <c r="E36" s="441" t="s">
        <v>2860</v>
      </c>
      <c r="F36" s="442">
        <f>SUMIF(108:108,E36,109:109)-SUMIF(108:108,C36,109:109)+100</f>
        <v>100</v>
      </c>
      <c r="G36" s="441" t="s">
        <v>2860</v>
      </c>
      <c r="H36" s="415">
        <f>SUMIF(108:108,G36,109:109)-SUMIF(108:108,C36,109:109)+100</f>
        <v>100</v>
      </c>
      <c r="I36" s="441" t="s">
        <v>2860</v>
      </c>
      <c r="J36" s="415">
        <f>SUMIF(108:108,I36,109:109)-SUMIF(108:108,C36,109:109)+100</f>
        <v>100</v>
      </c>
      <c r="K36" s="596"/>
      <c r="L36" s="1252"/>
      <c r="M36" s="1243"/>
      <c r="N36" s="1243"/>
      <c r="O36" s="1243"/>
      <c r="P36" s="3065"/>
      <c r="Q36" s="2738" t="str">
        <f t="shared" si="11"/>
        <v>公共部分装修</v>
      </c>
      <c r="R36" s="752" t="s">
        <v>25</v>
      </c>
      <c r="S36" s="753">
        <f t="shared" si="12"/>
        <v>100</v>
      </c>
      <c r="T36" s="752" t="s">
        <v>25</v>
      </c>
      <c r="U36" s="753">
        <f t="shared" si="13"/>
        <v>100</v>
      </c>
      <c r="V36" s="752" t="s">
        <v>25</v>
      </c>
      <c r="W36" s="753">
        <f t="shared" si="14"/>
        <v>100</v>
      </c>
      <c r="X36" s="2739"/>
      <c r="Y36" s="3044"/>
      <c r="Z36" s="2740" t="str">
        <f t="shared" si="15"/>
        <v>公共部分装修</v>
      </c>
      <c r="AA36" s="2736">
        <f t="shared" si="3"/>
        <v>1</v>
      </c>
      <c r="AB36" s="2736">
        <f t="shared" si="4"/>
        <v>1</v>
      </c>
      <c r="AC36" s="2736">
        <f t="shared" si="5"/>
        <v>1</v>
      </c>
    </row>
    <row r="37" spans="1:29" ht="15">
      <c r="A37" s="453"/>
      <c r="B37" s="2735"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5"/>
      <c r="Q37" s="2738" t="str">
        <f t="shared" si="11"/>
        <v>成新度</v>
      </c>
      <c r="R37" s="752" t="s">
        <v>25</v>
      </c>
      <c r="S37" s="753">
        <f t="shared" si="12"/>
        <v>100</v>
      </c>
      <c r="T37" s="752" t="s">
        <v>25</v>
      </c>
      <c r="U37" s="753">
        <f t="shared" si="13"/>
        <v>100</v>
      </c>
      <c r="V37" s="752" t="s">
        <v>25</v>
      </c>
      <c r="W37" s="753">
        <f t="shared" si="14"/>
        <v>100</v>
      </c>
      <c r="X37" s="2739"/>
      <c r="Y37" s="3044"/>
      <c r="Z37" s="2740" t="str">
        <f t="shared" si="15"/>
        <v>成新度</v>
      </c>
      <c r="AA37" s="2736">
        <f t="shared" si="3"/>
        <v>1</v>
      </c>
      <c r="AB37" s="2736">
        <f t="shared" si="4"/>
        <v>1</v>
      </c>
      <c r="AC37" s="2736">
        <f t="shared" si="5"/>
        <v>1</v>
      </c>
    </row>
    <row r="38" spans="1:29" s="35" customFormat="1" ht="15" hidden="1">
      <c r="A38" s="454"/>
      <c r="B38" s="2735"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2734"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2735" t="s">
        <v>2489</v>
      </c>
      <c r="C39" s="441" t="s">
        <v>2865</v>
      </c>
      <c r="D39" s="415">
        <v>100</v>
      </c>
      <c r="E39" s="441" t="s">
        <v>2865</v>
      </c>
      <c r="F39" s="442">
        <f>SUMIF(115:115,E39,116:116)-SUMIF(115:115,C39,116:116)+100</f>
        <v>100</v>
      </c>
      <c r="G39" s="441" t="s">
        <v>2865</v>
      </c>
      <c r="H39" s="415">
        <f>SUMIF(115:115,G39,116:116)-SUMIF(115:115,C39,116:116)+100</f>
        <v>100</v>
      </c>
      <c r="I39" s="441" t="s">
        <v>2865</v>
      </c>
      <c r="J39" s="415">
        <f>SUMIF(115:115,I39,116:116)-SUMIF(115:115,C39,116:116)+100</f>
        <v>100</v>
      </c>
      <c r="K39" s="596">
        <v>2</v>
      </c>
      <c r="L39" s="1252"/>
      <c r="M39" s="1243"/>
      <c r="N39" s="1243"/>
      <c r="O39" s="1243"/>
      <c r="P39" s="3065" t="s">
        <v>2373</v>
      </c>
      <c r="Q39" s="2738" t="str">
        <f t="shared" si="11"/>
        <v>物业管理</v>
      </c>
      <c r="R39" s="752" t="s">
        <v>25</v>
      </c>
      <c r="S39" s="753">
        <f t="shared" si="12"/>
        <v>100</v>
      </c>
      <c r="T39" s="752" t="s">
        <v>25</v>
      </c>
      <c r="U39" s="753">
        <f t="shared" si="13"/>
        <v>100</v>
      </c>
      <c r="V39" s="752" t="s">
        <v>25</v>
      </c>
      <c r="W39" s="753">
        <f t="shared" si="14"/>
        <v>100</v>
      </c>
      <c r="X39" s="2739"/>
      <c r="Y39" s="3044" t="s">
        <v>2373</v>
      </c>
      <c r="Z39" s="2740" t="str">
        <f t="shared" si="15"/>
        <v>物业管理</v>
      </c>
      <c r="AA39" s="2736">
        <f t="shared" si="3"/>
        <v>1</v>
      </c>
      <c r="AB39" s="2736">
        <f t="shared" si="4"/>
        <v>1</v>
      </c>
      <c r="AC39" s="2736">
        <f t="shared" si="5"/>
        <v>1</v>
      </c>
    </row>
    <row r="40" spans="1:29" ht="15">
      <c r="A40" s="453"/>
      <c r="B40" s="2735" t="s">
        <v>2462</v>
      </c>
      <c r="C40" s="441" t="s">
        <v>2869</v>
      </c>
      <c r="D40" s="415">
        <v>100</v>
      </c>
      <c r="E40" s="441" t="s">
        <v>2869</v>
      </c>
      <c r="F40" s="442">
        <f>SUMIF(117:117,E40,118:118)-SUMIF(117:117,C40,118:118)+100</f>
        <v>100</v>
      </c>
      <c r="G40" s="441" t="s">
        <v>2869</v>
      </c>
      <c r="H40" s="415">
        <f>SUMIF(117:117,G40,118:118)-SUMIF(117:117,C40,118:118)+100</f>
        <v>100</v>
      </c>
      <c r="I40" s="441" t="s">
        <v>2869</v>
      </c>
      <c r="J40" s="415">
        <f>SUMIF(117:117,I40,118:118)-SUMIF(117:117,C40,118:118)+100</f>
        <v>100</v>
      </c>
      <c r="K40" s="596">
        <v>2</v>
      </c>
      <c r="L40" s="1252"/>
      <c r="M40" s="1243"/>
      <c r="N40" s="1243"/>
      <c r="O40" s="1243"/>
      <c r="P40" s="3065"/>
      <c r="Q40" s="2738" t="str">
        <f t="shared" si="11"/>
        <v>市政基础设施</v>
      </c>
      <c r="R40" s="752" t="s">
        <v>25</v>
      </c>
      <c r="S40" s="753">
        <f t="shared" si="12"/>
        <v>100</v>
      </c>
      <c r="T40" s="752" t="s">
        <v>25</v>
      </c>
      <c r="U40" s="753">
        <f t="shared" si="13"/>
        <v>100</v>
      </c>
      <c r="V40" s="752" t="s">
        <v>25</v>
      </c>
      <c r="W40" s="753">
        <f t="shared" si="14"/>
        <v>100</v>
      </c>
      <c r="X40" s="2739"/>
      <c r="Y40" s="3044"/>
      <c r="Z40" s="2740" t="str">
        <f t="shared" si="15"/>
        <v>市政基础设施</v>
      </c>
      <c r="AA40" s="2736">
        <f t="shared" si="3"/>
        <v>1</v>
      </c>
      <c r="AB40" s="2736">
        <f t="shared" si="4"/>
        <v>1</v>
      </c>
      <c r="AC40" s="2736">
        <f t="shared" si="5"/>
        <v>1</v>
      </c>
    </row>
    <row r="41" spans="1:29" ht="15">
      <c r="A41" s="453"/>
      <c r="B41" s="2735" t="s">
        <v>2464</v>
      </c>
      <c r="C41" s="600" t="s">
        <v>2872</v>
      </c>
      <c r="D41" s="415">
        <v>100</v>
      </c>
      <c r="E41" s="600" t="s">
        <v>2872</v>
      </c>
      <c r="F41" s="442">
        <f>SUMIF(119:119,E41,120:120)-SUMIF(119:119,C41,120:120)+100</f>
        <v>100</v>
      </c>
      <c r="G41" s="600" t="s">
        <v>2872</v>
      </c>
      <c r="H41" s="415">
        <f>SUMIF(119:119,G41,120:120)-SUMIF(119:119,C41,120:120)+100</f>
        <v>100</v>
      </c>
      <c r="I41" s="600" t="s">
        <v>2872</v>
      </c>
      <c r="J41" s="415">
        <f>SUMIF(119:119,I41,120:120)-SUMIF(119:119,C41,120:120)+100</f>
        <v>100</v>
      </c>
      <c r="K41" s="596">
        <v>10</v>
      </c>
      <c r="L41" s="1252"/>
      <c r="M41" s="1243"/>
      <c r="N41" s="1243"/>
      <c r="O41" s="1243"/>
      <c r="P41" s="3065"/>
      <c r="Q41" s="2738" t="str">
        <f t="shared" si="11"/>
        <v>层高</v>
      </c>
      <c r="R41" s="752" t="s">
        <v>25</v>
      </c>
      <c r="S41" s="753">
        <f t="shared" si="12"/>
        <v>100</v>
      </c>
      <c r="T41" s="752" t="s">
        <v>25</v>
      </c>
      <c r="U41" s="753">
        <f t="shared" si="13"/>
        <v>100</v>
      </c>
      <c r="V41" s="752" t="s">
        <v>25</v>
      </c>
      <c r="W41" s="753">
        <f t="shared" si="14"/>
        <v>100</v>
      </c>
      <c r="X41" s="2739"/>
      <c r="Y41" s="3044"/>
      <c r="Z41" s="2740" t="str">
        <f t="shared" si="15"/>
        <v>层高</v>
      </c>
      <c r="AA41" s="2736">
        <f t="shared" si="3"/>
        <v>1</v>
      </c>
      <c r="AB41" s="2736">
        <f t="shared" si="4"/>
        <v>1</v>
      </c>
      <c r="AC41" s="2736">
        <f t="shared" si="5"/>
        <v>1</v>
      </c>
    </row>
    <row r="42" spans="1:29" s="452" customFormat="1" ht="15">
      <c r="A42" s="449"/>
      <c r="B42" s="2737"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2736">
        <f t="shared" si="3"/>
        <v>1</v>
      </c>
      <c r="AB42" s="2736">
        <f t="shared" si="4"/>
        <v>1</v>
      </c>
      <c r="AC42" s="2736">
        <f t="shared" si="5"/>
        <v>1</v>
      </c>
    </row>
    <row r="43" spans="1:29" ht="15">
      <c r="A43" s="453"/>
      <c r="B43" s="2735" t="s">
        <v>2467</v>
      </c>
      <c r="C43" s="441" t="s">
        <v>2860</v>
      </c>
      <c r="D43" s="415">
        <v>100</v>
      </c>
      <c r="E43" s="441" t="s">
        <v>2860</v>
      </c>
      <c r="F43" s="442">
        <f>SUMIF(123:123,E43,124:124)-SUMIF(123:123,C43,124:124)+100</f>
        <v>100</v>
      </c>
      <c r="G43" s="441" t="s">
        <v>2860</v>
      </c>
      <c r="H43" s="415">
        <f>SUMIF(123:123,G43,124:124)-SUMIF(123:123,C43,124:124)+100</f>
        <v>100</v>
      </c>
      <c r="I43" s="441" t="s">
        <v>2860</v>
      </c>
      <c r="J43" s="415">
        <f>SUMIF(123:123,I43,124:124)-SUMIF(123:123,C43,124:124)+100</f>
        <v>100</v>
      </c>
      <c r="K43" s="596">
        <v>2</v>
      </c>
      <c r="L43" s="1252"/>
      <c r="M43" s="1243"/>
      <c r="N43" s="1243"/>
      <c r="O43" s="1243"/>
      <c r="P43" s="3065"/>
      <c r="Q43" s="2738" t="str">
        <f t="shared" si="11"/>
        <v>内部装修</v>
      </c>
      <c r="R43" s="752" t="s">
        <v>25</v>
      </c>
      <c r="S43" s="753">
        <f t="shared" si="12"/>
        <v>100</v>
      </c>
      <c r="T43" s="752" t="s">
        <v>25</v>
      </c>
      <c r="U43" s="753">
        <f t="shared" si="13"/>
        <v>100</v>
      </c>
      <c r="V43" s="752" t="s">
        <v>25</v>
      </c>
      <c r="W43" s="753">
        <f t="shared" si="14"/>
        <v>100</v>
      </c>
      <c r="X43" s="2739"/>
      <c r="Y43" s="3044"/>
      <c r="Z43" s="2740" t="str">
        <f t="shared" si="15"/>
        <v>内部装修</v>
      </c>
      <c r="AA43" s="2736">
        <f t="shared" si="3"/>
        <v>1</v>
      </c>
      <c r="AB43" s="2736">
        <f t="shared" si="4"/>
        <v>1</v>
      </c>
      <c r="AC43" s="2736">
        <f t="shared" si="5"/>
        <v>1</v>
      </c>
    </row>
    <row r="44" spans="1:29" ht="15" hidden="1">
      <c r="A44" s="453"/>
      <c r="B44" s="2735"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2738" t="str">
        <f t="shared" si="11"/>
        <v>内部装修维护情况</v>
      </c>
      <c r="R44" s="752" t="s">
        <v>25</v>
      </c>
      <c r="S44" s="753">
        <f t="shared" si="12"/>
        <v>100</v>
      </c>
      <c r="T44" s="752" t="s">
        <v>25</v>
      </c>
      <c r="U44" s="753">
        <f t="shared" si="13"/>
        <v>100</v>
      </c>
      <c r="V44" s="752" t="s">
        <v>25</v>
      </c>
      <c r="W44" s="753">
        <f t="shared" si="14"/>
        <v>100</v>
      </c>
      <c r="X44" s="2739"/>
      <c r="Y44" s="3044"/>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2734">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2738">
        <f t="shared" si="11"/>
        <v>111</v>
      </c>
      <c r="R46" s="752" t="s">
        <v>25</v>
      </c>
      <c r="S46" s="753">
        <f t="shared" si="12"/>
        <v>100</v>
      </c>
      <c r="T46" s="752" t="s">
        <v>25</v>
      </c>
      <c r="U46" s="753">
        <f t="shared" si="13"/>
        <v>100</v>
      </c>
      <c r="V46" s="752" t="s">
        <v>25</v>
      </c>
      <c r="W46" s="753">
        <f t="shared" si="14"/>
        <v>100</v>
      </c>
      <c r="X46" s="2739"/>
      <c r="Y46" s="3044"/>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2738">
        <f t="shared" si="11"/>
        <v>111</v>
      </c>
      <c r="R47" s="752" t="s">
        <v>25</v>
      </c>
      <c r="S47" s="753">
        <f t="shared" si="12"/>
        <v>100</v>
      </c>
      <c r="T47" s="752" t="s">
        <v>25</v>
      </c>
      <c r="U47" s="753">
        <f t="shared" si="13"/>
        <v>100</v>
      </c>
      <c r="V47" s="752" t="s">
        <v>25</v>
      </c>
      <c r="W47" s="753">
        <f t="shared" si="14"/>
        <v>100</v>
      </c>
      <c r="X47" s="2739"/>
      <c r="Y47" s="3045"/>
      <c r="Z47" s="2740">
        <f t="shared" si="15"/>
        <v>111</v>
      </c>
      <c r="AA47" s="2736">
        <f t="shared" si="3"/>
        <v>1</v>
      </c>
      <c r="AB47" s="2736">
        <f t="shared" si="4"/>
        <v>1</v>
      </c>
      <c r="AC47" s="2736">
        <f t="shared" si="5"/>
        <v>1</v>
      </c>
    </row>
    <row r="48" spans="1:29" ht="15">
      <c r="A48" s="460" t="s">
        <v>2385</v>
      </c>
      <c r="B48" s="461"/>
      <c r="C48" s="1501" t="s">
        <v>1</v>
      </c>
      <c r="D48" s="1502"/>
      <c r="E48" s="1503">
        <v>3.9</v>
      </c>
      <c r="F48" s="1504"/>
      <c r="G48" s="1505">
        <v>3.8</v>
      </c>
      <c r="H48" s="1506"/>
      <c r="I48" s="1503">
        <v>3.7</v>
      </c>
      <c r="J48" s="1506"/>
      <c r="K48" s="761"/>
      <c r="L48" s="1255"/>
      <c r="M48" s="1243"/>
      <c r="N48" s="1243"/>
      <c r="O48" s="1243"/>
      <c r="P48" s="3057" t="str">
        <f>A48</f>
        <v>成交单价（元/平方米）</v>
      </c>
      <c r="Q48" s="3050"/>
      <c r="R48" s="3051">
        <f>E48</f>
        <v>3.9</v>
      </c>
      <c r="S48" s="3051"/>
      <c r="T48" s="3051">
        <f>G48</f>
        <v>3.8</v>
      </c>
      <c r="U48" s="3051"/>
      <c r="V48" s="3051">
        <f>I48</f>
        <v>3.7</v>
      </c>
      <c r="W48" s="3051"/>
      <c r="X48" s="737"/>
      <c r="Y48" s="759"/>
      <c r="Z48" s="737"/>
      <c r="AA48" s="737"/>
      <c r="AB48" s="737"/>
      <c r="AC48" s="737"/>
    </row>
    <row r="49" spans="1:29" ht="15.75" thickBot="1">
      <c r="A49" s="467" t="s">
        <v>2386</v>
      </c>
      <c r="B49" s="468"/>
      <c r="C49" s="1507">
        <f>R50</f>
        <v>3.8</v>
      </c>
      <c r="D49" s="1508"/>
      <c r="E49" s="1509">
        <f>R49</f>
        <v>3.9</v>
      </c>
      <c r="F49" s="1509"/>
      <c r="G49" s="1507">
        <f>T49</f>
        <v>3.8</v>
      </c>
      <c r="H49" s="1508"/>
      <c r="I49" s="1509">
        <f>V49</f>
        <v>3.6</v>
      </c>
      <c r="J49" s="1508"/>
      <c r="K49" s="762"/>
      <c r="L49" s="1255"/>
      <c r="M49" s="1243"/>
      <c r="N49" s="1243"/>
      <c r="O49" s="1243"/>
      <c r="P49" s="3057" t="str">
        <f>A49</f>
        <v>比较价值（元/平方米）</v>
      </c>
      <c r="Q49" s="3050"/>
      <c r="R49" s="3051">
        <f>IF(E1="售价",ROUND(PRODUCT(R48,AA7:AA47),0),ROUND(PRODUCT(R48,AA7:AA47),1))</f>
        <v>3.9</v>
      </c>
      <c r="S49" s="3051"/>
      <c r="T49" s="3051">
        <f>IF(E1="售价",ROUND(PRODUCT(T48,AB7:AB47),0),ROUND(PRODUCT(T48,AB7:AB47),1))</f>
        <v>3.8</v>
      </c>
      <c r="U49" s="3051"/>
      <c r="V49" s="3051">
        <f>IF(E1="售价",ROUND(PRODUCT(V48,AC7:AC47),0),ROUND(PRODUCT(V48,AC7:AC47),1))</f>
        <v>3.6</v>
      </c>
      <c r="W49" s="3051"/>
      <c r="X49" s="737"/>
      <c r="Y49" s="737"/>
      <c r="Z49" s="737"/>
      <c r="AA49" s="737"/>
      <c r="AB49" s="737"/>
      <c r="AC49" s="737"/>
    </row>
    <row r="50" spans="1:29" ht="15.75" thickBot="1">
      <c r="A50" s="473" t="s">
        <v>2387</v>
      </c>
      <c r="B50" s="474"/>
      <c r="C50" s="1511">
        <f>R50</f>
        <v>3.8</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3.8</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2388</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2389</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2390</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2391</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2831</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2832</v>
      </c>
      <c r="D87" s="2745" t="s">
        <v>2833</v>
      </c>
      <c r="E87" s="2745" t="s">
        <v>2835</v>
      </c>
      <c r="F87" s="2745" t="s">
        <v>2836</v>
      </c>
      <c r="G87" s="2745" t="s">
        <v>2837</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2839</v>
      </c>
      <c r="D89" s="2745" t="s">
        <v>2841</v>
      </c>
      <c r="E89" s="2745" t="s">
        <v>2843</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2844</v>
      </c>
      <c r="D91" s="2745" t="s">
        <v>2845</v>
      </c>
      <c r="E91" s="2745" t="s">
        <v>2847</v>
      </c>
      <c r="F91" s="2745" t="s">
        <v>2848</v>
      </c>
      <c r="G91" s="2745" t="s">
        <v>2849</v>
      </c>
      <c r="H91" s="2746" t="s">
        <v>2851</v>
      </c>
      <c r="I91" s="2746" t="s">
        <v>2853</v>
      </c>
      <c r="J91" s="2746" t="s">
        <v>2854</v>
      </c>
      <c r="K91" s="2746" t="s">
        <v>2855</v>
      </c>
      <c r="L91" s="2747" t="s">
        <v>2856</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2886</v>
      </c>
      <c r="D101" s="2744" t="s">
        <v>2887</v>
      </c>
      <c r="E101" s="2744" t="s">
        <v>2889</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2858</v>
      </c>
      <c r="D106" s="2745" t="s">
        <v>2859</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2861</v>
      </c>
      <c r="D108" s="2745" t="s">
        <v>2862</v>
      </c>
      <c r="E108" s="2745" t="s">
        <v>2863</v>
      </c>
      <c r="F108" s="2748" t="s">
        <v>2864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2866</v>
      </c>
      <c r="D115" s="2745" t="s">
        <v>2867</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2868</v>
      </c>
      <c r="D117" s="2745" t="s">
        <v>2870</v>
      </c>
      <c r="E117" s="2745" t="s">
        <v>2871</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2873</v>
      </c>
      <c r="D119" s="2748" t="s">
        <v>2874</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2861</v>
      </c>
      <c r="D123" s="2745" t="s">
        <v>2862</v>
      </c>
      <c r="E123" s="2745" t="s">
        <v>2863</v>
      </c>
      <c r="F123" s="2748" t="s">
        <v>2864</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6"/>
      <c r="B5" s="1930" t="s">
        <v>742</v>
      </c>
      <c r="C5" s="2756" t="s">
        <v>783</v>
      </c>
      <c r="D5" s="2757"/>
      <c r="E5" s="1926"/>
    </row>
    <row r="6" spans="1:5" ht="14.25">
      <c r="A6" s="1926"/>
      <c r="B6" s="1931" t="str">
        <f>项目基本情况!I1</f>
        <v>房地产</v>
      </c>
      <c r="C6" s="2758">
        <f>项目基本情况!C12</f>
        <v>61.62</v>
      </c>
      <c r="D6" s="2758"/>
      <c r="E6" s="1926"/>
    </row>
    <row r="7" spans="1:5" ht="14.25">
      <c r="A7" s="1926"/>
      <c r="B7" s="2752" t="s">
        <v>784</v>
      </c>
      <c r="C7" s="1932" t="str">
        <f>IF('数据-取费表'!B3="万元","总价（万元）","总价（元）")</f>
        <v>总价（万元）</v>
      </c>
      <c r="D7" s="1933">
        <f ca="1">IF('数据-取费表'!E3="否",结果表!I102,'结果表 (1修多)'!I103)</f>
        <v>321</v>
      </c>
      <c r="E7" s="1926"/>
    </row>
    <row r="8" spans="1:5" ht="28.5">
      <c r="A8" s="1926"/>
      <c r="B8" s="2752"/>
      <c r="C8" s="1934" t="s">
        <v>1175</v>
      </c>
      <c r="D8" s="1935" t="str">
        <f ca="1">IF('数据-取费表'!B3="万元",NUMBERSTRING(INT(D7*10000),2)&amp;"元整",NUMBERSTRING(INT(D7),2)&amp;"元整")</f>
        <v>叁佰贰拾壹万元整</v>
      </c>
      <c r="E8" s="1926"/>
    </row>
    <row r="9" spans="1:5" ht="14.25">
      <c r="A9" s="1926"/>
      <c r="B9" s="2752"/>
      <c r="C9" s="1936" t="s">
        <v>1273</v>
      </c>
      <c r="D9" s="1933">
        <f ca="1">IF('数据-取费表'!E3="否",结果表!I103,'结果表 (1修多)'!I104)</f>
        <v>52160</v>
      </c>
      <c r="E9" s="1926"/>
    </row>
    <row r="10" spans="1:5" ht="14.25">
      <c r="A10" s="1926"/>
      <c r="B10" s="275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9"/>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9" t="str">
        <f>IF('数据-取费表'!E3="否",结果表!F110,'结果表 (1修多)'!F111)</f>
        <v>3.房地产抵押价值</v>
      </c>
      <c r="C15" s="1927" t="str">
        <f>C7</f>
        <v>总价（万元）</v>
      </c>
      <c r="D15" s="1933">
        <f ca="1">IF('数据-取费表'!E3="否",结果表!I110,'结果表 (1修多)'!I111)</f>
        <v>321</v>
      </c>
      <c r="E15" s="1926"/>
    </row>
    <row r="16" spans="1:5" ht="28.5">
      <c r="A16" s="1926"/>
      <c r="B16" s="2759"/>
      <c r="C16" s="1934" t="s">
        <v>1175</v>
      </c>
      <c r="D16" s="1933" t="str">
        <f ca="1">IF('数据-取费表'!B3="万元",NUMBERSTRING(INT(D15*10000),2)&amp;"元整",NUMBERSTRING(INT(D15),2)&amp;"元整")</f>
        <v>叁佰贰拾壹万元整</v>
      </c>
      <c r="E16" s="1926"/>
    </row>
    <row r="17" spans="1:5" ht="14.25">
      <c r="A17" s="1926"/>
      <c r="B17" s="2759"/>
      <c r="C17" s="1936" t="s">
        <v>1273</v>
      </c>
      <c r="D17" s="1933">
        <f ca="1">IF('数据-取费表'!E3="否",结果表!I111,'结果表 (1修多)'!I112)</f>
        <v>52160</v>
      </c>
      <c r="E17" s="1926"/>
    </row>
    <row r="18" spans="1:5" ht="14.25">
      <c r="A18" s="1926"/>
      <c r="B18" s="2759" t="str">
        <f>IF('数据-取费表'!E3="否",结果表!F112,'结果表 (1修多)'!F113)</f>
        <v>——</v>
      </c>
      <c r="C18" s="1927" t="str">
        <f>C7</f>
        <v>总价（万元）</v>
      </c>
      <c r="D18" s="1933" t="str">
        <f>IF('数据-取费表'!E3="否",结果表!I112,'结果表 (1修多)'!I113)</f>
        <v>——</v>
      </c>
      <c r="E18" s="1926"/>
    </row>
    <row r="19" spans="1:5" ht="14.25">
      <c r="A19" s="1926"/>
      <c r="B19" s="2759"/>
      <c r="C19" s="1934" t="s">
        <v>1175</v>
      </c>
      <c r="D19" s="1933" t="e">
        <f>IF('数据-取费表'!B3="万元",NUMBERSTRING(INT(D18*10000),2)&amp;"元整",NUMBERSTRING(INT(D18),2)&amp;"元整")</f>
        <v>#VALUE!</v>
      </c>
      <c r="E19" s="1926"/>
    </row>
    <row r="20" spans="1:5" ht="14.25">
      <c r="A20" s="1926"/>
      <c r="B20" s="2759"/>
      <c r="C20" s="1936" t="s">
        <v>1273</v>
      </c>
      <c r="D20" s="1933" t="str">
        <f>IF('数据-取费表'!E3="否",结果表!I113,'结果表 (1修多)'!I114)</f>
        <v>——</v>
      </c>
      <c r="E20" s="1926"/>
    </row>
    <row r="21" spans="1:5" ht="14.25">
      <c r="A21" s="1926"/>
      <c r="B21" s="2752" t="str">
        <f>IF('数据-取费表'!E3="否",结果表!F114,'结果表 (1修多)'!F115)</f>
        <v>——</v>
      </c>
      <c r="C21" s="1932" t="str">
        <f>C7</f>
        <v>总价（万元）</v>
      </c>
      <c r="D21" s="1933" t="str">
        <f>IF('数据-取费表'!E3="否",结果表!I114,'结果表 (1修多)'!I115)</f>
        <v>——</v>
      </c>
      <c r="E21" s="1926"/>
    </row>
    <row r="22" spans="1:5" ht="14.25">
      <c r="A22" s="1926"/>
      <c r="B22" s="2752"/>
      <c r="C22" s="1934" t="s">
        <v>1175</v>
      </c>
      <c r="D22" s="1935" t="e">
        <f>IF('数据-取费表'!B3="万元",NUMBERSTRING(INT(D21*10000),2)&amp;"元整",NUMBERSTRING(INT(D21),2)&amp;"元整")</f>
        <v>#VALUE!</v>
      </c>
      <c r="E22" s="1926"/>
    </row>
    <row r="23" spans="1:5" ht="15" thickBot="1">
      <c r="A23" s="1926"/>
      <c r="B23" s="2753"/>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7" t="s">
        <v>1274</v>
      </c>
      <c r="C25" s="2767"/>
      <c r="D25" s="2767"/>
      <c r="E25" s="1926"/>
    </row>
    <row r="26" spans="1:5" ht="18.75" customHeight="1" thickTop="1">
      <c r="A26" s="1926"/>
      <c r="B26" s="2770" t="s">
        <v>1174</v>
      </c>
      <c r="C26" s="2771"/>
      <c r="D26" s="2768" t="s">
        <v>1173</v>
      </c>
      <c r="E26" s="1926"/>
    </row>
    <row r="27" spans="1:5" ht="18.75" customHeight="1">
      <c r="A27" s="1926"/>
      <c r="B27" s="2772"/>
      <c r="C27" s="2773"/>
      <c r="D27" s="2769"/>
      <c r="E27" s="1926"/>
    </row>
    <row r="28" spans="1:5" ht="14.25">
      <c r="A28" s="1926"/>
      <c r="B28" s="2760" t="s">
        <v>784</v>
      </c>
      <c r="C28" s="1943" t="s">
        <v>1176</v>
      </c>
      <c r="D28" s="1944">
        <f ca="1">IF('数据-取费表'!E3="否",结果表!I102,'结果表 (1修多)'!I103)</f>
        <v>321</v>
      </c>
      <c r="E28" s="1926"/>
    </row>
    <row r="29" spans="1:5" ht="28.5">
      <c r="A29" s="1926"/>
      <c r="B29" s="2761"/>
      <c r="C29" s="1945" t="s">
        <v>1175</v>
      </c>
      <c r="D29" s="1946" t="str">
        <f ca="1">IF('数据-取费表'!B3="万元",NUMBERSTRING(INT(D28*10000),2)&amp;"元整",NUMBERSTRING(INT(D28),2)&amp;"元整")</f>
        <v>叁佰贰拾壹万元整</v>
      </c>
      <c r="E29" s="1926"/>
    </row>
    <row r="30" spans="1:5" ht="14.25">
      <c r="A30" s="1926"/>
      <c r="B30" s="2762"/>
      <c r="C30" s="1936" t="s">
        <v>1178</v>
      </c>
      <c r="D30" s="1947">
        <f ca="1">IF('数据-取费表'!E3="否",结果表!I103,'结果表 (1修多)'!I104)</f>
        <v>52160</v>
      </c>
      <c r="E30" s="1926"/>
    </row>
    <row r="31" spans="1:5" ht="14.25">
      <c r="A31" s="1926"/>
      <c r="B31" s="2765" t="str">
        <f>B10</f>
        <v>2.估价师所知悉的法定优先受偿款</v>
      </c>
      <c r="C31" s="1948" t="s">
        <v>1177</v>
      </c>
      <c r="D31" s="1949">
        <f>IF('数据-取费表'!E3="否",结果表!I105,'结果表 (1修多)'!I106)</f>
        <v>0</v>
      </c>
      <c r="E31" s="1926"/>
    </row>
    <row r="32" spans="1:5" ht="14.25">
      <c r="A32" s="1926"/>
      <c r="B32" s="277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3" t="str">
        <f>B15</f>
        <v>3.房地产抵押价值</v>
      </c>
      <c r="C36" s="1948" t="str">
        <f>C28</f>
        <v>总价</v>
      </c>
      <c r="D36" s="1949">
        <f ca="1">IF('数据-取费表'!E3="否",结果表!I110,'结果表 (1修多)'!I111)</f>
        <v>321</v>
      </c>
      <c r="E36" s="1926"/>
    </row>
    <row r="37" spans="1:5" ht="28.5">
      <c r="A37" s="1926"/>
      <c r="B37" s="2763"/>
      <c r="C37" s="1945" t="s">
        <v>1175</v>
      </c>
      <c r="D37" s="1950" t="str">
        <f ca="1">IF('数据-取费表'!B3="万元",NUMBERSTRING(INT(D36*10000),2)&amp;"元整",NUMBERSTRING(INT(D36),2)&amp;"元整")</f>
        <v>叁佰贰拾壹万元整</v>
      </c>
      <c r="E37" s="1926"/>
    </row>
    <row r="38" spans="1:5" ht="14.25">
      <c r="A38" s="1926"/>
      <c r="B38" s="2763"/>
      <c r="C38" s="1936" t="s">
        <v>1179</v>
      </c>
      <c r="D38" s="1947">
        <f ca="1">IF('数据-取费表'!E3="否",结果表!D113,'结果表 (1修多)'!D116)</f>
        <v>52160</v>
      </c>
      <c r="E38" s="1926"/>
    </row>
    <row r="39" spans="1:5" ht="14.25">
      <c r="A39" s="1926"/>
      <c r="B39" s="2764" t="str">
        <f>B18</f>
        <v>——</v>
      </c>
      <c r="C39" s="1948" t="str">
        <f>C28</f>
        <v>总价</v>
      </c>
      <c r="D39" s="1949" t="str">
        <f>IF('数据-取费表'!E3="否",结果表!I112,'结果表 (1修多)'!I113)</f>
        <v>——</v>
      </c>
      <c r="E39" s="1926"/>
    </row>
    <row r="40" spans="1:5" ht="14.25">
      <c r="A40" s="1926"/>
      <c r="B40" s="2764"/>
      <c r="C40" s="1945" t="s">
        <v>1175</v>
      </c>
      <c r="D40" s="1950" t="e">
        <f>IF('数据-取费表'!B3="万元",NUMBERSTRING(INT(D39*10000),2)&amp;"元整",NUMBERSTRING(INT(D39),2)&amp;"元整")</f>
        <v>#VALUE!</v>
      </c>
      <c r="E40" s="1926"/>
    </row>
    <row r="41" spans="1:5" ht="14.25">
      <c r="A41" s="1926"/>
      <c r="B41" s="2764"/>
      <c r="C41" s="1936" t="s">
        <v>1179</v>
      </c>
      <c r="D41" s="1947" t="str">
        <f>IF('数据-取费表'!E3="否",结果表!D115,'结果表 (1修多)'!D118)</f>
        <v>——</v>
      </c>
      <c r="E41" s="1926"/>
    </row>
    <row r="42" spans="1:5" ht="14.25">
      <c r="A42" s="1926"/>
      <c r="B42" s="2763" t="str">
        <f>B21</f>
        <v>——</v>
      </c>
      <c r="C42" s="1948" t="str">
        <f>C28</f>
        <v>总价</v>
      </c>
      <c r="D42" s="1949" t="str">
        <f>IF('数据-取费表'!E3="否",结果表!I114,'结果表 (1修多)'!I115)</f>
        <v>——</v>
      </c>
      <c r="E42" s="1926"/>
    </row>
    <row r="43" spans="1:5" ht="14.25">
      <c r="A43" s="1926"/>
      <c r="B43" s="2765"/>
      <c r="C43" s="1945" t="s">
        <v>1175</v>
      </c>
      <c r="D43" s="1951" t="e">
        <f>IF('数据-取费表'!B3="万元",NUMBERSTRING(INT(D42*10000),2)&amp;"元整",NUMBERSTRING(INT(D42),2)&amp;"元整")</f>
        <v>#VALUE!</v>
      </c>
      <c r="E43" s="1926"/>
    </row>
    <row r="44" spans="1:5" ht="15" thickBot="1">
      <c r="A44" s="1926"/>
      <c r="B44" s="276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7"/>
      <c r="B3" s="2777"/>
      <c r="C3" s="2777"/>
      <c r="D3" s="1048" t="s">
        <v>1280</v>
      </c>
      <c r="E3" s="1048" t="s">
        <v>1281</v>
      </c>
      <c r="F3" s="1048" t="s">
        <v>1280</v>
      </c>
      <c r="G3" s="1048" t="s">
        <v>1282</v>
      </c>
      <c r="H3" s="1048" t="s">
        <v>1280</v>
      </c>
      <c r="I3" s="1048" t="s">
        <v>1282</v>
      </c>
    </row>
    <row r="4" spans="1:9" ht="46.5" customHeight="1">
      <c r="A4" s="1048" t="str">
        <f>项目基本情况!I1</f>
        <v>房地产</v>
      </c>
      <c r="B4" s="1048">
        <f>结果表!B121</f>
        <v>61.62</v>
      </c>
      <c r="C4" s="1048">
        <f>结果表!C121</f>
        <v>0</v>
      </c>
      <c r="D4" s="1048">
        <f ca="1">IF('数据-取费表'!E3="否",结果表!D121,'结果表 (1修多)'!D124)</f>
        <v>276</v>
      </c>
      <c r="E4" s="1048">
        <f ca="1">IF('数据-取费表'!E3="否",结果表!E121,'结果表 (1修多)'!E124)</f>
        <v>44753</v>
      </c>
      <c r="F4" s="1048">
        <f ca="1">IF('数据-取费表'!E3="否",结果表!F121,'结果表 (1修多)'!F124)</f>
        <v>46</v>
      </c>
      <c r="G4" s="1048">
        <f ca="1">IF('数据-取费表'!E3="否",结果表!G121,'结果表 (1修多)'!G124)</f>
        <v>7407</v>
      </c>
      <c r="H4" s="1048">
        <f ca="1">IF('数据-取费表'!E3="否",结果表!H121,'结果表 (1修多)'!H124)</f>
        <v>321</v>
      </c>
      <c r="I4" s="1048">
        <f ca="1">IF('数据-取费表'!E3="否",结果表!I121,'结果表 (1修多)'!I124)</f>
        <v>52160</v>
      </c>
    </row>
    <row r="5" spans="1:9" ht="15">
      <c r="A5" s="2777" t="s">
        <v>1283</v>
      </c>
      <c r="B5" s="2777"/>
      <c r="C5" s="2777"/>
      <c r="D5" s="2775" t="str">
        <f ca="1">IF('数据-取费表'!E3="否",结果表!D122,'结果表 (1修多)'!D125)</f>
        <v>贰佰柒拾陆万元整</v>
      </c>
      <c r="E5" s="2775"/>
      <c r="F5" s="2775" t="str">
        <f ca="1">IF('数据-取费表'!E3="否",结果表!F122,'结果表 (1修多)'!F125)</f>
        <v>肆拾陆万元整</v>
      </c>
      <c r="G5" s="2775"/>
      <c r="H5" s="2775" t="str">
        <f ca="1">IF('数据-取费表'!E3="否",结果表!H122,'结果表 (1修多)'!H125)</f>
        <v>叁佰贰拾壹万元整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7" t="s">
        <v>1283</v>
      </c>
      <c r="B7" s="2777"/>
      <c r="C7" s="2777"/>
      <c r="D7" s="2778">
        <f>IF('数据-取费表'!E3="否",结果表!D124,'结果表 (1修多)'!D127)</f>
        <v>0</v>
      </c>
      <c r="E7" s="2779"/>
      <c r="F7" s="2779"/>
      <c r="G7" s="2779"/>
      <c r="H7" s="2779"/>
      <c r="I7" s="2780"/>
    </row>
    <row r="8" spans="1:9" ht="15.75">
      <c r="A8" s="2776" t="str">
        <f>IF('数据-取费表'!E3="否",结果表!A125,'结果表 (1修多)'!A128)</f>
        <v>房地产抵押价值</v>
      </c>
      <c r="B8" s="2776"/>
      <c r="C8" s="2776"/>
      <c r="D8" s="2776">
        <f ca="1">IF('数据-取费表'!E3="否",结果表!D125,'结果表 (1修多)'!D128)</f>
        <v>321</v>
      </c>
      <c r="E8" s="2776"/>
      <c r="F8" s="2776"/>
      <c r="G8" s="2776"/>
      <c r="H8" s="2776"/>
      <c r="I8" s="2776"/>
    </row>
    <row r="9" spans="1:9" ht="15">
      <c r="A9" s="2777" t="s">
        <v>1283</v>
      </c>
      <c r="B9" s="2777"/>
      <c r="C9" s="2777"/>
      <c r="D9" s="2775">
        <f ca="1">IF('数据-取费表'!E3="否",结果表!D126,'结果表 (1修多)'!D129)</f>
        <v>52160</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7" t="s">
        <v>1283</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4"/>
      <c r="B15" s="714"/>
      <c r="C15" s="714"/>
      <c r="D15" s="714"/>
      <c r="E15" s="714"/>
      <c r="F15" s="714"/>
      <c r="G15" s="714"/>
      <c r="H15" s="714"/>
      <c r="I15" s="714"/>
    </row>
    <row r="16" spans="1:9" ht="18.75">
      <c r="A16" s="1954"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1297</v>
      </c>
      <c r="B1" s="2790"/>
      <c r="C1" s="2790"/>
      <c r="D1" s="2790"/>
    </row>
    <row r="2" spans="1:4" ht="18">
      <c r="A2" s="2789" t="s">
        <v>1285</v>
      </c>
      <c r="B2" s="2789"/>
      <c r="C2" s="2789"/>
      <c r="D2" s="2789"/>
    </row>
    <row r="3" spans="1:4" ht="18.75">
      <c r="A3" s="1955" t="s">
        <v>1286</v>
      </c>
      <c r="B3" s="1955" t="s">
        <v>1287</v>
      </c>
      <c r="C3" s="1955" t="s">
        <v>1288</v>
      </c>
      <c r="D3" s="1955" t="s">
        <v>1289</v>
      </c>
    </row>
    <row r="4" spans="1:4" ht="56.25" customHeight="1">
      <c r="A4" s="1956" t="str">
        <f>项目基本情况!B3</f>
        <v>注册房地产估价师</v>
      </c>
      <c r="B4" s="1957">
        <f>项目基本情况!C3</f>
        <v>0</v>
      </c>
      <c r="C4" s="1958"/>
      <c r="D4" s="1959" t="s">
        <v>1298</v>
      </c>
    </row>
    <row r="5" spans="1:4" ht="56.25" customHeight="1">
      <c r="A5" s="1956" t="str">
        <f>项目基本情况!D3</f>
        <v>注册房地产估价师</v>
      </c>
      <c r="B5" s="1957">
        <f>项目基本情况!E3</f>
        <v>0</v>
      </c>
      <c r="C5" s="1960"/>
      <c r="D5" s="1959" t="s">
        <v>1298</v>
      </c>
    </row>
    <row r="6" spans="1:4" ht="12" customHeight="1">
      <c r="A6" s="1956"/>
      <c r="B6" s="1957"/>
      <c r="C6" s="1961"/>
      <c r="D6" s="1959"/>
    </row>
    <row r="7" spans="1:4" ht="18">
      <c r="A7" s="2789" t="s">
        <v>1290</v>
      </c>
      <c r="B7" s="2789"/>
      <c r="C7" s="2789"/>
      <c r="D7" s="2789"/>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6" t="s">
        <v>1299</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1300</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1293</v>
      </c>
      <c r="B20" s="2787"/>
      <c r="C20" s="2787"/>
      <c r="D20" s="2787"/>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1367</v>
      </c>
    </row>
    <row r="3" spans="1:7" ht="14.25">
      <c r="A3" s="1971" t="s">
        <v>1368</v>
      </c>
      <c r="B3" s="714" t="s">
        <v>1369</v>
      </c>
      <c r="G3" s="1972"/>
    </row>
    <row r="4" spans="1:7">
      <c r="G4" s="1972"/>
    </row>
    <row r="5" spans="1:7" ht="14.25">
      <c r="A5" s="1974" t="s">
        <v>1370</v>
      </c>
      <c r="B5" s="714" t="s">
        <v>1371</v>
      </c>
      <c r="G5" s="1972"/>
    </row>
    <row r="6" spans="1:7">
      <c r="G6" s="1972"/>
    </row>
    <row r="7" spans="1:7" ht="14.25">
      <c r="A7" s="1975" t="s">
        <v>1372</v>
      </c>
      <c r="B7" s="714" t="s">
        <v>1373</v>
      </c>
      <c r="G7" s="1972"/>
    </row>
    <row r="8" spans="1:7">
      <c r="G8" s="1972"/>
    </row>
    <row r="9" spans="1:7">
      <c r="A9" s="1976" t="s">
        <v>1374</v>
      </c>
      <c r="B9" s="714" t="s">
        <v>1375</v>
      </c>
    </row>
    <row r="11" spans="1:7">
      <c r="A11" s="1977" t="s">
        <v>1376</v>
      </c>
      <c r="B11" s="1978" t="s">
        <v>1377</v>
      </c>
    </row>
    <row r="13" spans="1:7">
      <c r="A13" s="1680"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9" t="s">
        <v>1384</v>
      </c>
      <c r="B19" s="1980"/>
      <c r="C19" s="1981"/>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2" t="s">
        <v>1390</v>
      </c>
    </row>
    <row r="24" spans="1:3" ht="14.25">
      <c r="A24" s="2794"/>
      <c r="B24" s="2795"/>
      <c r="C24" s="1982" t="s">
        <v>1391</v>
      </c>
    </row>
    <row r="25" spans="1:3" ht="14.25">
      <c r="A25" s="2794"/>
      <c r="B25" s="2795"/>
      <c r="C25" s="1982" t="s">
        <v>1392</v>
      </c>
    </row>
    <row r="26" spans="1:3" ht="14.25">
      <c r="A26" s="2794"/>
      <c r="B26" s="2795"/>
      <c r="C26" s="1982" t="s">
        <v>1393</v>
      </c>
    </row>
    <row r="27" spans="1:3" ht="14.25">
      <c r="A27" s="2794"/>
      <c r="B27" s="2795"/>
      <c r="C27" s="1982" t="s">
        <v>1394</v>
      </c>
    </row>
    <row r="28" spans="1:3" ht="14.25">
      <c r="A28" s="2794"/>
      <c r="B28" s="2795"/>
      <c r="C28" s="1982" t="s">
        <v>1395</v>
      </c>
    </row>
    <row r="29" spans="1:3" ht="14.25">
      <c r="A29" s="2794"/>
      <c r="B29" s="2795"/>
      <c r="C29" s="1982" t="s">
        <v>1396</v>
      </c>
    </row>
    <row r="30" spans="1:3" ht="14.25">
      <c r="A30" s="2794"/>
      <c r="B30" s="2795"/>
      <c r="C30" s="1982" t="s">
        <v>1397</v>
      </c>
    </row>
    <row r="31" spans="1:3" ht="14.25">
      <c r="A31" s="2794"/>
      <c r="B31" s="2795"/>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43287</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2817</v>
      </c>
      <c r="B12" s="1030">
        <v>1120110054</v>
      </c>
      <c r="C12" s="1810">
        <v>43937</v>
      </c>
      <c r="D12" s="1811" t="str">
        <f t="shared" si="0"/>
        <v>白景生（注册号：1120110054）</v>
      </c>
      <c r="E12" s="1809" t="s">
        <v>2817</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1528</v>
      </c>
    </row>
    <row r="52" spans="1:4">
      <c r="A52" s="1991" t="s">
        <v>1529</v>
      </c>
      <c r="B52" s="1991"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2018-07-06T05:50:51Z</dcterms:modified>
</cp:coreProperties>
</file>