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2"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H8" i="81"/>
  <c r="G7" i="81"/>
  <c r="G6" i="81"/>
  <c r="B40" i="81"/>
  <c r="G8" i="81"/>
  <c r="H7" i="81" s="1"/>
  <c r="K7" i="81" s="1"/>
  <c r="H6" i="81" l="1"/>
  <c r="K6" i="81" s="1"/>
  <c r="K14" i="81" s="1"/>
  <c r="D42" i="43"/>
  <c r="K8" i="81"/>
  <c r="B4" i="81"/>
  <c r="B2" i="81"/>
  <c r="B1" i="81"/>
  <c r="D3" i="4"/>
  <c r="D37" i="43" l="1"/>
  <c r="L14" i="1"/>
  <c r="K13" i="3" l="1"/>
  <c r="G19" i="6" s="1"/>
  <c r="B58" i="1"/>
  <c r="K10" i="81" l="1"/>
  <c r="B59" i="1"/>
  <c r="U2" i="43" l="1"/>
  <c r="I13" i="3"/>
  <c r="F19" i="6" s="1"/>
  <c r="K16" i="81"/>
  <c r="U4" i="43" s="1"/>
  <c r="K15" i="81"/>
  <c r="G14" i="73"/>
  <c r="F14" i="73"/>
  <c r="E14" i="73"/>
  <c r="K17" i="81" l="1"/>
  <c r="U5" i="43" s="1"/>
  <c r="U3" i="4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19" i="6" s="1"/>
  <c r="K6" i="1" s="1"/>
  <c r="M6" i="1"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I5" i="3"/>
  <c r="BA17" i="3"/>
  <c r="BT5" i="3"/>
  <c r="AZ350" i="3"/>
  <c r="AZ356" i="3"/>
  <c r="AZ368" i="3"/>
  <c r="AZ380" i="3"/>
  <c r="AZ392" i="3"/>
  <c r="AZ499" i="3"/>
  <c r="AZ509" i="3"/>
  <c r="G509" i="3"/>
  <c r="BL493" i="3"/>
  <c r="AZ491" i="3"/>
  <c r="AZ493" i="3"/>
  <c r="U36" i="40"/>
  <c r="F83" i="43"/>
  <c r="H85" i="43" s="1"/>
  <c r="G85" i="43" s="1"/>
  <c r="K85" i="43" s="1"/>
  <c r="D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1" i="76"/>
  <c r="M29" i="15"/>
  <c r="E9" i="76"/>
  <c r="F13" i="67"/>
  <c r="M24" i="15"/>
  <c r="M23" i="15"/>
  <c r="M8" i="15"/>
  <c r="C76" i="67"/>
  <c r="M8" i="67"/>
  <c r="F36" i="15"/>
  <c r="F37" i="15"/>
  <c r="M26" i="67"/>
  <c r="E2" i="69"/>
  <c r="M26" i="15"/>
  <c r="F6" i="15"/>
  <c r="M29" i="67"/>
  <c r="E13" i="76"/>
  <c r="F7" i="67"/>
  <c r="F38" i="67"/>
  <c r="F38" i="15"/>
  <c r="F37" i="67"/>
  <c r="F4" i="73"/>
  <c r="F40" i="67"/>
  <c r="F16" i="67"/>
  <c r="B12" i="76"/>
  <c r="M23" i="67"/>
  <c r="F5" i="73"/>
  <c r="M24" i="67"/>
  <c r="F7" i="73"/>
  <c r="L48" i="67"/>
  <c r="F36" i="67"/>
  <c r="M22" i="67"/>
  <c r="E11" i="76"/>
  <c r="F3" i="73"/>
  <c r="AO13" i="1"/>
  <c r="B9" i="76"/>
  <c r="F16" i="15"/>
  <c r="M6" i="15"/>
  <c r="J15" i="67"/>
  <c r="L47" i="15"/>
  <c r="F42" i="15"/>
  <c r="F20" i="31"/>
  <c r="F40" i="15"/>
  <c r="B8" i="76"/>
  <c r="J15" i="15"/>
  <c r="M28" i="15"/>
  <c r="F42" i="67"/>
  <c r="F8" i="15"/>
  <c r="F6" i="73"/>
  <c r="E10" i="76"/>
  <c r="B13" i="76"/>
  <c r="B10" i="76"/>
  <c r="F26" i="15"/>
  <c r="M22" i="15"/>
  <c r="E7" i="76"/>
  <c r="M9" i="15"/>
  <c r="F6" i="67"/>
  <c r="F9" i="15"/>
  <c r="F43" i="15"/>
  <c r="M6" i="67"/>
  <c r="L47" i="67"/>
  <c r="M28" i="67"/>
  <c r="F43" i="67"/>
  <c r="C76" i="15"/>
  <c r="E12" i="76"/>
  <c r="E2" i="68"/>
  <c r="M9" i="67"/>
  <c r="F9" i="67"/>
  <c r="F26" i="67"/>
  <c r="F7" i="15"/>
  <c r="F8" i="67"/>
  <c r="E8" i="76"/>
  <c r="B7" i="76"/>
  <c r="D93" i="9" l="1"/>
  <c r="F11" i="1"/>
  <c r="G11" i="1" s="1"/>
  <c r="G44" i="43"/>
  <c r="F6" i="1"/>
  <c r="D58" i="43"/>
  <c r="D53" i="43"/>
  <c r="D55" i="43"/>
  <c r="H69" i="43"/>
  <c r="M85" i="43"/>
  <c r="N85" i="43" s="1"/>
  <c r="J1" i="73"/>
  <c r="BL14" i="3"/>
  <c r="G27" i="6"/>
  <c r="G13" i="3"/>
  <c r="BA19" i="3"/>
  <c r="AZ19" i="3" s="1"/>
  <c r="BA15" i="3"/>
  <c r="BO5" i="3"/>
  <c r="F29" i="6" s="1"/>
  <c r="BL16" i="3"/>
  <c r="AZ16" i="3"/>
  <c r="AP6" i="1"/>
  <c r="C7" i="36"/>
  <c r="C46" i="36" s="1"/>
  <c r="D46" i="36" s="1"/>
  <c r="E46" i="36" s="1"/>
  <c r="F46" i="36" s="1"/>
  <c r="G46" i="36" s="1"/>
  <c r="H46" i="36" s="1"/>
  <c r="I46" i="36" s="1"/>
  <c r="J51" i="15"/>
  <c r="C7" i="40"/>
  <c r="C63" i="40" s="1"/>
  <c r="C7" i="39"/>
  <c r="C67" i="39" s="1"/>
  <c r="C69" i="39" s="1"/>
  <c r="C7" i="34"/>
  <c r="M47" i="9"/>
  <c r="C7" i="35"/>
  <c r="C48" i="35" s="1"/>
  <c r="D48" i="35" s="1"/>
  <c r="E48" i="35" s="1"/>
  <c r="C7" i="21"/>
  <c r="C58" i="21" s="1"/>
  <c r="D58" i="21" s="1"/>
  <c r="C42" i="1"/>
  <c r="C24" i="12" s="1"/>
  <c r="C18" i="9"/>
  <c r="D18" i="9" s="1"/>
  <c r="B41" i="1"/>
  <c r="F32" i="67" s="1"/>
  <c r="F60" i="67" s="1"/>
  <c r="C40" i="11"/>
  <c r="C21" i="68"/>
  <c r="C40" i="68"/>
  <c r="C40" i="69"/>
  <c r="E19" i="68"/>
  <c r="E19" i="69"/>
  <c r="D22" i="15"/>
  <c r="D23" i="15"/>
  <c r="BA18" i="3"/>
  <c r="BL18" i="3"/>
  <c r="AZ17" i="3"/>
  <c r="H5" i="3"/>
  <c r="BK5" i="3"/>
  <c r="BG5" i="3"/>
  <c r="BE5" i="3"/>
  <c r="BA14" i="3"/>
  <c r="AZ14" i="3" s="1"/>
  <c r="BL15" i="3"/>
  <c r="AZ15" i="3" s="1"/>
  <c r="BN5" i="3"/>
  <c r="G29" i="6" s="1"/>
  <c r="BA13" i="3"/>
  <c r="BC5" i="3"/>
  <c r="E15" i="6" s="1"/>
  <c r="E64" i="39"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O6" i="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Q16" i="1"/>
  <c r="F27" i="69" s="1"/>
  <c r="E8" i="6"/>
  <c r="F27" i="6" s="1"/>
  <c r="H16"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F66" i="15"/>
  <c r="Q71" i="67"/>
  <c r="F64" i="15"/>
  <c r="C27" i="67"/>
  <c r="F71" i="67"/>
  <c r="C27" i="15"/>
  <c r="F65" i="15"/>
  <c r="N59" i="67"/>
  <c r="L59" i="67"/>
  <c r="L58" i="67"/>
  <c r="M59" i="67"/>
  <c r="B13" i="70"/>
  <c r="M7" i="67"/>
  <c r="J6" i="67" s="1"/>
  <c r="F50" i="67"/>
  <c r="F68" i="67"/>
  <c r="F64" i="67"/>
  <c r="F68" i="15"/>
  <c r="C36" i="68"/>
  <c r="D9" i="69"/>
  <c r="C36" i="69"/>
  <c r="D9" i="68"/>
  <c r="C16" i="67"/>
  <c r="D3" i="73"/>
  <c r="L48" i="15"/>
  <c r="D5" i="73"/>
  <c r="D6" i="73"/>
  <c r="D7" i="73"/>
  <c r="D4" i="73"/>
  <c r="F28" i="67" l="1"/>
  <c r="C28" i="67" s="1"/>
  <c r="F28" i="15"/>
  <c r="C28" i="15" s="1"/>
  <c r="L58" i="15"/>
  <c r="Q60" i="15" s="1"/>
  <c r="J53" i="15"/>
  <c r="L56" i="15" s="1"/>
  <c r="M84" i="43"/>
  <c r="N84" i="43" s="1"/>
  <c r="K84" i="43"/>
  <c r="M86" i="43"/>
  <c r="N86" i="43" s="1"/>
  <c r="K86" i="43"/>
  <c r="M88" i="43"/>
  <c r="N88" i="43" s="1"/>
  <c r="K88" i="43"/>
  <c r="J88" i="43" s="1"/>
  <c r="D88" i="43" s="1"/>
  <c r="M90" i="43"/>
  <c r="N90" i="43" s="1"/>
  <c r="K90" i="43"/>
  <c r="K83" i="43"/>
  <c r="J83" i="43" s="1"/>
  <c r="D83" i="43" s="1"/>
  <c r="M83" i="43"/>
  <c r="N83" i="43" s="1"/>
  <c r="K89" i="43"/>
  <c r="M89" i="43"/>
  <c r="N89" i="43" s="1"/>
  <c r="K87" i="43"/>
  <c r="M87" i="43"/>
  <c r="N87" i="43" s="1"/>
  <c r="E13" i="6"/>
  <c r="G5" i="3"/>
  <c r="B3" i="3" s="1"/>
  <c r="F30" i="6"/>
  <c r="E10" i="6"/>
  <c r="E11" i="6"/>
  <c r="E60" i="39" s="1"/>
  <c r="E29" i="6"/>
  <c r="K15" i="1" s="1"/>
  <c r="J7" i="37"/>
  <c r="I54" i="15"/>
  <c r="N59" i="15"/>
  <c r="L59" i="15"/>
  <c r="Q74" i="15" s="1"/>
  <c r="J57" i="15"/>
  <c r="J55" i="15" s="1"/>
  <c r="J58" i="15" s="1"/>
  <c r="Q50" i="15" s="1"/>
  <c r="M59" i="15"/>
  <c r="D67" i="39"/>
  <c r="D69" i="39" s="1"/>
  <c r="E83" i="43"/>
  <c r="B81" i="43" s="1"/>
  <c r="F48" i="9"/>
  <c r="O52" i="9" s="1"/>
  <c r="F30" i="11"/>
  <c r="F30" i="69"/>
  <c r="F54" i="9"/>
  <c r="F31" i="12"/>
  <c r="C31" i="12" s="1"/>
  <c r="F32" i="15"/>
  <c r="F60" i="15" s="1"/>
  <c r="F30" i="68"/>
  <c r="M18" i="67"/>
  <c r="D68" i="9"/>
  <c r="F52" i="9"/>
  <c r="M18" i="15"/>
  <c r="J18" i="15" s="1"/>
  <c r="G30" i="6"/>
  <c r="G31" i="6" s="1"/>
  <c r="E14" i="6"/>
  <c r="E59" i="40" s="1"/>
  <c r="P6" i="1"/>
  <c r="C13" i="12" s="1"/>
  <c r="E28" i="6"/>
  <c r="K14" i="1" s="1"/>
  <c r="E12" i="6"/>
  <c r="E57" i="40" s="1"/>
  <c r="K1" i="73"/>
  <c r="E510" i="3"/>
  <c r="E575" i="3"/>
  <c r="R6" i="3"/>
  <c r="E541" i="3"/>
  <c r="E449" i="3"/>
  <c r="AP6" i="3"/>
  <c r="E554" i="3"/>
  <c r="E417" i="3"/>
  <c r="E56" i="3"/>
  <c r="E37" i="3"/>
  <c r="E258" i="3"/>
  <c r="E241" i="3"/>
  <c r="E349" i="3"/>
  <c r="E76" i="3"/>
  <c r="E409" i="3"/>
  <c r="E425" i="3"/>
  <c r="E46" i="3"/>
  <c r="E103" i="3"/>
  <c r="E160" i="3"/>
  <c r="E300" i="3"/>
  <c r="E371" i="3"/>
  <c r="E492" i="3"/>
  <c r="E84" i="3"/>
  <c r="E33" i="3"/>
  <c r="E144" i="3"/>
  <c r="E355" i="3"/>
  <c r="E381" i="3"/>
  <c r="E68" i="3"/>
  <c r="E264" i="3"/>
  <c r="E283" i="3"/>
  <c r="E513" i="3"/>
  <c r="E494" i="3"/>
  <c r="E281" i="3"/>
  <c r="E332" i="3"/>
  <c r="E42" i="3"/>
  <c r="E75" i="3"/>
  <c r="E482" i="3"/>
  <c r="E129" i="3"/>
  <c r="E174" i="3"/>
  <c r="E383" i="3"/>
  <c r="E86" i="3"/>
  <c r="E206" i="3"/>
  <c r="E251" i="3"/>
  <c r="E113" i="3"/>
  <c r="E287" i="3"/>
  <c r="E308" i="3"/>
  <c r="E140" i="3"/>
  <c r="E197" i="3"/>
  <c r="E525" i="3"/>
  <c r="T6" i="3"/>
  <c r="E456" i="3"/>
  <c r="E469" i="3"/>
  <c r="E451" i="3"/>
  <c r="E360" i="3"/>
  <c r="E556" i="3"/>
  <c r="E452" i="3"/>
  <c r="E470" i="3"/>
  <c r="E26" i="3"/>
  <c r="E41" i="3"/>
  <c r="E225" i="3"/>
  <c r="E243" i="3"/>
  <c r="E412" i="3"/>
  <c r="E78" i="3"/>
  <c r="E190" i="3"/>
  <c r="E342" i="3"/>
  <c r="E35" i="3"/>
  <c r="E232" i="3"/>
  <c r="E80" i="3"/>
  <c r="E326" i="3"/>
  <c r="E83" i="3"/>
  <c r="E188" i="3"/>
  <c r="E223" i="3"/>
  <c r="E116" i="3"/>
  <c r="E493" i="3"/>
  <c r="E564" i="3"/>
  <c r="E427" i="3"/>
  <c r="E507" i="3"/>
  <c r="E440" i="3"/>
  <c r="E490" i="3"/>
  <c r="J6" i="3"/>
  <c r="E498" i="3"/>
  <c r="E419" i="3"/>
  <c r="E40" i="3"/>
  <c r="E25" i="3"/>
  <c r="E178" i="3"/>
  <c r="E226" i="3"/>
  <c r="E346" i="3"/>
  <c r="E333" i="3"/>
  <c r="E60" i="3"/>
  <c r="E43" i="3"/>
  <c r="E540" i="3"/>
  <c r="E455" i="3"/>
  <c r="E79" i="3"/>
  <c r="E170" i="3"/>
  <c r="E194" i="3"/>
  <c r="E299" i="3"/>
  <c r="E339" i="3"/>
  <c r="AQ6" i="3"/>
  <c r="E52" i="3"/>
  <c r="E36" i="3"/>
  <c r="E147" i="3"/>
  <c r="E289" i="3"/>
  <c r="E364" i="3"/>
  <c r="E20" i="3"/>
  <c r="E176" i="3"/>
  <c r="E218" i="3"/>
  <c r="E524" i="3"/>
  <c r="E101" i="3"/>
  <c r="E165" i="3"/>
  <c r="E398" i="3"/>
  <c r="E566" i="3"/>
  <c r="E90" i="3"/>
  <c r="E348" i="3"/>
  <c r="E521" i="3"/>
  <c r="E65" i="3"/>
  <c r="E250" i="3"/>
  <c r="E51" i="3"/>
  <c r="E222" i="3"/>
  <c r="E421" i="3"/>
  <c r="E416" i="3"/>
  <c r="E520" i="3"/>
  <c r="E110" i="3"/>
  <c r="E138" i="3"/>
  <c r="E209" i="3"/>
  <c r="E284" i="3"/>
  <c r="E19" i="3"/>
  <c r="E323" i="3"/>
  <c r="E582" i="3"/>
  <c r="E436" i="3"/>
  <c r="E375" i="3"/>
  <c r="E266" i="3"/>
  <c r="E341" i="3"/>
  <c r="E373"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D1" i="43" s="1"/>
  <c r="E51" i="40"/>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AA7" i="36"/>
  <c r="R36" i="36" s="1"/>
  <c r="AC7" i="37"/>
  <c r="W7" i="37"/>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J18" i="67"/>
  <c r="F1" i="67"/>
  <c r="Q52" i="67"/>
  <c r="Q61" i="67"/>
  <c r="Q74" i="67"/>
  <c r="AE11" i="1"/>
  <c r="AE9" i="1"/>
  <c r="F27" i="68"/>
  <c r="AE7" i="1"/>
  <c r="AE8" i="1"/>
  <c r="AE12" i="1"/>
  <c r="AE10" i="1"/>
  <c r="F41" i="67"/>
  <c r="G1" i="73"/>
  <c r="Q73" i="15" l="1"/>
  <c r="F1" i="15"/>
  <c r="Q52" i="15"/>
  <c r="E212" i="3"/>
  <c r="E539" i="3"/>
  <c r="E442" i="3"/>
  <c r="I3" i="6"/>
  <c r="E491" i="3"/>
  <c r="E95" i="3"/>
  <c r="E363" i="3"/>
  <c r="E5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542" i="3"/>
  <c r="E47" i="3"/>
  <c r="E464" i="3"/>
  <c r="E354" i="3"/>
  <c r="E57" i="3"/>
  <c r="E312" i="3"/>
  <c r="E386" i="3"/>
  <c r="E155" i="3"/>
  <c r="E552" i="3"/>
  <c r="E265" i="3"/>
  <c r="E50" i="3"/>
  <c r="E123" i="3"/>
  <c r="E325" i="3"/>
  <c r="E137" i="3"/>
  <c r="E15" i="3"/>
  <c r="E372" i="3"/>
  <c r="E202" i="3"/>
  <c r="E463" i="3"/>
  <c r="E376" i="3"/>
  <c r="E486" i="3"/>
  <c r="E393" i="3"/>
  <c r="E329" i="3"/>
  <c r="E370" i="3"/>
  <c r="E324" i="3"/>
  <c r="E356" i="3"/>
  <c r="E104" i="3"/>
  <c r="E13" i="3"/>
  <c r="E512" i="3"/>
  <c r="E534" i="3"/>
  <c r="E205" i="3"/>
  <c r="AF6" i="3"/>
  <c r="E522" i="3"/>
  <c r="E96" i="3"/>
  <c r="E391" i="3"/>
  <c r="E21" i="3"/>
  <c r="E81" i="3"/>
  <c r="E184" i="3"/>
  <c r="E23" i="3"/>
  <c r="E249" i="3"/>
  <c r="E467" i="3"/>
  <c r="E389" i="3"/>
  <c r="E192" i="3"/>
  <c r="E435" i="3"/>
  <c r="E430" i="3"/>
  <c r="E536" i="3"/>
  <c r="AB7" i="36"/>
  <c r="T36" i="36" s="1"/>
  <c r="G36" i="36" s="1"/>
  <c r="D90" i="43"/>
  <c r="J90" i="43"/>
  <c r="D86" i="43"/>
  <c r="J86" i="43"/>
  <c r="D89" i="43"/>
  <c r="J89" i="43"/>
  <c r="D84" i="43"/>
  <c r="J84" i="43"/>
  <c r="D87" i="43"/>
  <c r="J87" i="43"/>
  <c r="C32" i="15"/>
  <c r="E484" i="3"/>
  <c r="E544" i="3"/>
  <c r="E292" i="3"/>
  <c r="E152" i="3"/>
  <c r="E479" i="3"/>
  <c r="E517" i="3"/>
  <c r="E255" i="3"/>
  <c r="E466" i="3"/>
  <c r="E286" i="3"/>
  <c r="E502" i="3"/>
  <c r="E199" i="3"/>
  <c r="K16" i="1"/>
  <c r="M14" i="1"/>
  <c r="M16" i="1" s="1"/>
  <c r="E499" i="3"/>
  <c r="E56" i="40"/>
  <c r="Q61" i="15"/>
  <c r="N20" i="1"/>
  <c r="E63" i="39"/>
  <c r="F48" i="68"/>
  <c r="C48" i="68"/>
  <c r="C30" i="68"/>
  <c r="F48" i="69"/>
  <c r="C48" i="69"/>
  <c r="C30" i="69"/>
  <c r="C48" i="11"/>
  <c r="C30" i="11"/>
  <c r="E16" i="6"/>
  <c r="H6" i="3"/>
  <c r="AC6" i="3"/>
  <c r="E3" i="6"/>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88" i="9" s="1"/>
  <c r="C89" i="9" s="1"/>
  <c r="C87" i="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L18" i="9"/>
  <c r="C17" i="4"/>
  <c r="B4" i="52" s="1"/>
  <c r="B43" i="72" s="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13" i="15"/>
  <c r="M27" i="67"/>
  <c r="M27" i="15"/>
  <c r="AE6" i="1"/>
  <c r="F41" i="15" s="1"/>
  <c r="C16" i="15"/>
  <c r="E6" i="6" l="1"/>
  <c r="D10" i="11" s="1"/>
  <c r="C10" i="11" s="1"/>
  <c r="U19" i="1"/>
  <c r="I53" i="34"/>
  <c r="J53" i="34" s="1"/>
  <c r="I46" i="37"/>
  <c r="J46" i="37" s="1"/>
  <c r="Y6" i="1"/>
  <c r="N14" i="1"/>
  <c r="D3" i="37"/>
  <c r="D19" i="11"/>
  <c r="C19" i="11" s="1"/>
  <c r="C20" i="11" s="1"/>
  <c r="C28" i="11" s="1"/>
  <c r="C27" i="11" s="1"/>
  <c r="D37" i="11"/>
  <c r="D3" i="33"/>
  <c r="D3" i="34"/>
  <c r="B14" i="74"/>
  <c r="B1" i="74" s="1"/>
  <c r="E6" i="3"/>
  <c r="F25" i="12"/>
  <c r="C26" i="12" s="1"/>
  <c r="D25" i="12" s="1"/>
  <c r="F24" i="15"/>
  <c r="C24" i="15" s="1"/>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D26" i="6"/>
  <c r="D8" i="6"/>
  <c r="D14"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D10" i="68"/>
  <c r="C17" i="67"/>
  <c r="C17" i="15"/>
  <c r="C14" i="67"/>
  <c r="H21" i="6" l="1"/>
  <c r="D20" i="12"/>
  <c r="C20" i="12" s="1"/>
  <c r="D10" i="69"/>
  <c r="C10" i="69" s="1"/>
  <c r="C8" i="69" s="1"/>
  <c r="C5" i="69" s="1"/>
  <c r="D6" i="6"/>
  <c r="H24" i="6"/>
  <c r="AR13" i="1"/>
  <c r="AQ13" i="1"/>
  <c r="D30" i="6"/>
  <c r="H22" i="6"/>
  <c r="H25" i="6"/>
  <c r="C14" i="74"/>
  <c r="B2" i="74" s="1"/>
  <c r="D7" i="74" s="1"/>
  <c r="C24" i="11"/>
  <c r="C44" i="69"/>
  <c r="D41" i="69" s="1"/>
  <c r="C26" i="69"/>
  <c r="D22" i="69" s="1"/>
  <c r="C23" i="11"/>
  <c r="C25" i="11"/>
  <c r="C26" i="68"/>
  <c r="D22" i="68" s="1"/>
  <c r="C44" i="68"/>
  <c r="D41" i="68" s="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19" i="69" l="1"/>
  <c r="C19" i="69" s="1"/>
  <c r="C24" i="69"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I5" i="6"/>
  <c r="I6" i="6"/>
  <c r="G3" i="43" s="1"/>
  <c r="C23" i="69"/>
  <c r="I69" i="39"/>
  <c r="J67" i="39"/>
  <c r="I63" i="40"/>
  <c r="H65" i="40"/>
  <c r="I58" i="21"/>
  <c r="J58" i="21" s="1"/>
  <c r="K58" i="21" s="1"/>
  <c r="L58" i="21" s="1"/>
  <c r="M58" i="21" s="1"/>
  <c r="N58" i="21" s="1"/>
  <c r="O58" i="21" s="1"/>
  <c r="H7" i="21" s="1"/>
  <c r="J48" i="35"/>
  <c r="D37" i="69" l="1"/>
  <c r="C37" i="69" s="1"/>
  <c r="C33" i="69" s="1"/>
  <c r="C42" i="69" s="1"/>
  <c r="H26" i="43"/>
  <c r="J26" i="43"/>
  <c r="N94" i="46"/>
  <c r="G26" i="43"/>
  <c r="F26" i="43"/>
  <c r="B116" i="43"/>
  <c r="E26" i="43"/>
  <c r="Z7" i="43"/>
  <c r="N370" i="46"/>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J69" i="39"/>
  <c r="K67" i="39"/>
  <c r="U7" i="21"/>
  <c r="AB7" i="21"/>
  <c r="T48" i="21" s="1"/>
  <c r="G48" i="21" s="1"/>
  <c r="J63" i="40"/>
  <c r="I65" i="40"/>
  <c r="K48" i="35"/>
  <c r="L48" i="35" s="1"/>
  <c r="M48" i="35" s="1"/>
  <c r="N48" i="35" s="1"/>
  <c r="O48" i="35" s="1"/>
  <c r="H7" i="35" s="1"/>
  <c r="C39" i="69" l="1"/>
  <c r="C43" i="69" s="1"/>
  <c r="C41" i="69" s="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R27" i="6"/>
  <c r="R6" i="1"/>
  <c r="C25" i="69"/>
  <c r="C22" i="69" s="1"/>
  <c r="C31" i="69" s="1"/>
  <c r="L67" i="39"/>
  <c r="K69" i="39"/>
  <c r="J65" i="40"/>
  <c r="K63" i="40"/>
  <c r="I52" i="21"/>
  <c r="J52" i="21" s="1"/>
  <c r="U7" i="35"/>
  <c r="AB7" i="35"/>
  <c r="T38" i="35" s="1"/>
  <c r="G38" i="35" s="1"/>
  <c r="G52" i="21"/>
  <c r="H52" i="21" s="1"/>
  <c r="G53" i="21"/>
  <c r="H53" i="21" s="1"/>
  <c r="F7" i="35"/>
  <c r="F35" i="15"/>
  <c r="F35" i="67"/>
  <c r="M21" i="15"/>
  <c r="M21" i="67"/>
  <c r="C46" i="69" l="1"/>
  <c r="C45" i="69" s="1"/>
  <c r="C49" i="69" s="1"/>
  <c r="C51" i="69" s="1"/>
  <c r="C52" i="69" s="1"/>
  <c r="B2" i="69" s="1"/>
  <c r="B3" i="69" s="1"/>
  <c r="E48" i="21"/>
  <c r="C118" i="43"/>
  <c r="D116" i="43"/>
  <c r="C33" i="43"/>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E33" i="43" l="1"/>
  <c r="C30" i="43" s="1"/>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67"/>
  <c r="D2" i="33"/>
  <c r="B6" i="76"/>
  <c r="B2" i="76" l="1"/>
  <c r="B3" i="76" s="1"/>
  <c r="B3" i="43"/>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1" i="1"/>
  <c r="AO9" i="1"/>
  <c r="AO8" i="1"/>
  <c r="AO12"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35" i="9"/>
  <c r="G21" i="9" l="1"/>
  <c r="D28" i="9"/>
  <c r="C103" i="9"/>
  <c r="G20" i="9"/>
  <c r="C32" i="9" s="1"/>
  <c r="C35" i="9" s="1"/>
  <c r="C34" i="9" s="1"/>
  <c r="D118" i="9" s="1"/>
  <c r="D4" i="52" s="1"/>
  <c r="B47" i="72" s="1"/>
  <c r="F118" i="9" l="1"/>
  <c r="F119" i="9" s="1"/>
  <c r="F5" i="52" s="1"/>
  <c r="B53" i="72" s="1"/>
  <c r="H118" i="9"/>
  <c r="H4" i="52" s="1"/>
  <c r="D119" i="9"/>
  <c r="D5" i="52" s="1"/>
  <c r="B49" i="72" s="1"/>
  <c r="F4" i="52" l="1"/>
  <c r="B51" i="72" s="1"/>
  <c r="D14" i="74"/>
  <c r="B5" i="74" s="1"/>
  <c r="D5" i="74" s="1"/>
  <c r="I118" i="9"/>
  <c r="I4" i="52" s="1"/>
  <c r="C104" i="9"/>
  <c r="G118" i="9"/>
  <c r="G4" i="52" s="1"/>
  <c r="B52" i="72" s="1"/>
  <c r="H119" i="9"/>
  <c r="H5" i="52" s="1"/>
  <c r="H101" i="9"/>
  <c r="D5" i="53" s="1"/>
  <c r="D6" i="53" s="1"/>
  <c r="B22" i="72" s="1"/>
  <c r="F14" i="74" l="1"/>
  <c r="E14" i="74"/>
  <c r="C105" i="9"/>
  <c r="D45" i="9"/>
  <c r="D52" i="9" s="1"/>
  <c r="E118" i="9"/>
  <c r="E4" i="52" s="1"/>
  <c r="B48" i="72" s="1"/>
  <c r="H102" i="9"/>
  <c r="D7" i="53" s="1"/>
  <c r="B21" i="72" s="1"/>
  <c r="B20" i="72"/>
  <c r="H107" i="9"/>
  <c r="D13" i="53" s="1"/>
  <c r="M48" i="9"/>
  <c r="C5" i="74"/>
  <c r="D59" i="9"/>
  <c r="M55" i="9" s="1"/>
  <c r="C78" i="9" l="1"/>
  <c r="C73" i="9" s="1"/>
  <c r="C85" i="9"/>
  <c r="D55" i="9"/>
  <c r="M53" i="9" s="1"/>
  <c r="C64" i="9"/>
  <c r="C63" i="9" s="1"/>
  <c r="C67" i="9" s="1"/>
  <c r="C68" i="9" s="1"/>
  <c r="D54" i="9" s="1"/>
  <c r="C72" i="9"/>
  <c r="C93" i="9"/>
  <c r="C86" i="9" s="1"/>
  <c r="C95" i="9" s="1"/>
  <c r="C96" i="9" s="1"/>
  <c r="E96" i="9" s="1"/>
  <c r="E97" i="9" s="1"/>
  <c r="D53" i="9"/>
  <c r="D48" i="9" s="1"/>
  <c r="M52" i="9" s="1"/>
  <c r="D122" i="9"/>
  <c r="G14" i="74" s="1"/>
  <c r="B6" i="74" s="1"/>
  <c r="D6" i="74" s="1"/>
  <c r="H108" i="9"/>
  <c r="D15" i="53" s="1"/>
  <c r="B31" i="72" s="1"/>
  <c r="M49" i="9"/>
  <c r="Q54" i="9" s="1"/>
  <c r="B30" i="72"/>
  <c r="D14" i="53"/>
  <c r="B32" i="72" s="1"/>
  <c r="C79" i="9" l="1"/>
  <c r="C80" i="9" s="1"/>
  <c r="E80" i="9" s="1"/>
  <c r="E81" i="9" s="1"/>
  <c r="D123" i="9"/>
  <c r="D9" i="52" s="1"/>
  <c r="D8" i="52"/>
  <c r="C6" i="74"/>
  <c r="L67" i="9"/>
  <c r="M67" i="9" s="1"/>
  <c r="L64" i="9"/>
  <c r="M64" i="9" s="1"/>
  <c r="L66" i="9"/>
  <c r="M66" i="9" s="1"/>
  <c r="L65" i="9"/>
  <c r="M65" i="9" s="1"/>
  <c r="L68" i="9"/>
  <c r="M68" i="9" s="1"/>
  <c r="L63" i="9"/>
  <c r="M63" i="9" s="1"/>
  <c r="Q57" i="9"/>
  <c r="Q59" i="9" s="1"/>
  <c r="D126" i="9" s="1"/>
  <c r="H111" i="9" s="1"/>
  <c r="C97" i="9"/>
  <c r="D58" i="9" s="1"/>
  <c r="D56" i="9" s="1"/>
  <c r="M54" i="9" s="1"/>
  <c r="N57" i="9" s="1"/>
  <c r="P57" i="9" s="1"/>
  <c r="C81" i="9" l="1"/>
  <c r="M69" i="9"/>
  <c r="N69" i="9" s="1"/>
  <c r="Q61" i="9"/>
  <c r="H112" i="9" s="1"/>
  <c r="I14" i="74"/>
  <c r="Q60" i="9"/>
  <c r="N58" i="9"/>
  <c r="N59" i="9"/>
  <c r="N61" i="9" l="1"/>
  <c r="D21" i="53" s="1"/>
  <c r="B39" i="72" s="1"/>
  <c r="N60" i="9"/>
  <c r="B8" i="74" l="1"/>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<sst xmlns="http://schemas.openxmlformats.org/spreadsheetml/2006/main" count="7908" uniqueCount="3470">
  <si>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</si>
  <si>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</si>
  <si>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</si>
  <si>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</si>
  <si>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</si>
  <si>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</si>
  <si>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</si>
  <si>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</si>
  <si>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</si>
  <si>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</si>
  <si>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</si>
  <si>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</si>
  <si>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</si>
  <si>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</si>
  <si>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</si>
  <si>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</si>
  <si>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</si>
  <si>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</si>
  <si>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</si>
  <si>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</si>
  <si>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</si>
  <si>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</si>
  <si>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</si>
  <si>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</si>
  <si>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</si>
  <si>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</si>
  <si>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</si>
  <si>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</si>
  <si>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</si>
  <si>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</si>
  <si>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</si>
  <si>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</si>
  <si>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</si>
  <si>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</si>
  <si>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</si>
  <si>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</si>
  <si>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</si>
  <si>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</si>
  <si>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</si>
  <si>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</si>
  <si>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</si>
  <si>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</si>
  <si>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</si>
  <si>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</si>
  <si>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</si>
  <si>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</si>
  <si>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</si>
  <si>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</si>
  <si>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</si>
  <si>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</si>
  <si>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</si>
  <si>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</si>
  <si>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</si>
  <si>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</si>
  <si>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</si>
  <si>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</si>
  <si>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</si>
  <si>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</si>
  <si>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</si>
  <si>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</si>
  <si>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</si>
  <si>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</si>
  <si>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</si>
  <si>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</si>
  <si>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</si>
  <si>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</si>
  <si>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</si>
  <si>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</si>
  <si>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</si>
  <si>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</si>
  <si>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</si>
  <si>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</si>
  <si>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</si>
  <si>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</si>
  <si>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</si>
  <si>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</si>
  <si>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</si>
  <si>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</si>
  <si>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</si>
  <si>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</si>
  <si>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</si>
  <si>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</si>
  <si>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</si>
  <si>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</si>
  <si>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</si>
  <si>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</si>
  <si>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</si>
  <si>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</si>
  <si>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</si>
  <si>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</si>
  <si>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</si>
  <si>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</si>
  <si>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</si>
  <si>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</si>
  <si>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</si>
  <si>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</si>
  <si>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</si>
  <si>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</si>
  <si>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</si>
  <si>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</si>
  <si>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</si>
  <si>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</si>
  <si>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</si>
  <si>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</si>
  <si>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</si>
  <si>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</si>
  <si>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</si>
  <si>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</si>
  <si>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</si>
  <si>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</si>
  <si>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</si>
  <si>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</si>
  <si>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</si>
  <si>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</si>
  <si>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</si>
  <si>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</si>
  <si>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</si>
  <si>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</si>
  <si>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</si>
  <si>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</si>
  <si>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</si>
  <si>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</si>
  <si>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</si>
  <si>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</si>
  <si>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</si>
  <si>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</si>
  <si>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</si>
  <si>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</si>
  <si>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</si>
  <si>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</si>
  <si>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</si>
  <si>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</si>
  <si>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</si>
  <si>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</si>
  <si>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</si>
  <si>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</si>
  <si>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</si>
  <si>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</si>
  <si>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</si>
  <si>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</si>
  <si>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</si>
  <si>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</si>
  <si>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</si>
  <si>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</si>
  <si>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</si>
  <si>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</si>
  <si>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</si>
  <si>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</si>
  <si>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</si>
  <si>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</si>
  <si>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</si>
  <si>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</si>
  <si>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</si>
  <si>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</si>
  <si>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</si>
  <si>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</si>
  <si>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</si>
  <si>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</si>
  <si>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</si>
  <si>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</si>
  <si>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</si>
  <si>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</si>
  <si>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</si>
  <si>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</si>
  <si>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</si>
  <si>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</si>
  <si>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</si>
  <si>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</si>
  <si>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</si>
  <si>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</si>
  <si>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</si>
  <si>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</si>
  <si>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</si>
  <si>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</si>
  <si>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</si>
  <si>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</si>
  <si>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</si>
  <si>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</si>
  <si>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</si>
  <si>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</si>
  <si>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</si>
  <si>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</si>
  <si>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</si>
  <si>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</si>
  <si>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</si>
  <si>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</si>
  <si>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</si>
  <si>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</si>
  <si>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</si>
  <si>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</si>
  <si>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</si>
  <si>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</si>
  <si>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</si>
  <si>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</si>
  <si>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</si>
  <si>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</si>
  <si>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</si>
  <si>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</si>
  <si>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</si>
  <si>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</si>
  <si>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</si>
  <si>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</si>
  <si>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</si>
  <si>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</si>
  <si>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</si>
  <si>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</si>
  <si>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</si>
  <si>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</si>
  <si>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</si>
  <si>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</si>
  <si>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</si>
  <si>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</si>
  <si>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</si>
  <si>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</si>
  <si>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</si>
  <si>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</si>
  <si>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</si>
  <si>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</si>
  <si>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</si>
  <si>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</si>
  <si>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</si>
  <si>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</si>
  <si>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</si>
  <si>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</si>
  <si>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</si>
  <si>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</si>
  <si>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</si>
  <si>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</si>
  <si>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</si>
  <si>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</si>
  <si>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</si>
  <si>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</si>
  <si>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</si>
  <si>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</si>
  <si>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</si>
  <si>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</si>
  <si>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</si>
  <si>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</si>
  <si>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</si>
  <si>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</si>
  <si>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</si>
  <si>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</si>
  <si>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</si>
  <si>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</si>
  <si>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</si>
  <si>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</si>
  <si>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</si>
  <si>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</si>
  <si>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</si>
  <si>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</si>
  <si>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</si>
  <si>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</si>
  <si>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</si>
  <si>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</si>
  <si>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</si>
  <si>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</si>
  <si>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</si>
  <si>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</si>
  <si>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</si>
  <si>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</si>
  <si>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</si>
  <si>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</si>
  <si>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</si>
  <si>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</si>
  <si>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</si>
  <si>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</si>
  <si>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</si>
  <si>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</si>
  <si>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</si>
  <si>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</si>
  <si>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</si>
  <si>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</si>
  <si>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</si>
  <si>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</si>
  <si>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</si>
  <si>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</si>
  <si>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</si>
  <si>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</si>
  <si>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</si>
  <si>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</si>
  <si>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</si>
  <si>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</si>
  <si>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</si>
  <si>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</si>
  <si>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</si>
  <si>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</si>
  <si>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</si>
  <si>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</si>
  <si>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</si>
  <si>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</si>
  <si>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</si>
  <si>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</si>
  <si>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</si>
  <si>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</si>
  <si>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</si>
  <si>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</si>
  <si>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</si>
  <si>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</si>
  <si>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</si>
  <si>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</si>
  <si>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</si>
  <si>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</si>
  <si>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</si>
  <si>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</si>
  <si>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</si>
  <si>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</si>
  <si>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</si>
  <si>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</si>
  <si>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</si>
  <si>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</si>
  <si>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</si>
  <si>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</si>
  <si>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</si>
  <si>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</si>
  <si>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</si>
  <si>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</si>
  <si>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</si>
  <si>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</si>
  <si>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</si>
  <si>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</si>
  <si>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</si>
  <si>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</si>
  <si>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</si>
  <si>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</si>
  <si>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</si>
  <si>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</si>
  <si>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</si>
  <si>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</si>
  <si>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</si>
  <si>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</si>
  <si>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</si>
  <si>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</si>
  <si>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</si>
  <si>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</si>
  <si>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</si>
  <si>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</si>
  <si>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</si>
  <si>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</si>
  <si>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</si>
  <si>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</si>
  <si>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</si>
  <si>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</si>
  <si>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</si>
  <si>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</si>
  <si>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</si>
  <si>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</si>
  <si>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</si>
  <si>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</si>
  <si>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</si>
  <si>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</si>
  <si>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</si>
  <si>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</si>
  <si>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</si>
  <si>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</si>
  <si>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</si>
  <si>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</si>
  <si>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</si>
  <si>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</si>
  <si>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</si>
  <si>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</si>
  <si>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</si>
  <si>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</si>
  <si>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</si>
  <si>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</si>
  <si>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</si>
  <si>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</si>
  <si>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</si>
  <si>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</si>
  <si>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</si>
  <si>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</si>
  <si>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</si>
  <si>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</si>
  <si>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</si>
  <si>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</si>
  <si>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</si>
  <si>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</si>
  <si>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</si>
  <si>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</si>
  <si>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</si>
  <si>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</si>
  <si>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</si>
  <si>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</si>
  <si>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</si>
  <si>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</si>
  <si>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</si>
  <si>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</si>
  <si>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</si>
  <si>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</si>
  <si>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</si>
  <si>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</si>
  <si>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</si>
  <si>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</si>
  <si>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</si>
  <si>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</si>
  <si>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</si>
  <si>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</si>
  <si>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</si>
  <si>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</si>
  <si>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</si>
  <si>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</si>
  <si>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</si>
  <si>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</si>
  <si>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</si>
  <si>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</si>
  <si>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</si>
  <si>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</si>
  <si>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</si>
  <si>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</si>
  <si>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</si>
  <si>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</si>
  <si>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</si>
  <si>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</si>
  <si>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</si>
  <si>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</si>
  <si>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</si>
  <si>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</si>
  <si>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</si>
  <si>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</si>
  <si>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</si>
  <si>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</si>
  <si>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</si>
  <si>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</si>
  <si>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</si>
  <si>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</si>
  <si>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</si>
  <si>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</si>
  <si>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</si>
  <si>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</si>
  <si>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</si>
  <si>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</si>
  <si>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</si>
  <si>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</si>
  <si>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</si>
  <si>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</si>
  <si>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</si>
  <si>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</si>
  <si>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</si>
  <si>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</si>
  <si>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</si>
  <si>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</si>
  <si>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</si>
  <si>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</si>
  <si>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</si>
  <si>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</si>
  <si>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</si>
  <si>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</si>
  <si>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</si>
  <si>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</si>
  <si>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</si>
  <si>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</si>
  <si>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</si>
  <si>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</si>
  <si>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</si>
  <si>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</si>
  <si>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</si>
  <si>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</si>
  <si>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</si>
  <si>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</si>
  <si>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</si>
  <si>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</si>
  <si>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</si>
  <si>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</si>
  <si>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</si>
  <si>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</si>
  <si>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</si>
  <si>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</si>
  <si>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</si>
  <si>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</si>
  <si>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</si>
  <si>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</si>
  <si>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</si>
  <si>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</si>
  <si>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</si>
  <si>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</si>
  <si>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</si>
  <si>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</si>
  <si>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</si>
  <si>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</si>
  <si>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</si>
  <si>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</si>
  <si>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</si>
  <si>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</si>
  <si>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</si>
  <si>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</si>
  <si>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</si>
  <si>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</si>
  <si>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</si>
  <si>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</si>
  <si>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</si>
  <si>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</si>
  <si>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</si>
  <si>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</si>
  <si>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</si>
  <si>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</si>
  <si>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</si>
  <si>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</si>
  <si>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</si>
  <si>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</si>
  <si>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</si>
  <si>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</si>
  <si>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</si>
  <si>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</si>
  <si>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</si>
  <si>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</si>
  <si>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</si>
  <si>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</si>
  <si>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</si>
  <si>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</si>
  <si>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</si>
  <si>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</si>
  <si>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</si>
  <si>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</si>
  <si>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</si>
  <si>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</si>
  <si>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</si>
  <si>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</si>
  <si>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</si>
  <si>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</si>
  <si>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</si>
  <si>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</si>
  <si>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</si>
  <si>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</si>
  <si>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</si>
  <si>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</si>
  <si>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</si>
  <si>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</si>
  <si>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</si>
  <si>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</si>
  <si>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</si>
  <si>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</si>
  <si>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</si>
  <si>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</si>
  <si>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</si>
  <si>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</si>
  <si>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</si>
  <si>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</si>
  <si>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</si>
  <si>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</si>
  <si>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</si>
  <si>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</si>
  <si>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</si>
  <si>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</si>
  <si>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</si>
  <si>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</si>
  <si>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</si>
  <si>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</si>
  <si>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</si>
  <si>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</si>
  <si>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</si>
  <si>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</si>
  <si>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</si>
  <si>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</si>
  <si>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</si>
  <si>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</si>
  <si>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</si>
  <si>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</si>
  <si>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</si>
  <si>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</si>
  <si>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</si>
  <si>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</si>
  <si>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</si>
  <si>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</si>
  <si>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</si>
  <si>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</si>
  <si>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</si>
  <si>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</si>
  <si>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</si>
  <si>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</si>
  <si>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</si>
  <si>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</si>
  <si>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</si>
  <si>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</si>
  <si>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</si>
  <si>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</si>
  <si>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</si>
  <si>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</si>
  <si>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</si>
  <si>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</si>
  <si>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</si>
  <si>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</si>
  <si>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</si>
  <si>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</si>
  <si>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</si>
  <si>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</si>
  <si>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</si>
  <si>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</si>
  <si>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</si>
  <si>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</si>
  <si>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</si>
  <si>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</si>
  <si>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</si>
  <si>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</si>
  <si>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</si>
  <si>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</si>
  <si>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</si>
  <si>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</si>
  <si>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</si>
  <si>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</si>
  <si>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</si>
  <si>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</si>
  <si>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</si>
  <si>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</si>
  <si>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</si>
  <si>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</si>
  <si>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</si>
  <si>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</si>
  <si>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</si>
  <si>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</si>
  <si>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</si>
  <si>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</si>
  <si>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</si>
  <si>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</si>
  <si>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</si>
  <si>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</si>
  <si>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</si>
  <si>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</si>
  <si>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</si>
  <si>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</si>
  <si>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</si>
  <si>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</si>
  <si>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</si>
  <si>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</si>
  <si>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</si>
  <si>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</si>
  <si>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</si>
  <si>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</si>
  <si>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</si>
  <si>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</si>
  <si>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</si>
  <si>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</si>
  <si>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</si>
  <si>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</si>
  <si>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</si>
  <si>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</si>
  <si>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</si>
  <si>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</si>
  <si>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</si>
  <si>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</si>
  <si>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</si>
  <si>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</si>
  <si>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</si>
  <si>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</si>
  <si>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</si>
  <si>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</si>
  <si>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</si>
  <si>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</si>
  <si>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</si>
  <si>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</si>
  <si>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</si>
  <si>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</si>
  <si>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</si>
  <si>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</si>
  <si>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</si>
  <si>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</si>
  <si>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</si>
  <si>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</si>
  <si>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</si>
  <si>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</si>
  <si>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</si>
  <si>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</si>
  <si>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</si>
  <si>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</si>
  <si>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</si>
  <si>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</si>
  <si>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</si>
  <si>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</si>
  <si>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</si>
  <si>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</si>
  <si>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</si>
  <si>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</si>
  <si>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</si>
  <si>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</si>
  <si>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</si>
  <si>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</si>
  <si>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</si>
  <si>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</si>
  <si>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</si>
  <si>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</si>
  <si>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</si>
  <si>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</si>
  <si>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</si>
  <si>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</si>
  <si>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</si>
  <si>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</si>
  <si>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</si>
  <si>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</si>
  <si>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</si>
  <si>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</si>
  <si>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</si>
  <si>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</si>
  <si>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</si>
  <si>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</si>
  <si>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</si>
  <si>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</si>
  <si>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</si>
  <si>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</si>
  <si>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</si>
  <si>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</si>
  <si>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</si>
  <si>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</si>
  <si>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</si>
  <si>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</si>
  <si>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</si>
  <si>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</si>
  <si>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</si>
  <si>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</si>
  <si>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</si>
  <si>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</si>
  <si>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</si>
  <si>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</si>
  <si>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</si>
  <si>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</si>
  <si>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</si>
  <si>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</si>
  <si>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</si>
  <si>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</si>
  <si>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</si>
  <si>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</si>
  <si>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</si>
  <si>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</si>
  <si>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</si>
  <si>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</si>
  <si>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</si>
  <si>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</si>
  <si>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</si>
  <si>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</si>
  <si>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</si>
  <si>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</si>
  <si>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</si>
  <si>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</si>
  <si>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</si>
  <si>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</si>
  <si>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</si>
  <si>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</si>
  <si>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</si>
  <si>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</si>
  <si>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</si>
  <si>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</si>
  <si>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</si>
  <si>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</si>
  <si>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</si>
  <si>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</si>
  <si>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</si>
  <si>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</si>
  <si>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</si>
  <si>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</si>
  <si>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</si>
  <si>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</si>
  <si>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</si>
  <si>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</si>
  <si>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</si>
  <si>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</si>
  <si>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</si>
  <si>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</si>
  <si>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</si>
  <si>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</si>
  <si>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</si>
  <si>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</si>
  <si>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</si>
  <si>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</si>
  <si>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</si>
  <si>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</si>
  <si>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</si>
  <si>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</si>
  <si>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</si>
  <si>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</si>
  <si>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</si>
  <si>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</si>
  <si>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</si>
  <si>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</si>
  <si>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</si>
  <si>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</si>
  <si>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</si>
  <si>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</si>
  <si>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</si>
  <si>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</si>
  <si>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</si>
  <si>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</si>
  <si>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</si>
  <si>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</si>
  <si>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</si>
  <si>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</si>
  <si>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</si>
  <si>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</si>
  <si>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</si>
  <si>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</si>
  <si>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</si>
  <si>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</si>
  <si>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</si>
  <si>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</si>
  <si>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</si>
  <si>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</si>
  <si>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</si>
  <si>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</si>
  <si>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</si>
  <si>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</si>
  <si>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</si>
  <si>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</si>
  <si>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</si>
  <si>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</si>
  <si>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</si>
  <si>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</si>
  <si>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</si>
  <si>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</si>
  <si>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</si>
  <si>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</si>
  <si>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</si>
  <si>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</si>
  <si>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</si>
  <si>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</si>
  <si>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</si>
  <si>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</si>
  <si>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</si>
  <si>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</si>
  <si>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</si>
  <si>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</si>
  <si>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</si>
  <si>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</si>
  <si>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</si>
  <si>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</si>
  <si>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</si>
  <si>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</si>
  <si>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</si>
  <si>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</si>
  <si>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</si>
  <si>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</si>
  <si>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</si>
  <si>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</si>
  <si>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</si>
  <si>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</si>
  <si>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</si>
  <si>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</si>
  <si>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</si>
  <si>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</si>
  <si>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</si>
  <si>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</si>
  <si>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</si>
  <si>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</si>
  <si>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</si>
  <si>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</si>
  <si>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</si>
  <si>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</si>
  <si>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</si>
  <si>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</si>
  <si>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</si>
  <si>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</si>
  <si>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</si>
  <si>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</si>
  <si>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</si>
  <si>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</si>
  <si>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</si>
  <si>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</si>
  <si>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</si>
  <si>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</si>
  <si>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</si>
  <si>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</si>
  <si>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</si>
  <si>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</si>
  <si>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</si>
  <si>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</si>
  <si>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</si>
  <si>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</si>
  <si>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</si>
  <si>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</si>
  <si>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</si>
  <si>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</si>
  <si>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</si>
  <si>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</si>
  <si>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</si>
  <si>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</si>
  <si>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</si>
  <si>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</si>
  <si>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</si>
  <si>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</si>
  <si>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</si>
  <si>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</si>
  <si>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</si>
  <si>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</si>
  <si>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</si>
  <si>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</si>
  <si>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</si>
  <si>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</si>
  <si>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</si>
  <si>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</si>
  <si>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</si>
  <si>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</si>
  <si>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</si>
  <si>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</si>
  <si>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</si>
  <si>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</si>
  <si>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</si>
  <si>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</si>
  <si>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</si>
  <si>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</si>
  <si>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</si>
  <si>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</si>
  <si>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</si>
  <si>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</si>
  <si>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</si>
  <si>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</si>
  <si>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</si>
  <si>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</si>
  <si>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</si>
  <si>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</si>
  <si>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</si>
  <si>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</si>
  <si>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</si>
  <si>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</si>
  <si>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</si>
  <si>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</si>
  <si>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</si>
  <si>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</si>
  <si>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</si>
  <si>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</si>
  <si>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</si>
  <si>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</si>
  <si>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</si>
  <si>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</si>
  <si>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</si>
  <si>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</si>
  <si>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</si>
  <si>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</si>
  <si>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</si>
  <si>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</si>
  <si>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</si>
  <si>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</si>
  <si>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</si>
  <si>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</si>
  <si>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</si>
  <si>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</si>
  <si>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</si>
  <si>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</si>
  <si>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</si>
  <si>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</si>
  <si>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</si>
  <si>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</si>
  <si>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</si>
  <si>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</si>
  <si>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</si>
  <si>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</si>
  <si>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</si>
  <si>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</si>
  <si>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</si>
  <si>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</si>
  <si>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</si>
  <si>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</si>
  <si>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</si>
  <si>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</si>
  <si>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</si>
  <si>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</si>
  <si>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</si>
  <si>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</si>
  <si>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</si>
  <si>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</si>
  <si>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</si>
  <si>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</si>
  <si>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</si>
  <si>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</si>
  <si>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</si>
  <si>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</si>
  <si>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</si>
  <si>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</si>
  <si>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</si>
  <si>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</si>
  <si>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</si>
  <si>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</si>
  <si>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</si>
  <si>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</si>
  <si>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</si>
  <si>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</si>
  <si>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</si>
  <si>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</si>
  <si>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</si>
  <si>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</si>
  <si>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</si>
  <si>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</si>
  <si>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</si>
  <si>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</si>
  <si>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</si>
  <si>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</si>
  <si>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</si>
  <si>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</si>
  <si>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</si>
  <si>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</si>
  <si>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</si>
  <si>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</si>
  <si>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</si>
  <si>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</si>
  <si>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</si>
  <si>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</si>
  <si>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</si>
  <si>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</si>
  <si>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</si>
  <si>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</si>
  <si>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</si>
  <si>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</si>
  <si>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</si>
  <si>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</si>
  <si>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</si>
  <si>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</si>
  <si>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</si>
  <si>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</si>
  <si>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</si>
  <si>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</si>
  <si>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</si>
  <si>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</si>
  <si>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</si>
  <si>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</si>
  <si>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</si>
  <si>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</si>
  <si>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</si>
  <si>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</si>
  <si>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</si>
  <si>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</si>
  <si>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</si>
  <si>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</si>
  <si>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</si>
  <si>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</si>
  <si>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</si>
  <si>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</si>
  <si>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</si>
  <si>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</si>
  <si>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</si>
  <si>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</si>
  <si>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</si>
  <si>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</si>
  <si>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</si>
  <si>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</si>
  <si>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</si>
  <si>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</si>
  <si>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</si>
  <si>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</si>
  <si>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</si>
  <si>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</si>
  <si>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</si>
  <si>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</si>
  <si>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</si>
  <si>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</si>
  <si>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</si>
  <si>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</si>
  <si>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</si>
  <si>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</si>
  <si>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</si>
  <si>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</si>
  <si>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</si>
  <si>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</si>
  <si>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</si>
  <si>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</si>
  <si>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</si>
  <si>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</si>
  <si>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</si>
  <si>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</si>
  <si>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</si>
  <si>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</si>
  <si>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</si>
  <si>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</si>
  <si>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</si>
  <si>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</si>
  <si>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</si>
  <si>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</si>
  <si>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</si>
  <si>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</si>
  <si>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</si>
  <si>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</si>
  <si>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</si>
  <si>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</si>
  <si>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</si>
  <si>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</si>
  <si>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</si>
  <si>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</si>
  <si>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</si>
  <si>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</si>
  <si>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</si>
  <si>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</si>
  <si>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</si>
  <si>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</si>
  <si>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</si>
  <si>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</si>
  <si>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</si>
  <si>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</si>
  <si>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</si>
  <si>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</si>
  <si>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</si>
  <si>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</si>
  <si>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</si>
  <si>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</si>
  <si>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</si>
  <si>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</si>
  <si>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</si>
  <si>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</si>
  <si>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</si>
  <si>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</si>
  <si>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</si>
  <si>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</si>
  <si>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</si>
  <si>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</si>
  <si>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</si>
  <si>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</si>
  <si>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</si>
  <si>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</si>
  <si>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</si>
  <si>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</si>
  <si>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</si>
  <si>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</si>
  <si>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</si>
  <si>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</si>
  <si>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</si>
  <si>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</si>
  <si>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</si>
  <si>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</si>
  <si>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</si>
  <si>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</si>
  <si>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</si>
  <si>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</si>
  <si>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</si>
  <si>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</si>
  <si>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</si>
  <si>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</si>
  <si>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</si>
  <si>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</si>
  <si>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</si>
  <si>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</si>
  <si>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</si>
  <si>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</si>
  <si>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</si>
  <si>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</si>
  <si>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</si>
  <si>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</si>
  <si>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</si>
  <si>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</si>
  <si>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</si>
  <si>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</si>
  <si>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</si>
  <si>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</si>
  <si>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</si>
  <si>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</si>
  <si>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</si>
  <si>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</si>
  <si>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</si>
  <si>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</si>
  <si>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</si>
  <si>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</si>
  <si>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</si>
  <si>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</si>
  <si>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</si>
  <si>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</si>
  <si>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</si>
  <si>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</si>
  <si>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</si>
  <si>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</si>
  <si>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</si>
  <si>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</si>
  <si>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</si>
  <si>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</si>
  <si>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</si>
  <si>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</si>
  <si>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</si>
  <si>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</si>
  <si>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</si>
  <si>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</si>
  <si>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</si>
  <si>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</si>
  <si>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</si>
  <si>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</si>
  <si>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</si>
  <si>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</si>
  <si>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</si>
  <si>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</si>
  <si>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</si>
  <si>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</si>
  <si>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</si>
  <si>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</si>
  <si>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</si>
  <si>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</si>
  <si>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</si>
  <si>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</si>
  <si>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</si>
  <si>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</si>
  <si>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</si>
  <si>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</si>
  <si>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</si>
  <si>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</si>
  <si>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</si>
  <si>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</si>
  <si>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</si>
  <si>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</si>
  <si>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</si>
  <si>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</si>
  <si>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</si>
  <si>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</si>
  <si>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</si>
  <si>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</si>
  <si>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</si>
  <si>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</si>
  <si>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</si>
  <si>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</si>
  <si>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</si>
  <si>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</si>
  <si>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</si>
  <si>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</si>
  <si>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</si>
  <si>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</si>
  <si>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</si>
  <si>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</si>
  <si>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</si>
  <si>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</si>
  <si>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</si>
  <si>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</si>
  <si>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</si>
  <si>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</si>
  <si>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</si>
  <si>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</si>
  <si>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</si>
  <si>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</si>
  <si>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</si>
  <si>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</si>
  <si>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</si>
  <si>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</si>
  <si>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</si>
  <si>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</si>
  <si>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</si>
  <si>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</si>
  <si>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</si>
  <si>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</si>
  <si>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</si>
  <si>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</si>
  <si>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</si>
  <si>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</si>
  <si>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</si>
  <si>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</si>
  <si>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</si>
  <si>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</si>
  <si>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</si>
  <si>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</si>
  <si>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</si>
  <si>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</si>
  <si>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</si>
  <si>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</si>
  <si>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</si>
  <si>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</si>
  <si>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</si>
  <si>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</si>
  <si>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</si>
  <si>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</si>
  <si>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</si>
  <si>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</si>
  <si>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</si>
  <si>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</si>
  <si>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</si>
  <si>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</si>
  <si>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</si>
  <si>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</si>
  <si>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</si>
  <si>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</si>
  <si>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</si>
  <si>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</si>
  <si>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</si>
  <si>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</si>
  <si>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</si>
  <si>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</si>
  <si>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</si>
  <si>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</si>
  <si>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</si>
  <si>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</si>
  <si>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</si>
  <si>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</si>
  <si>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</si>
  <si>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</si>
  <si>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</si>
  <si>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</si>
  <si>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</si>
  <si>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</si>
  <si>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</si>
  <si>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</si>
  <si>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</si>
  <si>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</si>
  <si>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</si>
  <si>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</si>
  <si>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</si>
  <si>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</si>
  <si>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</si>
  <si>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</si>
  <si>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</si>
  <si>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</si>
  <si>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</si>
  <si>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</si>
  <si>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</si>
  <si>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</si>
  <si>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</si>
  <si>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</si>
  <si>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</si>
  <si>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</si>
  <si>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</si>
  <si>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</si>
  <si>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</si>
  <si>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</si>
  <si>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</si>
  <si>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</si>
  <si>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</si>
  <si>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</si>
  <si>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</si>
  <si>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</si>
  <si>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</si>
  <si>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</si>
  <si>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</si>
  <si>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</si>
  <si>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</si>
  <si>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</si>
  <si>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</si>
  <si>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</si>
  <si>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</si>
  <si>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</si>
  <si>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</si>
  <si>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</si>
  <si>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</si>
  <si>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</si>
  <si>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</si>
  <si>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</si>
  <si>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</si>
  <si>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</si>
  <si>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</si>
  <si>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</si>
  <si>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</si>
  <si>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</si>
  <si>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</si>
  <si>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</si>
  <si>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</si>
  <si>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</si>
  <si>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</si>
  <si>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</si>
  <si>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</si>
  <si>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</si>
  <si>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</si>
  <si>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</si>
  <si>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</si>
  <si>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</si>
  <si>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</si>
  <si>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</si>
  <si>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</si>
  <si>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</si>
  <si>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</si>
  <si>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</si>
  <si>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</si>
  <si>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</si>
  <si>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</si>
  <si>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</si>
  <si>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</si>
  <si>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</si>
  <si>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</si>
  <si>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</si>
  <si>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</si>
  <si>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</si>
  <si>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</si>
  <si>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</si>
  <si>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</si>
  <si>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</si>
  <si>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</si>
  <si>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</si>
  <si>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</si>
  <si>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</si>
  <si>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</si>
  <si>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</si>
  <si>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</si>
  <si>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</si>
  <si>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</si>
  <si>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</si>
  <si>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</si>
  <si>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</si>
  <si>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</si>
  <si>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</si>
  <si>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</si>
  <si>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</si>
  <si>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</si>
  <si>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</si>
  <si>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</si>
  <si>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</si>
  <si>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</si>
  <si>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</si>
  <si>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</si>
  <si>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</si>
  <si>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</si>
  <si>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</si>
  <si>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</si>
  <si>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</si>
  <si>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</si>
  <si>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</si>
  <si>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</si>
  <si>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</si>
  <si>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</si>
  <si>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</si>
  <si>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</si>
  <si>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</si>
  <si>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</si>
  <si>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</si>
  <si>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</si>
  <si>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</si>
  <si>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</si>
  <si>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</si>
  <si>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</si>
  <si>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</si>
  <si>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</si>
  <si>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</si>
  <si>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</si>
  <si>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</si>
  <si>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</si>
  <si>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</si>
  <si>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</si>
  <si>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</si>
  <si>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</si>
  <si>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</si>
  <si>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</si>
  <si>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</si>
  <si>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</si>
  <si>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</si>
  <si>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</si>
  <si>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</si>
  <si>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</si>
  <si>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</si>
  <si>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</si>
  <si>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</si>
  <si>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</si>
  <si>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</si>
  <si>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</si>
  <si>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</si>
  <si>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</si>
  <si>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</si>
  <si>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</si>
  <si>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</si>
  <si>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</si>
  <si>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</si>
  <si>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</si>
  <si>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</si>
  <si>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</si>
  <si>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</si>
  <si>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</si>
  <si>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</si>
  <si>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</si>
  <si>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</si>
  <si>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</si>
  <si>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</si>
  <si>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</si>
  <si>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</si>
  <si>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</si>
  <si>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</si>
  <si>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</si>
  <si>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</si>
  <si>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</si>
  <si>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</si>
  <si>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</si>
  <si>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</si>
  <si>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</si>
  <si>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</si>
  <si>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</si>
  <si>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</si>
  <si>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</si>
  <si>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</si>
  <si>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</si>
  <si>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</si>
  <si>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</si>
  <si>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</si>
  <si>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</si>
  <si>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</si>
  <si>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</si>
  <si>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</si>
  <si>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</si>
  <si>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</si>
  <si>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</si>
  <si>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</si>
  <si>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</si>
  <si>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</si>
  <si>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</si>
  <si>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</si>
  <si>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</si>
  <si>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</si>
  <si>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</si>
  <si>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</si>
  <si>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</si>
  <si>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</si>
  <si>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</si>
  <si>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</si>
  <si>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</si>
  <si>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</si>
  <si>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</si>
  <si>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</si>
  <si>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</si>
  <si>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</si>
  <si>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</si>
  <si>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</si>
  <si>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</si>
  <si>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</si>
  <si>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</si>
  <si>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</si>
  <si>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</si>
  <si>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</si>
  <si>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</si>
  <si>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</si>
  <si>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</si>
  <si>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</si>
  <si>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</si>
  <si>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</si>
  <si>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</si>
  <si>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</si>
  <si>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</si>
  <si>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</si>
  <si>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</si>
  <si>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</si>
  <si>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</si>
  <si>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</si>
  <si>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</si>
  <si>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</si>
  <si>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</si>
  <si>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</si>
  <si>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</si>
  <si>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</si>
  <si>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</si>
  <si>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</si>
  <si>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</si>
  <si>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</si>
  <si>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</si>
  <si>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</si>
  <si>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</si>
  <si>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</si>
  <si>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</si>
  <si>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</si>
  <si>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</si>
  <si>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</si>
  <si>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</si>
  <si>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</si>
  <si>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</si>
  <si>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</si>
  <si>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</si>
  <si>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</si>
  <si>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</si>
  <si>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</si>
  <si>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</si>
  <si>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</si>
  <si>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</si>
  <si>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</si>
  <si>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</si>
  <si>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</si>
  <si>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</si>
  <si>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</si>
  <si>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</si>
  <si>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</si>
  <si>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</si>
  <si>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</si>
  <si>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</si>
  <si>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</si>
  <si>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</si>
  <si>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</si>
  <si>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</si>
  <si>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</si>
  <si>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</si>
  <si>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</si>
  <si>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</si>
  <si>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</si>
  <si>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</si>
  <si>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</si>
  <si>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</si>
  <si>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</si>
  <si>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</si>
  <si>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</si>
  <si>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</si>
  <si>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</si>
  <si>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</si>
  <si>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</si>
  <si>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</si>
  <si>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</si>
  <si>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</si>
  <si>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</si>
  <si>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</si>
  <si>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</si>
  <si>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</si>
  <si>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</si>
  <si>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</si>
  <si>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</si>
  <si>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</si>
  <si>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</si>
  <si>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</si>
  <si>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</si>
  <si>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</si>
  <si>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</si>
  <si>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</si>
  <si>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</si>
  <si>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</si>
  <si>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</si>
  <si>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</si>
  <si>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</si>
  <si>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</si>
  <si>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</si>
  <si>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</si>
  <si>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</si>
  <si>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</si>
  <si>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</si>
  <si>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</si>
  <si>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</si>
  <si>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</si>
  <si>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</si>
  <si>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</si>
  <si>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</si>
  <si>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</si>
  <si>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</si>
  <si>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</si>
  <si>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</si>
  <si>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</si>
  <si>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</si>
  <si>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</si>
  <si>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</si>
  <si>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</si>
  <si>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</si>
  <si>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</si>
  <si>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</si>
  <si>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</si>
  <si>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</si>
  <si>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</si>
  <si>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</si>
  <si>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</si>
  <si>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</si>
  <si>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</si>
  <si>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</si>
  <si>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</si>
  <si>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</si>
  <si>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</si>
  <si>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</si>
  <si>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</si>
  <si>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</si>
  <si>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</si>
  <si>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</si>
  <si>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</si>
  <si>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</si>
  <si>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</si>
  <si>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</si>
  <si>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</si>
  <si>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</si>
  <si>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</si>
  <si>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</si>
  <si>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</si>
  <si>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</si>
  <si>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</si>
  <si>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</si>
  <si>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</si>
  <si>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</si>
  <si>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</si>
  <si>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</si>
  <si>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</si>
  <si>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</si>
  <si>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</si>
  <si>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</si>
  <si>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</si>
  <si>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</si>
  <si>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</si>
  <si>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</si>
  <si>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</si>
  <si>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</si>
  <si>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</si>
  <si>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</si>
  <si>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</si>
  <si>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</si>
  <si>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</si>
  <si>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</si>
  <si>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</si>
  <si>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</si>
  <si>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</si>
  <si>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</si>
  <si>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</si>
  <si>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</si>
  <si>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</si>
  <si>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</si>
  <si>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</si>
  <si>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</si>
  <si>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</si>
  <si>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</si>
  <si>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</si>
  <si>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</si>
  <si>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</si>
  <si>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</si>
  <si>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</si>
  <si>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</si>
  <si>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</si>
  <si>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</si>
  <si>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</si>
  <si>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</si>
  <si>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</si>
  <si>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</si>
  <si>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</si>
  <si>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</si>
  <si>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</si>
  <si>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</si>
  <si>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</si>
  <si>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</si>
  <si>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</si>
  <si>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</si>
  <si>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</si>
  <si>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</si>
  <si>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</si>
  <si>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</si>
  <si>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</si>
  <si>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</si>
  <si>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</si>
  <si>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</si>
  <si>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</si>
  <si>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</si>
  <si>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</si>
  <si>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</si>
  <si>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</si>
  <si>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</si>
  <si>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</si>
  <si>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</si>
  <si>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</si>
  <si>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</si>
  <si>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</si>
  <si>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</si>
  <si>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</si>
  <si>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</si>
  <si>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</si>
  <si>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</si>
  <si>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</si>
  <si>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</si>
  <si>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</si>
  <si>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</si>
  <si>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</si>
  <si>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</si>
  <si>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</si>
  <si>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</si>
  <si>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</si>
  <si>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</si>
  <si>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</si>
  <si>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</si>
  <si>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</si>
  <si>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</si>
  <si>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</si>
  <si>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</si>
  <si>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</si>
  <si>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</si>
  <si>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</si>
  <si>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</si>
  <si>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</si>
  <si>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</si>
  <si>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</si>
  <si>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</si>
  <si>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</si>
  <si>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</si>
  <si>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</si>
  <si>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</si>
  <si>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</si>
  <si>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</si>
  <si>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</si>
  <si>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</si>
  <si>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</si>
  <si>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</si>
  <si>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</si>
  <si>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</si>
  <si>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</si>
  <si>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</si>
  <si>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</si>
  <si>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</si>
  <si>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</si>
  <si>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</si>
  <si>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</si>
  <si>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</si>
  <si>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</si>
  <si>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</si>
  <si>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</si>
  <si>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</si>
  <si>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</si>
  <si>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</si>
  <si>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</si>
  <si>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</si>
  <si>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</si>
  <si>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</si>
  <si>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</si>
  <si>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</si>
  <si>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</si>
  <si>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</si>
  <si>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</si>
  <si>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</si>
  <si>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</si>
  <si>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</si>
  <si>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</si>
  <si>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</si>
  <si>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</si>
  <si>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</si>
  <si>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</si>
  <si>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</si>
  <si>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</si>
  <si>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</si>
  <si>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</si>
  <si>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</si>
  <si>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</si>
  <si>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</si>
  <si>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</si>
  <si>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</si>
  <si>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</si>
  <si>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</si>
  <si>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</si>
  <si>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</si>
  <si>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</si>
  <si>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</si>
  <si>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</si>
  <si>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</si>
  <si>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</si>
  <si>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</si>
  <si>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</si>
  <si>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</si>
  <si>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</si>
  <si>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</si>
  <si>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</si>
  <si>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</si>
  <si>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</si>
  <si>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</si>
  <si>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</si>
  <si>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</si>
  <si>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</si>
  <si>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</si>
  <si>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</si>
  <si>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</si>
  <si>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</si>
  <si>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</si>
  <si>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</si>
  <si>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</si>
  <si>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</si>
  <si>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</si>
  <si>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</si>
  <si>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</si>
  <si>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</si>
  <si>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</si>
  <si>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</si>
  <si>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</si>
  <si>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</si>
  <si>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</si>
  <si>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</si>
  <si>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</si>
  <si>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</si>
  <si>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</si>
  <si>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</si>
  <si>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</si>
  <si>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</si>
  <si>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</si>
  <si>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</si>
  <si>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</si>
  <si>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</si>
  <si>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</si>
  <si>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</si>
  <si>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</si>
  <si>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</si>
  <si>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</si>
  <si>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</si>
  <si>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</si>
  <si>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</si>
  <si>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</si>
  <si>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</si>
  <si>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</si>
  <si>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</si>
  <si>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</si>
  <si>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</si>
  <si>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</si>
  <si>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</si>
  <si>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</si>
  <si>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</si>
  <si>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</si>
  <si>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</si>
  <si>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</si>
  <si>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</si>
  <si>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</si>
  <si>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</si>
  <si>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</si>
  <si>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</si>
  <si>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</si>
  <si>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</si>
  <si>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</si>
  <si>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</si>
  <si>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</si>
  <si>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</si>
  <si>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</si>
  <si>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</si>
  <si>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</si>
  <si>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</si>
  <si>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</si>
  <si>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</si>
  <si>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</si>
  <si>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</si>
  <si>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</si>
  <si>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</si>
  <si>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</si>
  <si>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</si>
  <si>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</si>
  <si>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</si>
  <si>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</si>
  <si>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</si>
  <si>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</si>
  <si>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</si>
  <si>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</si>
  <si>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</si>
  <si>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</si>
  <si>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</si>
  <si>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</si>
  <si>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</si>
  <si>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</si>
  <si>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</si>
  <si>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</si>
  <si>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</si>
  <si>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</si>
  <si>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</si>
  <si>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</si>
  <si>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</si>
  <si>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</si>
  <si>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</si>
  <si>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</si>
  <si>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</si>
  <si>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</si>
  <si>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</si>
  <si>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</si>
  <si>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</si>
  <si>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</si>
  <si>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</si>
  <si>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</si>
  <si>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</si>
  <si>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</si>
  <si>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</si>
  <si>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</si>
  <si>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</si>
  <si>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</si>
  <si>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</si>
  <si>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</si>
  <si>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</si>
  <si>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</si>
  <si>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</si>
  <si>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</si>
  <si>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</si>
  <si>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</si>
  <si>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</si>
  <si>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</si>
  <si>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</si>
  <si>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</si>
  <si>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</si>
  <si>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</si>
  <si>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</si>
  <si>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</si>
  <si>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</si>
  <si>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</si>
  <si>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</si>
  <si>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</si>
  <si>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</si>
  <si>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</si>
  <si>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</si>
  <si>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</si>
  <si>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</si>
  <si>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</si>
  <si>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</si>
  <si>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</si>
  <si>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</si>
  <si>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</si>
  <si>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</si>
  <si>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</si>
  <si>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</si>
  <si>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</si>
  <si>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</si>
  <si>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</si>
  <si>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</si>
  <si>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</si>
  <si>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</si>
  <si>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</si>
  <si>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</si>
  <si>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</si>
  <si>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</si>
  <si>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</si>
  <si>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</si>
  <si>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</si>
  <si>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</si>
  <si>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</si>
  <si>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</si>
  <si>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</si>
  <si>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</si>
  <si>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</si>
  <si>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</si>
  <si>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</si>
  <si>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</si>
  <si>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</si>
  <si>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</si>
  <si>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</si>
  <si>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</si>
  <si>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</si>
  <si>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</si>
  <si>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</si>
  <si>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</si>
  <si>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</si>
  <si>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</si>
  <si>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</si>
  <si>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</si>
  <si>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</si>
  <si>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</si>
  <si>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</si>
  <si>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</si>
  <si>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</si>
  <si>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</si>
  <si>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</si>
  <si>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</si>
  <si>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</si>
  <si>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</si>
  <si>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</si>
  <si>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</si>
  <si>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</si>
  <si>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</si>
  <si>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</si>
  <si>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</si>
  <si>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</si>
  <si>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</si>
  <si>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</si>
  <si>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</si>
  <si>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</si>
  <si>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</si>
  <si>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</si>
  <si>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</si>
  <si>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</si>
  <si>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</si>
  <si>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</si>
  <si>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</si>
  <si>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</si>
  <si>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</si>
  <si>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</si>
  <si>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</si>
  <si>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</si>
  <si>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</si>
  <si>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</si>
  <si>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</si>
  <si>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</si>
  <si>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</si>
  <si>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</si>
  <si>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</si>
  <si>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</si>
  <si>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</si>
  <si>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</si>
  <si>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</si>
  <si>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</si>
  <si>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</si>
  <si>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</si>
  <si>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</si>
  <si>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</si>
  <si>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</si>
  <si>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</si>
  <si>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</si>
  <si>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</si>
  <si>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</si>
  <si>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</si>
  <si>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</si>
  <si>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</si>
  <si>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</si>
  <si>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</si>
  <si>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</si>
  <si>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</si>
  <si>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</si>
  <si>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</si>
  <si>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</si>
  <si>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</si>
  <si>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</si>
  <si>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</si>
  <si>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</si>
  <si>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</si>
  <si>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</si>
  <si>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</si>
  <si>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</si>
  <si>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</si>
  <si>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</si>
  <si>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</si>
  <si>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</si>
  <si>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</si>
  <si>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</si>
  <si>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</si>
  <si>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</si>
  <si>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</si>
  <si>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</si>
  <si>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</si>
  <si>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</si>
  <si>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</si>
  <si>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</si>
  <si>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</si>
  <si>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</si>
  <si>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</si>
  <si>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</si>
  <si>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</si>
  <si>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</si>
  <si>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</si>
  <si>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</si>
  <si>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</si>
  <si>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</si>
  <si>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</si>
  <si>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</si>
  <si>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</si>
  <si>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</si>
  <si>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</si>
  <si>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</si>
  <si>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</si>
  <si>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</si>
  <si>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</si>
  <si>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</si>
  <si>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</si>
  <si>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</si>
  <si>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</si>
  <si>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</si>
  <si>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</si>
  <si>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</si>
  <si>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</si>
  <si>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</si>
  <si>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</si>
  <si>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</si>
  <si>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</si>
  <si>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</si>
  <si>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</si>
  <si>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</si>
  <si>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</si>
  <si>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</si>
  <si>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</si>
  <si>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</si>
  <si>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</si>
  <si>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</si>
  <si>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</si>
  <si>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</si>
  <si>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</si>
  <si>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</si>
  <si>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</si>
  <si>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</si>
  <si>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</si>
  <si>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</si>
  <si>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</si>
  <si>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</si>
  <si>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</si>
  <si>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</si>
  <si>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</si>
  <si>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</si>
  <si>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</si>
  <si>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</si>
  <si>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</si>
  <si>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</si>
  <si>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</si>
  <si>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</si>
  <si>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</si>
  <si>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</si>
  <si>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</si>
  <si>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</si>
  <si>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</si>
  <si>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</si>
  <si>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</si>
  <si>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</si>
  <si>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</si>
  <si>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</si>
  <si>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</si>
  <si>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</si>
  <si>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</si>
  <si>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</si>
  <si>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</si>
  <si>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</si>
  <si>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</si>
  <si>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</si>
  <si>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</si>
  <si>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</si>
  <si>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</si>
  <si>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</si>
  <si>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</si>
  <si>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</si>
  <si>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</si>
  <si>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</si>
  <si>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</si>
  <si>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</si>
  <si>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</si>
  <si>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</si>
  <si>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</si>
  <si>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</si>
  <si>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</si>
  <si>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</si>
  <si>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</si>
  <si>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</si>
  <si>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</si>
  <si>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</si>
  <si>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</si>
  <si>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</si>
  <si>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</si>
  <si>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</si>
  <si>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</si>
  <si>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</si>
  <si>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</si>
  <si>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</si>
  <si>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</si>
  <si>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</si>
  <si>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</si>
  <si>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</si>
  <si>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</si>
  <si>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</si>
  <si>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</si>
  <si>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</si>
  <si>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</si>
  <si>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</si>
  <si>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</si>
  <si>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</si>
  <si>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</si>
  <si>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</si>
  <si>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</si>
  <si>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</si>
  <si>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</si>
  <si>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</si>
  <si>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</si>
  <si>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</si>
  <si>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</si>
  <si>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</si>
  <si>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</si>
  <si>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</si>
  <si>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</si>
  <si>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</si>
  <si>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</si>
  <si>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</si>
  <si>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</si>
  <si>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</si>
  <si>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</si>
  <si>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</si>
  <si>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</si>
  <si>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</si>
  <si>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</si>
  <si>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</si>
  <si>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</si>
  <si>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</si>
  <si>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</si>
  <si>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</si>
  <si>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</si>
  <si>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</si>
  <si>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</si>
  <si>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</si>
  <si>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</si>
  <si>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</si>
  <si>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</si>
  <si>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</si>
  <si>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</si>
  <si>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</si>
  <si>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</si>
  <si>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</si>
  <si>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</si>
  <si>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</si>
  <si>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</si>
  <si>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</si>
  <si>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</si>
  <si>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</si>
  <si>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</si>
  <si>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</si>
  <si>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</si>
  <si>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</si>
  <si>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</si>
  <si>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</si>
  <si>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</si>
  <si>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</si>
  <si>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</si>
  <si>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</si>
  <si>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</si>
  <si>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</si>
  <si>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</si>
  <si>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</si>
  <si>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</si>
  <si>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</si>
  <si>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</si>
  <si>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</si>
  <si>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</si>
  <si>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</si>
  <si>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</si>
  <si>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</si>
  <si>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</si>
  <si>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</si>
  <si>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</si>
  <si>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</si>
  <si>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</si>
  <si>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</si>
  <si>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</si>
  <si>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</si>
  <si>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</si>
  <si>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</si>
  <si>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</si>
  <si>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</si>
  <si>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</si>
  <si>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</si>
  <si>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</si>
  <si>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</si>
  <si>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</si>
  <si>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</si>
  <si>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</si>
  <si>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</si>
  <si>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</si>
  <si>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</si>
  <si>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</si>
  <si>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</si>
  <si>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</si>
  <si>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</si>
  <si>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</si>
  <si>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</si>
  <si>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</si>
  <si>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</si>
  <si>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</si>
  <si>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</si>
  <si>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</si>
  <si>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</si>
  <si>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</si>
  <si>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</si>
  <si>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</si>
  <si>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</si>
  <si>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</si>
  <si>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</si>
  <si>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</si>
  <si>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</si>
  <si>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</si>
  <si>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</si>
  <si>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</si>
  <si>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</si>
  <si>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</si>
  <si>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</si>
  <si>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</si>
  <si>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</si>
  <si>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</si>
  <si>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</si>
  <si>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</si>
  <si>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</si>
  <si>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</si>
  <si>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</si>
  <si>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</si>
  <si>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</si>
  <si>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</si>
  <si>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</si>
  <si>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</si>
  <si>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</si>
  <si>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</si>
  <si>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</si>
  <si>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</si>
  <si>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</si>
  <si>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</si>
  <si>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</si>
  <si>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</si>
  <si>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</si>
  <si>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</si>
  <si>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</si>
  <si>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</si>
  <si>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</si>
  <si>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</si>
  <si>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</si>
  <si>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</si>
  <si>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</si>
  <si>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</si>
  <si>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</si>
  <si>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</si>
  <si>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</si>
  <si>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</si>
  <si>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</si>
  <si>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</si>
  <si>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</si>
  <si>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</si>
  <si>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</si>
  <si>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</si>
  <si>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</si>
  <si>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</si>
  <si>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</si>
  <si>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</si>
  <si>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</si>
  <si>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</si>
  <si>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</si>
  <si>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</si>
  <si>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</si>
  <si>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</si>
  <si>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</si>
  <si>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</si>
  <si>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</si>
  <si>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</si>
  <si>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</si>
  <si>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</si>
  <si>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</si>
  <si>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</si>
  <si>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</si>
  <si>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</si>
  <si>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</si>
  <si>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</si>
  <si>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</si>
  <si>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</si>
  <si>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</si>
  <si>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</si>
  <si>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</si>
  <si>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</si>
  <si>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</si>
  <si>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</si>
  <si>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</si>
  <si>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</si>
  <si>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</si>
  <si>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</si>
  <si>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</si>
  <si>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</si>
  <si>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</si>
  <si>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</si>
  <si>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</si>
  <si>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</si>
  <si>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</si>
  <si>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</si>
  <si>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</si>
  <si>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</si>
  <si>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</si>
  <si>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</si>
  <si>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</si>
  <si>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</si>
  <si>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</si>
  <si>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</si>
  <si>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</si>
  <si>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</si>
  <si>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</si>
  <si>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</si>
  <si>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</si>
  <si>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</si>
  <si>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</si>
  <si>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</si>
  <si>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</si>
  <si>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</si>
  <si>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</si>
  <si>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</si>
  <si>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</si>
  <si>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</si>
  <si>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</si>
  <si>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</si>
  <si>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</si>
  <si>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</si>
  <si>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</si>
  <si>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</si>
  <si>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</si>
  <si>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</si>
  <si>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</si>
  <si>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</si>
  <si>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</si>
  <si>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</si>
  <si>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</si>
  <si>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</si>
  <si>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</si>
  <si>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</si>
  <si>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</si>
  <si>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</si>
  <si>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</si>
  <si>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</si>
  <si>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</si>
  <si>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</si>
  <si>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</si>
  <si>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</si>
  <si>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</si>
  <si>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</si>
  <si>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</si>
  <si>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</si>
  <si>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</si>
  <si>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</si>
  <si>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</si>
  <si>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</si>
  <si>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</si>
  <si>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</si>
  <si>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</si>
  <si>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</si>
  <si>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</si>
  <si>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</si>
  <si>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</si>
  <si>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</si>
  <si>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</si>
  <si>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</si>
  <si>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</si>
  <si>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</si>
  <si>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</si>
  <si>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</si>
  <si>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</si>
  <si>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</si>
  <si>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</si>
  <si>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</si>
  <si>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</si>
  <si>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</si>
  <si>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</si>
  <si>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</si>
  <si>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</si>
  <si>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</si>
  <si>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</si>
  <si>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</si>
  <si>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</si>
  <si>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</si>
  <si>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</si>
  <si>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</si>
  <si>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</si>
  <si>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</si>
  <si>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</si>
  <si>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</si>
  <si>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</si>
  <si>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</si>
  <si>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</si>
  <si>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</si>
  <si>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</si>
  <si>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</si>
  <si>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</si>
  <si>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</si>
  <si>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</si>
  <si>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</si>
  <si>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</si>
  <si>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</si>
  <si>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</si>
  <si>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</si>
  <si>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</si>
  <si>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</si>
  <si>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</si>
  <si>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</si>
  <si>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</si>
  <si>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</si>
  <si>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</si>
  <si>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</si>
  <si>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</si>
  <si>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</si>
  <si>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</si>
  <si>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</si>
  <si>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</si>
  <si>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</si>
  <si>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</si>
  <si>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</si>
  <si>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</si>
  <si>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</si>
  <si>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</si>
  <si>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</si>
  <si>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</si>
  <si>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</si>
  <si>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</si>
  <si>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</si>
  <si>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</si>
  <si>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</si>
  <si>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</si>
  <si>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</si>
  <si>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</si>
  <si>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</si>
  <si>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</si>
  <si>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</si>
  <si>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</si>
  <si>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</si>
  <si>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</si>
  <si>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</si>
  <si>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</si>
  <si>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</si>
  <si>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</si>
  <si>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</si>
  <si>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</si>
  <si>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</si>
  <si>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</si>
  <si>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</si>
  <si>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</si>
  <si>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</si>
  <si>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</si>
  <si>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</si>
  <si>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</si>
  <si>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</si>
  <si>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</si>
  <si>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</si>
  <si>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</si>
  <si>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</si>
  <si>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</si>
  <si>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</si>
  <si>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</si>
  <si>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</si>
  <si>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</si>
  <si>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</si>
  <si>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</si>
  <si>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</si>
  <si>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</si>
  <si>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</si>
  <si>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</si>
  <si>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</si>
  <si>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</si>
  <si>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</si>
  <si>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</si>
  <si>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</si>
  <si>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</si>
  <si>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</si>
  <si>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</si>
  <si>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</si>
  <si>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</si>
  <si>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</si>
  <si>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</si>
  <si>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</si>
  <si>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</si>
  <si>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</si>
  <si>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</si>
  <si>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</si>
  <si>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</si>
  <si>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</si>
  <si>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</si>
  <si>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</si>
  <si>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</si>
  <si>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</si>
  <si>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</si>
  <si>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</si>
  <si>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</si>
  <si>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</si>
  <si>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</si>
  <si>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</si>
  <si>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</si>
  <si>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</si>
  <si>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</si>
  <si>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</si>
  <si>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</si>
  <si>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</si>
  <si>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</si>
  <si>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</si>
  <si>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</si>
  <si>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</si>
  <si>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</si>
  <si>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</si>
  <si>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</si>
  <si>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</si>
  <si>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</si>
  <si>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</si>
  <si>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</si>
  <si>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</si>
  <si>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</si>
  <si>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</si>
  <si>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</si>
  <si>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</si>
  <si>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</si>
  <si>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</si>
  <si>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</si>
  <si>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</si>
  <si>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</si>
  <si>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</si>
  <si>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</si>
  <si>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</si>
  <si>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</si>
  <si>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</si>
  <si>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</si>
  <si>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</si>
  <si>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</si>
  <si>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</si>
  <si>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</si>
  <si>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</si>
  <si>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</si>
  <si>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</si>
  <si>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</si>
  <si>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</si>
  <si>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</si>
  <si>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</si>
  <si>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</si>
  <si>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</si>
  <si>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</si>
  <si>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</si>
  <si>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</si>
  <si>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</si>
  <si>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</si>
  <si>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</si>
  <si>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</si>
  <si>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</si>
  <si>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</si>
  <si>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</si>
  <si>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</si>
  <si>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</si>
  <si>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</si>
  <si>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</si>
  <si>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</si>
  <si>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</si>
  <si>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</si>
  <si>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</si>
  <si>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</si>
  <si>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</si>
  <si>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</si>
  <si>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</si>
  <si>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</si>
  <si>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</si>
  <si>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</si>
  <si>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</si>
  <si>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</si>
  <si>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</si>
  <si>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</si>
  <si>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</si>
  <si>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</si>
  <si>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</si>
  <si>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</si>
  <si>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</si>
  <si>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</si>
  <si>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</si>
  <si>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</si>
  <si>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</si>
  <si>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</si>
  <si>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</si>
  <si>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</si>
  <si>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</si>
  <si>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</si>
  <si>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</si>
  <si>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</si>
  <si>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</si>
  <si>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</si>
  <si>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</si>
  <si>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</si>
  <si>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</si>
  <si>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</si>
  <si>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</si>
  <si>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</si>
  <si>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</si>
  <si>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</si>
  <si>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</si>
  <si>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</si>
  <si>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</si>
  <si>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</si>
  <si>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</si>
  <si>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</si>
  <si>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</si>
  <si>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</si>
  <si>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</si>
  <si>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</si>
  <si>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</si>
  <si>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</si>
  <si>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</si>
  <si>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</si>
  <si>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</si>
  <si>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</si>
  <si>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</si>
  <si>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</si>
  <si>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</si>
  <si>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</si>
  <si>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</si>
  <si>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</si>
  <si>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</si>
  <si>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</si>
  <si>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</si>
  <si>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</si>
  <si>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</si>
  <si>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</si>
  <si>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</si>
  <si>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</si>
  <si>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</si>
  <si>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</si>
  <si>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</si>
  <si>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</si>
  <si>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</si>
  <si>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</si>
  <si>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</si>
  <si>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</si>
  <si>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</si>
  <si>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</si>
  <si>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</si>
  <si>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</si>
  <si>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</si>
  <si>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</si>
  <si>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</si>
  <si>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</si>
  <si>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</si>
  <si>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</si>
  <si>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</si>
  <si>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</si>
  <si>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</si>
  <si>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</si>
  <si>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</si>
  <si>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</si>
  <si>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</si>
  <si>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</si>
  <si>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</si>
  <si>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</si>
  <si>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</si>
  <si>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</si>
  <si>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</si>
  <si>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</si>
  <si>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</si>
  <si>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</si>
  <si>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</si>
  <si>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</si>
  <si>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</si>
  <si>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</si>
  <si>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</si>
  <si>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</si>
  <si>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</si>
  <si>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</si>
  <si>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</si>
  <si>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</si>
  <si>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</si>
  <si>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</si>
  <si>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</si>
  <si>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</si>
  <si>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</si>
  <si>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</si>
  <si>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</si>
  <si>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</si>
  <si>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</si>
  <si>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</si>
  <si>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</si>
  <si>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</si>
  <si>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</si>
  <si>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</si>
  <si>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</si>
  <si>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</si>
  <si>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</si>
  <si>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</si>
  <si>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</si>
  <si>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</si>
  <si>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</si>
  <si>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</si>
  <si>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</si>
  <si>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</si>
  <si>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</si>
  <si>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</si>
  <si>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</si>
  <si>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</si>
  <si>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</si>
  <si>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</si>
  <si>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</si>
  <si>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</si>
  <si>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</si>
  <si>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</si>
  <si>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</si>
  <si>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</si>
  <si>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</si>
  <si>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</si>
  <si>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</si>
  <si>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</si>
  <si>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</si>
  <si>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</si>
  <si>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</si>
  <si>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</si>
  <si>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</si>
  <si>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</si>
  <si>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</si>
  <si>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</si>
  <si>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</si>
  <si>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</si>
  <si>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</si>
  <si>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</si>
  <si>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</si>
  <si>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</si>
  <si>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</si>
  <si>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</si>
  <si>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</si>
  <si>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</si>
  <si>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</si>
  <si>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</si>
  <si>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</si>
  <si>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</si>
  <si>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</si>
  <si>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</si>
  <si>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</si>
  <si>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</si>
  <si>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</si>
  <si>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</si>
  <si>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</si>
  <si>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</si>
  <si>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</si>
  <si>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</si>
  <si>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</si>
  <si>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</si>
  <si>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</si>
  <si>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</si>
  <si>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</si>
  <si>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</si>
  <si>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</si>
  <si>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</si>
  <si>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</si>
  <si>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</si>
  <si>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</si>
  <si>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</si>
  <si>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</si>
  <si>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</si>
  <si>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</si>
  <si>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</si>
  <si>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</si>
  <si>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</si>
  <si>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</si>
  <si>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</si>
  <si>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</si>
  <si>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</si>
  <si>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</si>
  <si>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</si>
  <si>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</si>
  <si>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</si>
  <si>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</si>
  <si>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</si>
  <si>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</si>
  <si>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</si>
  <si>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</si>
  <si>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</si>
  <si>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</si>
  <si>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</si>
  <si>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</si>
  <si>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</si>
  <si>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</si>
  <si>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</si>
  <si>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</si>
  <si>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</si>
  <si>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</si>
  <si>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</si>
  <si>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</si>
  <si>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</si>
  <si>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</si>
  <si>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</si>
  <si>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</si>
  <si>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</si>
  <si>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</si>
  <si>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</si>
  <si>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</si>
  <si>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</si>
  <si>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</si>
  <si>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</si>
  <si>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</si>
  <si>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</si>
  <si>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</si>
  <si>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</si>
  <si>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</si>
  <si>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</si>
  <si>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</si>
  <si>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</si>
  <si>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</si>
  <si>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</si>
  <si>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</si>
  <si>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</si>
  <si>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</si>
  <si>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</si>
  <si>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</si>
  <si>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</si>
  <si>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</si>
  <si>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</si>
  <si>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</si>
  <si>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</si>
  <si>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</si>
  <si>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</si>
  <si>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</si>
  <si>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</si>
  <si>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</si>
  <si>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</si>
  <si>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</si>
  <si>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</si>
  <si>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</si>
  <si>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</si>
  <si>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</si>
  <si>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</si>
  <si>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</si>
  <si>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</si>
  <si>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</si>
  <si>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</si>
  <si>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</si>
  <si>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</si>
  <si>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</si>
  <si>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</si>
  <si>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</si>
  <si>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</si>
  <si>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</si>
  <si>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</si>
  <si>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</si>
  <si>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</si>
  <si>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</si>
  <si>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</si>
  <si>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</si>
  <si>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</si>
  <si>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</si>
  <si>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</si>
  <si>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</si>
  <si>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</si>
  <si>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</si>
  <si>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</si>
  <si>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</si>
  <si>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</si>
  <si>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</si>
  <si>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</si>
  <si>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</si>
  <si>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</si>
  <si>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</si>
  <si>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</si>
  <si>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</si>
  <si>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</si>
  <si>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</si>
  <si>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</si>
  <si>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</si>
  <si>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</si>
  <si>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</si>
  <si>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</si>
  <si>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</si>
  <si>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</si>
  <si>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</si>
  <si>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</si>
  <si>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</si>
  <si>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</si>
  <si>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</si>
  <si>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</si>
  <si>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</si>
  <si>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</si>
  <si>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</si>
  <si>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</si>
  <si>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</si>
  <si>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</si>
  <si>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</si>
  <si>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</si>
  <si>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</si>
  <si>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</si>
  <si>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</si>
  <si>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</si>
  <si>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</si>
  <si>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</si>
  <si>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</si>
  <si>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</si>
  <si>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</si>
  <si>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</si>
  <si>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</si>
  <si>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</si>
  <si>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</si>
  <si>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</si>
  <si>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</si>
  <si>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</si>
  <si>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</si>
  <si>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</si>
  <si>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</si>
  <si>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</si>
  <si>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</si>
  <si>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</si>
  <si>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</si>
  <si>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</si>
  <si>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</si>
  <si>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</si>
  <si>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</si>
  <si>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</si>
  <si>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</si>
  <si>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</si>
  <si>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</si>
  <si>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</si>
  <si>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</si>
  <si>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</si>
  <si>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</si>
  <si>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</si>
  <si>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</si>
  <si>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</si>
  <si>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</si>
  <si>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</si>
  <si>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</si>
  <si>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</si>
  <si>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</si>
  <si>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</si>
  <si>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</si>
  <si>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</si>
  <si>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</si>
  <si>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</si>
  <si>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</si>
  <si>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</si>
  <si>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</si>
  <si>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</si>
  <si>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</si>
  <si>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</si>
  <si>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</si>
  <si>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</si>
  <si>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</si>
  <si>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</si>
  <si>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</si>
  <si>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</si>
  <si>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</si>
  <si>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</si>
  <si>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</si>
  <si>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</si>
  <si>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</si>
  <si>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</si>
  <si>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</si>
  <si>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</si>
  <si>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</si>
  <si>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</si>
  <si>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</si>
  <si>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</si>
  <si>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</si>
  <si>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</si>
  <si>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</si>
  <si>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</si>
  <si>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</si>
  <si>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</si>
  <si>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</si>
  <si>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</si>
  <si>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</si>
  <si>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</si>
  <si>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</si>
  <si>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</si>
  <si>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</si>
  <si>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</si>
  <si>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</si>
  <si>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</si>
  <si>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</si>
  <si>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</si>
  <si>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</si>
  <si>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</si>
  <si>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</si>
  <si>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</si>
  <si>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</si>
  <si>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</si>
  <si>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</si>
  <si>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</si>
  <si>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</si>
  <si>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</si>
  <si>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</si>
  <si>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</si>
  <si>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</si>
  <si>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</si>
  <si>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</si>
  <si>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</si>
  <si>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</si>
  <si>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</si>
  <si>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</si>
  <si>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</si>
  <si>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</si>
  <si>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</si>
  <si>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</si>
  <si>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</si>
  <si>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</si>
  <si>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</si>
  <si>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</si>
  <si>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</si>
  <si>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</si>
  <si>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</si>
  <si>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</si>
  <si>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</si>
  <si>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</si>
  <si>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</si>
  <si>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</si>
  <si>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</si>
  <si>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</si>
  <si>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</si>
  <si>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</si>
  <si>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</si>
  <si>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</si>
  <si>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</si>
  <si>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</si>
  <si>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</si>
  <si>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</si>
  <si>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</si>
  <si>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</si>
  <si>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</si>
  <si>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</si>
  <si>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</si>
  <si>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</si>
  <si>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</si>
  <si>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</si>
  <si>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</si>
  <si>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</si>
  <si>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</si>
  <si>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</si>
  <si>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</si>
  <si>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</si>
  <si>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</si>
  <si>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</si>
  <si>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</si>
  <si>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</si>
  <si>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</si>
  <si>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</si>
  <si>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</si>
  <si>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</si>
  <si>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</si>
  <si>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</si>
  <si>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</si>
  <si>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</si>
  <si>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</si>
  <si>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</si>
  <si>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</si>
  <si>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</si>
  <si>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</si>
  <si>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</si>
  <si>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</si>
  <si>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</si>
  <si>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</si>
  <si>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</si>
  <si>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</si>
  <si>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</si>
  <si>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</si>
  <si>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</si>
  <si>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</si>
  <si>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</si>
  <si>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</si>
  <si>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</si>
  <si>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</si>
  <si>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</si>
  <si>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</si>
  <si>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</si>
  <si>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</si>
  <si>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</si>
  <si>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</si>
  <si>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</si>
  <si>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</si>
  <si>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</si>
  <si>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</si>
  <si>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</si>
  <si>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</si>
  <si>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</si>
  <si>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</si>
  <si>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</si>
  <si>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</si>
  <si>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</si>
  <si>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</si>
  <si>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</si>
  <si>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</si>
  <si>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</si>
  <si>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</si>
  <si>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</si>
  <si>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</si>
  <si>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</si>
  <si>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</si>
  <si>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</si>
  <si>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</si>
  <si>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</si>
  <si>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</si>
  <si>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</si>
  <si>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</si>
  <si>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</si>
  <si>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</si>
  <si>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</si>
  <si>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</si>
  <si>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</si>
  <si>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</si>
  <si>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</si>
  <si>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</si>
  <si>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</si>
  <si>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</si>
  <si>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</si>
  <si>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</si>
  <si>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</si>
  <si>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</si>
  <si>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</si>
  <si>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</si>
  <si>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</si>
  <si>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</si>
  <si>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</si>
  <si>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</si>
  <si>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</si>
  <si>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</si>
  <si>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</si>
  <si>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</si>
  <si>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</si>
  <si>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</si>
  <si>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</si>
  <si>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</si>
  <si>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</si>
  <si>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</si>
  <si>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</si>
  <si>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</si>
  <si>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</si>
  <si>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</si>
  <si>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</si>
  <si>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</si>
  <si>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</si>
  <si>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</si>
  <si>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</si>
  <si>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</si>
  <si>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</si>
  <si>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</si>
  <si>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</si>
  <si>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</si>
  <si>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</si>
  <si>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</si>
  <si>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</si>
  <si>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</si>
  <si>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</si>
  <si>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</si>
  <si>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</si>
  <si>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</si>
  <si>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</si>
  <si>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</si>
  <si>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</si>
  <si>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</si>
  <si>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</si>
  <si>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</si>
  <si>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</si>
  <si>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</si>
  <si>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</si>
  <si>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</si>
  <si>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</si>
  <si>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</si>
  <si>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</si>
  <si>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</si>
  <si>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</si>
  <si>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</si>
  <si>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</si>
  <si>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</si>
  <si>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</si>
  <si>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</si>
  <si>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</si>
  <si>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</si>
  <si>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</si>
  <si>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</si>
  <si>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</si>
  <si>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</si>
  <si>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</si>
  <si>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</si>
  <si>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</si>
  <si>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</si>
  <si>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</si>
  <si>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</si>
  <si>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</si>
  <si>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</si>
  <si>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</si>
  <si>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</si>
  <si>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</si>
  <si>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</si>
  <si>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</si>
  <si>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</si>
  <si>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</si>
  <si>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</si>
  <si>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</si>
  <si>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</si>
  <si>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</si>
  <si>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</si>
  <si>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</si>
  <si>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</si>
  <si>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</si>
  <si>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</si>
  <si>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</si>
  <si>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</si>
  <si>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</si>
  <si>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</si>
  <si>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</si>
  <si>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</si>
  <si>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</si>
  <si>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</si>
  <si>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</si>
  <si>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</si>
  <si>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</si>
  <si>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</si>
  <si>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</si>
  <si>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</si>
  <si>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</si>
  <si>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</si>
  <si>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</si>
  <si>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</si>
  <si>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</si>
  <si>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</si>
  <si>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</si>
  <si>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</si>
  <si>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</si>
  <si>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</si>
  <si>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</si>
  <si>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</si>
  <si>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</si>
  <si>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</si>
  <si>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</si>
  <si>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</si>
  <si>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</si>
  <si>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</si>
  <si>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</si>
  <si>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</si>
  <si>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</si>
  <si>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</si>
  <si>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</si>
  <si>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</si>
  <si>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</si>
  <si>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</si>
  <si>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</si>
  <si>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</si>
  <si>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</si>
  <si>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</si>
  <si>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</si>
  <si>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</si>
  <si>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</si>
  <si>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</si>
  <si>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</si>
  <si>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</si>
  <si>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</si>
  <si>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</si>
  <si>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</si>
  <si>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</si>
  <si>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</si>
  <si>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</si>
  <si>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</si>
  <si>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</si>
  <si>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</si>
  <si>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</si>
  <si>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</si>
  <si>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</si>
  <si>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</si>
  <si>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</si>
  <si>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</si>
  <si>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</si>
  <si>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</si>
  <si>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</si>
  <si>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</si>
  <si>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</si>
  <si>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</si>
  <si>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</si>
  <si>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</si>
  <si>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</si>
  <si>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</si>
  <si>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</si>
  <si>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</si>
  <si>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</si>
  <si>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</si>
  <si>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</si>
  <si>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</si>
  <si>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</si>
  <si>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</si>
  <si>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</si>
  <si>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</si>
  <si>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</si>
  <si>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</si>
  <si>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</si>
  <si>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</si>
  <si>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</si>
  <si>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</si>
  <si>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</si>
  <si>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</si>
  <si>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</si>
  <si>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</si>
  <si>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</si>
  <si>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</si>
  <si>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</si>
  <si>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</si>
  <si>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</si>
  <si>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</si>
  <si>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是</t>
  </si>
  <si>
    <t>地上</t>
  </si>
  <si>
    <t>地下</t>
  </si>
  <si>
    <t>成新度</t>
  </si>
  <si>
    <t>直线</t>
    <phoneticPr fontId="4" type="noConversion"/>
  </si>
  <si>
    <t>收益法</t>
  </si>
  <si>
    <t>押一</t>
  </si>
  <si>
    <t>钢混</t>
  </si>
  <si>
    <t>非生产用房</t>
  </si>
  <si>
    <t>否</t>
  </si>
  <si>
    <t>估价对象容积率</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</si>
  <si>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</si>
  <si>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</si>
  <si>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</si>
  <si>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</si>
  <si>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</si>
  <si>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</si>
  <si>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</si>
  <si>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</si>
  <si>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</si>
  <si>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</si>
  <si>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</si>
  <si>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</si>
  <si>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</si>
  <si>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</si>
  <si>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观察</t>
    <phoneticPr fontId="4" type="noConversion"/>
  </si>
  <si>
    <t>吴薇</t>
  </si>
  <si>
    <t>郑燚</t>
  </si>
  <si>
    <t>一般</t>
  </si>
  <si>
    <r>
      <t>689</t>
    </r>
    <r>
      <rPr>
        <sz val="10"/>
        <color indexed="8"/>
        <rFont val="宋体"/>
        <family val="3"/>
        <charset val="134"/>
      </rPr>
      <t>个车位</t>
    </r>
    <phoneticPr fontId="4" type="noConversion"/>
  </si>
  <si>
    <r>
      <t>地下1</t>
    </r>
    <r>
      <rPr>
        <sz val="11"/>
        <color theme="1"/>
        <rFont val="宋体"/>
        <family val="3"/>
        <charset val="134"/>
        <scheme val="minor"/>
      </rPr>
      <t>夹</t>
    </r>
    <phoneticPr fontId="135" type="noConversion"/>
  </si>
  <si>
    <t>附属1</t>
    <phoneticPr fontId="135" type="noConversion"/>
  </si>
  <si>
    <t>附属2</t>
    <phoneticPr fontId="135" type="noConversion"/>
  </si>
  <si>
    <r>
      <t>2东</t>
    </r>
    <r>
      <rPr>
        <sz val="11"/>
        <color theme="1"/>
        <rFont val="宋体"/>
        <family val="3"/>
        <charset val="134"/>
        <scheme val="minor"/>
      </rPr>
      <t>-1</t>
    </r>
    <phoneticPr fontId="135" type="noConversion"/>
  </si>
  <si>
    <r>
      <t>2南</t>
    </r>
    <r>
      <rPr>
        <sz val="11"/>
        <color theme="1"/>
        <rFont val="宋体"/>
        <family val="3"/>
        <charset val="134"/>
        <scheme val="minor"/>
      </rPr>
      <t>-1</t>
    </r>
    <phoneticPr fontId="135" type="noConversion"/>
  </si>
  <si>
    <r>
      <t>2南</t>
    </r>
    <r>
      <rPr>
        <sz val="11"/>
        <color theme="1"/>
        <rFont val="宋体"/>
        <family val="3"/>
        <charset val="134"/>
        <scheme val="minor"/>
      </rPr>
      <t>-10</t>
    </r>
    <phoneticPr fontId="135" type="noConversion"/>
  </si>
  <si>
    <r>
      <t>2南</t>
    </r>
    <r>
      <rPr>
        <sz val="11"/>
        <color theme="1"/>
        <rFont val="宋体"/>
        <family val="3"/>
        <charset val="134"/>
        <scheme val="minor"/>
      </rPr>
      <t>-11</t>
    </r>
    <r>
      <rPr>
        <sz val="11"/>
        <color theme="1"/>
        <rFont val="宋体"/>
        <family val="2"/>
        <charset val="134"/>
        <scheme val="minor"/>
      </rPr>
      <t/>
    </r>
  </si>
  <si>
    <r>
      <t>2南</t>
    </r>
    <r>
      <rPr>
        <sz val="11"/>
        <color theme="1"/>
        <rFont val="宋体"/>
        <family val="3"/>
        <charset val="134"/>
        <scheme val="minor"/>
      </rPr>
      <t>-12</t>
    </r>
    <r>
      <rPr>
        <sz val="11"/>
        <color theme="1"/>
        <rFont val="宋体"/>
        <family val="2"/>
        <charset val="134"/>
        <scheme val="minor"/>
      </rPr>
      <t/>
    </r>
  </si>
  <si>
    <r>
      <t>2南</t>
    </r>
    <r>
      <rPr>
        <sz val="11"/>
        <color theme="1"/>
        <rFont val="宋体"/>
        <family val="3"/>
        <charset val="134"/>
        <scheme val="minor"/>
      </rPr>
      <t>-13</t>
    </r>
    <r>
      <rPr>
        <sz val="11"/>
        <color theme="1"/>
        <rFont val="宋体"/>
        <family val="2"/>
        <charset val="134"/>
        <scheme val="minor"/>
      </rPr>
      <t/>
    </r>
  </si>
  <si>
    <t>2南-16</t>
    <phoneticPr fontId="135" type="noConversion"/>
  </si>
  <si>
    <t>2南-17</t>
  </si>
  <si>
    <t>2南-18</t>
  </si>
  <si>
    <t>2南-19</t>
  </si>
  <si>
    <t>2南-2</t>
    <phoneticPr fontId="135" type="noConversion"/>
  </si>
  <si>
    <t>2南-20</t>
    <phoneticPr fontId="135" type="noConversion"/>
  </si>
  <si>
    <t>2南-21</t>
  </si>
  <si>
    <t>2南-22</t>
  </si>
  <si>
    <t>2南-23</t>
  </si>
  <si>
    <t>2南-24</t>
  </si>
  <si>
    <t>2南-25</t>
  </si>
  <si>
    <t>2南-26</t>
  </si>
  <si>
    <t>2南-27</t>
  </si>
  <si>
    <t>2南-3</t>
    <phoneticPr fontId="135" type="noConversion"/>
  </si>
  <si>
    <t>2南-4</t>
  </si>
  <si>
    <t>2南-5</t>
  </si>
  <si>
    <t>2南-6</t>
  </si>
  <si>
    <t>2南-7</t>
  </si>
  <si>
    <t>2南-8</t>
  </si>
  <si>
    <t>2南-9</t>
  </si>
  <si>
    <t>商业</t>
    <phoneticPr fontId="135" type="noConversion"/>
  </si>
  <si>
    <t>车库</t>
    <phoneticPr fontId="135" type="noConversion"/>
  </si>
  <si>
    <t>地上面积</t>
    <phoneticPr fontId="135" type="noConversion"/>
  </si>
  <si>
    <t>地下面积</t>
    <phoneticPr fontId="135" type="noConversion"/>
  </si>
  <si>
    <t>总面积</t>
    <phoneticPr fontId="135" type="noConversion"/>
  </si>
  <si>
    <t>按用途登记面积</t>
    <phoneticPr fontId="135" type="noConversion"/>
  </si>
  <si>
    <t>产权面积</t>
    <phoneticPr fontId="135" type="noConversion"/>
  </si>
  <si>
    <t>地上商业</t>
    <phoneticPr fontId="135" type="noConversion"/>
  </si>
  <si>
    <t>地下商业</t>
    <phoneticPr fontId="135" type="noConversion"/>
  </si>
  <si>
    <t>地下车库</t>
    <phoneticPr fontId="135" type="noConversion"/>
  </si>
  <si>
    <t>地上各层面积</t>
    <phoneticPr fontId="135" type="noConversion"/>
  </si>
  <si>
    <t>自行车库</t>
    <phoneticPr fontId="135" type="noConversion"/>
  </si>
  <si>
    <t>商业</t>
    <phoneticPr fontId="8" type="noConversion"/>
  </si>
  <si>
    <t>Ⅸ-密1</t>
  </si>
  <si>
    <t>不临65条商业街</t>
  </si>
  <si>
    <t>中心城区以外</t>
  </si>
  <si>
    <t>楼层修正</t>
  </si>
  <si>
    <t>自行车库</t>
    <phoneticPr fontId="135" type="noConversion"/>
  </si>
  <si>
    <t>鼓楼街道</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</si>
</sst>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0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0" borderId="1" xfId="0" applyFont="1" applyBorder="1" applyAlignment="1" applyProtection="1">
      <alignment vertical="center" wrapText="1"/>
      <protection locked="0"/>
    </xf>
    <xf numFmtId="0" fontId="78" fillId="12" borderId="0" xfId="0" applyFont="1" applyFill="1" applyAlignment="1" applyProtection="1">
      <alignment vertical="center"/>
      <protection locked="0"/>
    </xf>
    <xf numFmtId="190" fontId="54" fillId="16" borderId="1" xfId="0" applyNumberFormat="1" applyFont="1" applyFill="1" applyBorder="1" applyAlignment="1" applyProtection="1">
      <alignment horizontal="left" vertical="center" wrapText="1"/>
      <protection locked="0"/>
    </xf>
    <xf numFmtId="0" fontId="78" fillId="7" borderId="0" xfId="0" applyFont="1" applyFill="1" applyProtection="1">
      <alignment vertical="center"/>
      <protection locked="0"/>
    </xf>
    <xf numFmtId="176" fontId="48" fillId="7" borderId="1" xfId="0" applyNumberFormat="1" applyFont="1" applyFill="1" applyBorder="1" applyAlignment="1" applyProtection="1">
      <alignment vertical="center" wrapText="1"/>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0" fontId="45" fillId="16" borderId="1" xfId="1" applyNumberFormat="1" applyFont="1" applyFill="1" applyBorder="1" applyAlignment="1" applyProtection="1">
      <alignment horizontal="center" vertical="center"/>
    </xf>
    <xf numFmtId="0" fontId="47" fillId="16" borderId="24" xfId="0" applyFont="1" applyFill="1" applyBorder="1" applyAlignment="1" applyProtection="1">
      <alignment horizontal="left" vertical="center"/>
    </xf>
    <xf numFmtId="0" fontId="45" fillId="16" borderId="49" xfId="0" applyFont="1" applyFill="1" applyBorder="1" applyAlignment="1" applyProtection="1">
      <alignment horizontal="left" vertical="center"/>
    </xf>
    <xf numFmtId="0" fontId="78" fillId="0" borderId="1" xfId="0" applyFont="1" applyBorder="1" applyAlignment="1" applyProtection="1">
      <alignment horizontal="center" vertical="center" wrapText="1"/>
      <protection locked="0"/>
    </xf>
    <xf numFmtId="0" fontId="96" fillId="0" borderId="0" xfId="0" applyFont="1">
      <alignment vertical="center"/>
    </xf>
    <xf numFmtId="0" fontId="0" fillId="5" borderId="0" xfId="0" applyFill="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7" fillId="16" borderId="5" xfId="0" applyFont="1" applyFill="1" applyBorder="1" applyAlignment="1" applyProtection="1">
      <alignment horizontal="left" vertical="center" wrapText="1"/>
    </xf>
    <xf numFmtId="0" fontId="47" fillId="16" borderId="54" xfId="0" applyFont="1" applyFill="1" applyBorder="1" applyAlignment="1" applyProtection="1">
      <alignment horizontal="left" vertical="center" wrapText="1"/>
    </xf>
    <xf numFmtId="0" fontId="47" fillId="1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637581</xdr:colOff>
      <xdr:row>36</xdr:row>
      <xdr:rowOff>84943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52381" cy="6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估价对象为北京市房地产，为所有。根据《国有土地使用证》[]，估价对象（分摊）出让国有建设用地使用权面积为0平方米，建筑面积为144350.96平方米。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估价对象为北京市房地产,属开发建设的，该项目尚在开发建设中。根据《国有土地使用证》[]，估价对象（分摊）出让国有建设用地使用权面积为0平方米，规划建筑面积为144350.96平方米。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2024年11月25日（评估专业人员实地查勘之日）</v>
      </c>
    </row>
    <row r="13" spans="1:2" s="1203" customFormat="1">
      <c r="A13" s="1201" t="s">
        <v>529</v>
      </c>
      <c r="B13" s="1202" t="str">
        <f>'预评函-1'!A18</f>
        <v>本次估价的“房地产价值”是指在正常市场情况下，在价值时点2024年11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170991</v>
      </c>
    </row>
    <row r="21" spans="1:2" s="1203" customFormat="1">
      <c r="A21" s="1201" t="s">
        <v>537</v>
      </c>
      <c r="B21" s="1202">
        <f ca="1">'预评函-2'!D7</f>
        <v>11846</v>
      </c>
    </row>
    <row r="22" spans="1:2" s="1203" customFormat="1">
      <c r="A22" s="1201" t="s">
        <v>538</v>
      </c>
      <c r="B22" s="1202" t="str">
        <f ca="1">'预评函-2'!D6</f>
        <v>壹拾柒亿零玖佰玖拾壹万元整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170991</v>
      </c>
    </row>
    <row r="31" spans="1:2" s="1203" customFormat="1">
      <c r="A31" s="1201" t="s">
        <v>576</v>
      </c>
      <c r="B31" s="1202">
        <f ca="1">'预评函-2'!D15</f>
        <v>11846</v>
      </c>
    </row>
    <row r="32" spans="1:2" s="1203" customFormat="1">
      <c r="A32" s="1201" t="s">
        <v>543</v>
      </c>
      <c r="B32" s="1202" t="str">
        <f ca="1">'预评函-2'!D14</f>
        <v>壹拾柒亿零玖佰玖拾壹万元整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153644</v>
      </c>
    </row>
    <row r="39" spans="1:2" s="1203" customFormat="1">
      <c r="A39" s="1201" t="s">
        <v>545</v>
      </c>
      <c r="B39" s="1202">
        <f ca="1">'预评函-2'!D21</f>
        <v>10644</v>
      </c>
    </row>
    <row r="40" spans="1:2" s="1203" customFormat="1">
      <c r="A40" s="1201" t="s">
        <v>546</v>
      </c>
      <c r="B40" s="1202" t="str">
        <f ca="1">'预评函-2'!D20</f>
        <v>壹拾伍亿叁仟陆佰肆拾肆万元整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144350.96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76775</v>
      </c>
    </row>
    <row r="48" spans="1:2" s="1203" customFormat="1">
      <c r="A48" s="1201" t="s">
        <v>549</v>
      </c>
      <c r="B48" s="1202">
        <f ca="1">'预评函-3'!E4</f>
        <v>5319</v>
      </c>
    </row>
    <row r="49" spans="1:2" s="1203" customFormat="1">
      <c r="A49" s="1201" t="s">
        <v>550</v>
      </c>
      <c r="B49" s="1202" t="str">
        <f ca="1">'预评函-3'!D5</f>
        <v>柒亿陆仟柒佰柒拾伍万元整</v>
      </c>
    </row>
    <row r="50" spans="1:2" s="1203" customFormat="1">
      <c r="A50" s="1201" t="s">
        <v>574</v>
      </c>
      <c r="B50" s="1202" t="str">
        <f>'预评函-3'!F2</f>
        <v>在建建筑物价值</v>
      </c>
    </row>
    <row r="51" spans="1:2" s="1203" customFormat="1">
      <c r="A51" s="1201" t="s">
        <v>551</v>
      </c>
      <c r="B51" s="1202">
        <f ca="1">'预评函-3'!F4</f>
        <v>94216</v>
      </c>
    </row>
    <row r="52" spans="1:2" s="1203" customFormat="1">
      <c r="A52" s="1201" t="s">
        <v>552</v>
      </c>
      <c r="B52" s="1202">
        <f ca="1">'预评函-3'!G4</f>
        <v>6527</v>
      </c>
    </row>
    <row r="53" spans="1:2" s="1203" customFormat="1">
      <c r="A53" s="1201" t="s">
        <v>580</v>
      </c>
      <c r="B53" s="1202" t="str">
        <f ca="1">'预评函-3'!F5</f>
        <v>玖亿肆仟贰佰壹拾陆万元整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2" t="s">
        <v>2582</v>
      </c>
      <c r="J2" s="3502"/>
      <c r="K2" s="3502"/>
      <c r="L2" s="3502"/>
      <c r="M2" s="3502"/>
      <c r="N2" s="3502"/>
      <c r="O2" s="3502"/>
      <c r="P2" s="3502"/>
      <c r="Q2" s="3502"/>
      <c r="R2" s="3502"/>
    </row>
    <row r="3" spans="1:18">
      <c r="A3" s="3019" t="s">
        <v>2503</v>
      </c>
      <c r="B3" s="3020">
        <f>项目基本情况!D3</f>
        <v>45621</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2.06</v>
      </c>
      <c r="D5" s="3024">
        <f>IF(ISERROR(ROUND(POWER(1+E5,A5-C5)*(POWER(1+E5,C5)-1)/(POWER(1+E5,A5)-1),3)),0,ROUND(POWER(1+E5,A5-C5)*(POWER(1+E5,C5)-1)/(POWER(1+E5,A5)-1),4))</f>
        <v>9.8000000000000004E-2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12.07</v>
      </c>
      <c r="D6" s="3024">
        <f>IF(ISERROR(ROUND(POWER(1+E6,A6-C6)*(POWER(1+E6,C6)-1)/(POWER(1+E6,A6)-1),3)),0,ROUND(POWER(1+E6,A6-C6)*(POWER(1+E6,C6)-1)/(POWER(1+E6,A6)-1),4))</f>
        <v>0.43890000000000001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32.08</v>
      </c>
      <c r="D7" s="3024">
        <f>IF(ISERROR(ROUND(POWER(1+E7,A7-C7)*(POWER(1+E7,C7)-1)/(POWER(1+E7,A7)-1),3)),0,ROUND(POWER(1+E7,A7-C7)*(POWER(1+E7,C7)-1)/(POWER(1+E7,A7)-1),4))</f>
        <v>0.76500000000000001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zoomScaleSheetLayoutView="115"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45621</v>
      </c>
      <c r="C3" s="2374" t="s">
        <v>2171</v>
      </c>
      <c r="D3" s="2373">
        <f>B3</f>
        <v>45621</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3418</v>
      </c>
      <c r="C4" s="2376">
        <f ca="1">SUMIF(注册房地产估价师,B4,估价师及机构信息!B3:B24)</f>
        <v>1419970001</v>
      </c>
      <c r="D4" s="2375" t="s">
        <v>3419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2175</v>
      </c>
      <c r="B7" s="2387"/>
      <c r="C7" s="2385"/>
      <c r="D7" s="2386"/>
      <c r="E7" s="2661"/>
      <c r="F7" s="2663"/>
      <c r="G7" s="2663"/>
      <c r="H7" s="2663"/>
      <c r="I7" s="2663"/>
      <c r="J7" s="2439"/>
      <c r="K7" s="2615"/>
      <c r="L7" s="2612"/>
      <c r="M7" s="2612"/>
      <c r="N7" s="2439"/>
      <c r="O7" s="2450"/>
      <c r="P7" s="2439"/>
      <c r="Q7" s="2439"/>
      <c r="R7" s="2439"/>
    </row>
    <row r="8" spans="1:30">
      <c r="A8" s="2388" t="s">
        <v>2176</v>
      </c>
      <c r="B8" s="2389" t="s">
        <v>3388</v>
      </c>
      <c r="C8" s="2390"/>
      <c r="D8" s="3506" t="s">
        <v>2177</v>
      </c>
      <c r="E8" s="2391" t="s">
        <v>3389</v>
      </c>
      <c r="F8" s="2392"/>
      <c r="G8" s="2662"/>
      <c r="H8" s="2662"/>
      <c r="I8" s="2662"/>
      <c r="J8" s="2439"/>
      <c r="K8" s="2613"/>
      <c r="L8" s="2612"/>
      <c r="M8" s="2612"/>
      <c r="N8" s="2439"/>
      <c r="O8" s="2450"/>
      <c r="P8" s="2439"/>
      <c r="Q8" s="2439"/>
      <c r="R8" s="2439"/>
    </row>
    <row r="9" spans="1:30" ht="13.5" thickBot="1">
      <c r="A9" s="2393" t="s">
        <v>2178</v>
      </c>
      <c r="B9" s="2394" t="s">
        <v>3389</v>
      </c>
      <c r="C9" s="2395"/>
      <c r="D9" s="3507"/>
      <c r="E9" s="2394" t="s">
        <v>587</v>
      </c>
      <c r="F9" s="2396"/>
      <c r="G9" s="2664"/>
      <c r="H9" s="2664"/>
      <c r="I9" s="2664"/>
      <c r="J9" s="2439"/>
      <c r="K9" s="2615"/>
      <c r="L9" s="2612"/>
      <c r="M9" s="2612"/>
      <c r="N9" s="2439"/>
      <c r="O9" s="2450"/>
      <c r="P9" s="2439"/>
      <c r="Q9" s="2439"/>
      <c r="R9" s="2439"/>
    </row>
    <row r="10" spans="1:30" ht="13.5" thickTop="1">
      <c r="A10" s="2397" t="s">
        <v>2179</v>
      </c>
      <c r="B10" s="2398" t="s">
        <v>3390</v>
      </c>
      <c r="C10" s="2399"/>
      <c r="D10" s="2382"/>
      <c r="E10" s="2400" t="s">
        <v>2180</v>
      </c>
      <c r="F10" s="2665"/>
      <c r="G10" s="2666"/>
      <c r="H10" s="2667"/>
      <c r="I10" s="2668"/>
      <c r="J10" s="2439"/>
      <c r="K10" s="2615"/>
      <c r="L10" s="2612"/>
      <c r="M10" s="2612"/>
      <c r="N10" s="2439"/>
      <c r="O10" s="2450"/>
      <c r="P10" s="2439"/>
      <c r="Q10" s="2439"/>
      <c r="R10" s="2439"/>
    </row>
    <row r="11" spans="1:30">
      <c r="A11" s="2401" t="s">
        <v>2181</v>
      </c>
      <c r="B11" s="2402" t="s">
        <v>3391</v>
      </c>
      <c r="C11" s="2403"/>
      <c r="D11" s="2404"/>
      <c r="E11" s="2370"/>
      <c r="F11" s="2370"/>
      <c r="G11" s="2370"/>
      <c r="H11" s="2370"/>
      <c r="I11" s="2370"/>
      <c r="J11" s="3060"/>
      <c r="K11" s="3059"/>
      <c r="L11" s="2612"/>
      <c r="M11" s="2612"/>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2578</v>
      </c>
      <c r="J12" s="3061"/>
      <c r="K12" s="2612"/>
      <c r="L12" s="2612"/>
      <c r="M12" s="2439"/>
      <c r="N12" s="2450"/>
      <c r="O12" s="2439"/>
      <c r="P12" s="2439"/>
      <c r="Q12" s="2439"/>
      <c r="AD12" s="1745"/>
    </row>
    <row r="13" spans="1:30">
      <c r="A13" s="3422" t="s">
        <v>3333</v>
      </c>
      <c r="B13" s="2407" t="s">
        <v>2190</v>
      </c>
      <c r="C13" s="856"/>
      <c r="D13" s="856">
        <v>55870</v>
      </c>
      <c r="E13" s="856"/>
      <c r="F13" s="856">
        <v>59522</v>
      </c>
      <c r="G13" s="856"/>
      <c r="H13" s="856"/>
      <c r="I13" s="856"/>
      <c r="J13" s="3061"/>
      <c r="K13" s="2612"/>
      <c r="L13" s="2612"/>
      <c r="M13" s="2439"/>
      <c r="N13" s="2450"/>
      <c r="O13" s="2439"/>
      <c r="P13" s="2439"/>
      <c r="Q13" s="2439"/>
      <c r="AD13" s="1745"/>
    </row>
    <row r="14" spans="1:30">
      <c r="A14" s="1081"/>
      <c r="B14" s="2407" t="s">
        <v>2191</v>
      </c>
      <c r="C14" s="2408"/>
      <c r="D14" s="2408">
        <v>40</v>
      </c>
      <c r="E14" s="2408"/>
      <c r="F14" s="2408">
        <v>50</v>
      </c>
      <c r="G14" s="2408"/>
      <c r="H14" s="2408"/>
      <c r="I14" s="2408"/>
      <c r="J14" s="3062"/>
      <c r="K14" s="2612"/>
      <c r="L14" s="2612"/>
      <c r="M14" s="2439"/>
      <c r="N14" s="2450"/>
      <c r="O14" s="2439"/>
      <c r="P14" s="2439"/>
      <c r="Q14" s="2439"/>
      <c r="AD14" s="1745"/>
    </row>
    <row r="15" spans="1:30">
      <c r="A15" s="320"/>
      <c r="B15" s="2409" t="s">
        <v>2192</v>
      </c>
      <c r="C15" s="2410" t="str">
        <f>IF(A13="出让",IF(C13="","",ROUNDDOWN(MIN((C13-$D$3)/365,C14),2)),C14)</f>
        <v/>
      </c>
      <c r="D15" s="2410">
        <f>IF(A13="出让",IF(D13="","",ROUNDDOWN(MIN((D13-$D$3)/365,D14),2)),D14)</f>
        <v>28.07</v>
      </c>
      <c r="E15" s="2410" t="str">
        <f>IF(A13="出让",IF(E13="","",ROUNDDOWN(MIN((E13-$D$3)/365,E14),2)),E14)</f>
        <v/>
      </c>
      <c r="F15" s="2410">
        <f>IF(A13="出让",IF(F13="","",ROUNDDOWN(MIN((F13-$D$3)/365,F14),2)),F14)</f>
        <v>38.08</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6"/>
      <c r="L16" s="2451"/>
      <c r="M16" s="2451"/>
      <c r="N16" s="2509"/>
      <c r="O16" s="2451"/>
      <c r="P16" s="2509"/>
      <c r="Q16" s="2439"/>
      <c r="R16" s="2439"/>
    </row>
    <row r="17" spans="1:28">
      <c r="A17" s="313" t="s">
        <v>2195</v>
      </c>
      <c r="B17" s="302" t="s">
        <v>2196</v>
      </c>
      <c r="C17" s="8">
        <f>'数据-汇总表'!E3</f>
        <v>144350.96</v>
      </c>
      <c r="D17" s="2322" t="s">
        <v>2197</v>
      </c>
      <c r="E17" s="3519" t="s">
        <v>2198</v>
      </c>
      <c r="F17" s="3520"/>
      <c r="G17" s="3520"/>
      <c r="H17" s="3520"/>
      <c r="I17" s="3521"/>
      <c r="J17" s="2439"/>
      <c r="K17" s="2617"/>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7"/>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5"/>
      <c r="L19" s="2612"/>
      <c r="M19" s="2612"/>
      <c r="N19" s="2509"/>
      <c r="O19" s="2451"/>
      <c r="P19" s="2509"/>
      <c r="Q19" s="2439"/>
      <c r="R19" s="2439"/>
      <c r="S19" s="2439"/>
      <c r="T19" s="2439"/>
      <c r="U19" s="2439"/>
      <c r="V19" s="2439"/>
    </row>
    <row r="20" spans="1:28">
      <c r="A20" s="2631" t="s">
        <v>2205</v>
      </c>
      <c r="B20" s="3509" t="s">
        <v>2206</v>
      </c>
      <c r="C20" s="3510"/>
      <c r="D20" s="3511" t="s">
        <v>2207</v>
      </c>
      <c r="E20" s="3512"/>
      <c r="F20" s="2646" t="s">
        <v>1056</v>
      </c>
      <c r="G20" s="2663"/>
      <c r="H20" s="2663"/>
      <c r="I20" s="2663"/>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2212</v>
      </c>
      <c r="B23" s="2502" t="s">
        <v>2213</v>
      </c>
      <c r="C23" s="2637"/>
      <c r="D23" s="2638" t="s">
        <v>2213</v>
      </c>
      <c r="E23" s="2639"/>
      <c r="F23" s="2662"/>
      <c r="G23" s="2663"/>
      <c r="H23" s="2663"/>
      <c r="I23" s="2663"/>
      <c r="J23" s="2439"/>
      <c r="K23" s="2618"/>
      <c r="L23" s="2475"/>
      <c r="M23" s="2612"/>
      <c r="N23" s="2509"/>
      <c r="O23" s="2451"/>
      <c r="P23" s="2509"/>
      <c r="Q23" s="2439"/>
      <c r="R23" s="2439"/>
      <c r="S23" s="2439"/>
      <c r="T23" s="2439"/>
      <c r="U23" s="2439"/>
      <c r="V23" s="2439"/>
    </row>
    <row r="24" spans="1:28">
      <c r="A24" s="2636"/>
      <c r="B24" s="2502" t="s">
        <v>1059</v>
      </c>
      <c r="C24" s="2640"/>
      <c r="D24" s="2636" t="s">
        <v>1059</v>
      </c>
      <c r="E24" s="2641"/>
      <c r="F24" s="2662"/>
      <c r="G24" s="2663"/>
      <c r="H24" s="2663"/>
      <c r="I24" s="2663"/>
      <c r="J24" s="2439"/>
      <c r="K24" s="2618"/>
      <c r="L24" s="2475"/>
      <c r="M24" s="2612"/>
      <c r="N24" s="2509"/>
      <c r="O24" s="2451"/>
      <c r="P24" s="2509"/>
      <c r="Q24" s="2439"/>
      <c r="R24" s="2439"/>
      <c r="S24" s="2439"/>
      <c r="T24" s="2439"/>
      <c r="U24" s="2439"/>
      <c r="V24" s="2439"/>
    </row>
    <row r="25" spans="1:28">
      <c r="A25" s="2636"/>
      <c r="B25" s="2502" t="s">
        <v>1060</v>
      </c>
      <c r="C25" s="2640"/>
      <c r="D25" s="2636" t="s">
        <v>1060</v>
      </c>
      <c r="E25" s="2641"/>
      <c r="F25" s="2662"/>
      <c r="G25" s="2663"/>
      <c r="H25" s="2663"/>
      <c r="I25" s="2663"/>
      <c r="J25" s="2439"/>
      <c r="K25" s="2615"/>
      <c r="L25" s="2612"/>
      <c r="M25" s="2612"/>
      <c r="N25" s="2509"/>
      <c r="O25" s="2451"/>
      <c r="P25" s="2509"/>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9"/>
      <c r="O26" s="2451"/>
      <c r="P26" s="2509"/>
      <c r="Q26" s="2439"/>
      <c r="R26" s="2439"/>
      <c r="S26" s="2439"/>
      <c r="T26" s="2439"/>
      <c r="U26" s="2439"/>
      <c r="V26" s="2439"/>
    </row>
    <row r="27" spans="1:28" ht="13.5" thickTop="1">
      <c r="A27" s="3526" t="s">
        <v>2214</v>
      </c>
      <c r="B27" s="320" t="s">
        <v>2215</v>
      </c>
      <c r="C27" s="2416"/>
      <c r="D27" s="2417"/>
      <c r="E27" s="2663"/>
      <c r="F27" s="2663"/>
      <c r="G27" s="2663"/>
      <c r="H27" s="2663"/>
      <c r="I27" s="2663"/>
      <c r="J27" s="2439"/>
      <c r="K27" s="2616"/>
      <c r="L27" s="2451"/>
      <c r="M27" s="2451"/>
      <c r="N27" s="2509"/>
      <c r="O27" s="2451"/>
      <c r="P27" s="2509"/>
      <c r="Q27" s="2439"/>
      <c r="R27" s="2439"/>
      <c r="S27" s="2439"/>
      <c r="T27" s="2439"/>
      <c r="U27" s="2439"/>
      <c r="V27" s="2439"/>
    </row>
    <row r="28" spans="1:28">
      <c r="A28" s="3526"/>
      <c r="B28" s="302" t="s">
        <v>2216</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26"/>
      <c r="B29" s="302" t="s">
        <v>2217</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27"/>
      <c r="B30" s="302" t="s">
        <v>2218</v>
      </c>
      <c r="C30" s="3528"/>
      <c r="D30" s="3529"/>
      <c r="E30" s="2663"/>
      <c r="F30" s="2663"/>
      <c r="G30" s="2663"/>
      <c r="H30" s="2663"/>
      <c r="I30" s="2663"/>
      <c r="J30" s="2439"/>
      <c r="K30" s="2615"/>
      <c r="L30" s="2612"/>
      <c r="M30" s="2612"/>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2581</v>
      </c>
      <c r="G36" s="2663"/>
      <c r="H36" s="2663"/>
      <c r="I36" s="2663"/>
      <c r="J36" s="2439"/>
      <c r="K36" s="2615"/>
      <c r="L36" s="2612"/>
      <c r="M36" s="2612"/>
      <c r="N36" s="2439"/>
      <c r="O36" s="2450"/>
      <c r="P36" s="2439"/>
      <c r="Q36" s="2439"/>
      <c r="R36" s="2439"/>
      <c r="S36" s="2439"/>
      <c r="T36" s="2439"/>
      <c r="U36" s="2439"/>
      <c r="V36" s="2439"/>
    </row>
    <row r="37" spans="1:30">
      <c r="A37" s="2629" t="s">
        <v>2230</v>
      </c>
      <c r="B37" s="2431" t="s">
        <v>306</v>
      </c>
      <c r="C37" s="2431"/>
      <c r="D37" s="2431"/>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2231</v>
      </c>
      <c r="B38" s="2432" t="s">
        <v>3464</v>
      </c>
      <c r="C38" s="2432"/>
      <c r="D38" s="2432"/>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9"/>
      <c r="K40" s="2614"/>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J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144350.96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144350.96</v>
      </c>
      <c r="H5" s="13">
        <f t="shared" ref="H5:AT5" si="0">SUM(H13:H656)</f>
        <v>144350.96</v>
      </c>
      <c r="I5" s="13">
        <f t="shared" si="0"/>
        <v>88762.68</v>
      </c>
      <c r="J5" s="13">
        <f t="shared" si="0"/>
        <v>0</v>
      </c>
      <c r="K5" s="13">
        <f t="shared" si="0"/>
        <v>26531.780000000002</v>
      </c>
      <c r="L5" s="13">
        <f t="shared" si="0"/>
        <v>0</v>
      </c>
      <c r="M5" s="13">
        <f t="shared" si="0"/>
        <v>29056.5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144350.96</v>
      </c>
      <c r="BA5" s="15">
        <f t="shared" si="1"/>
        <v>144350.96</v>
      </c>
      <c r="BB5" s="15">
        <f t="shared" si="1"/>
        <v>88762.68</v>
      </c>
      <c r="BC5" s="15">
        <f t="shared" si="1"/>
        <v>26531.780000000002</v>
      </c>
      <c r="BD5" s="15">
        <f t="shared" si="1"/>
        <v>29056.5</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t="s">
        <v>3394</v>
      </c>
      <c r="L9" s="809"/>
      <c r="M9" s="1603" t="s">
        <v>3394</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3334</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144350.96</v>
      </c>
      <c r="B13" s="1051" t="s">
        <v>3421</v>
      </c>
      <c r="C13" s="3458"/>
      <c r="D13" s="1625" t="s">
        <v>3392</v>
      </c>
      <c r="E13" s="13">
        <f>IF($C$3="是",ROUND($A$3*G13/$B$3,2),ROUND($A$3*(G13-AT13)/$B$3,2))</f>
        <v>0</v>
      </c>
      <c r="F13" s="29"/>
      <c r="G13" s="30">
        <f>H13+AC13+AT13</f>
        <v>144350.96</v>
      </c>
      <c r="H13" s="17">
        <f>SUMIF(I$12:AB$12,"总值",I13:AB13)</f>
        <v>144350.96</v>
      </c>
      <c r="I13" s="1626">
        <f>Sheet1!K6</f>
        <v>88762.68</v>
      </c>
      <c r="J13" s="1626"/>
      <c r="K13" s="3452">
        <f>Sheet1!K7</f>
        <v>26531.780000000002</v>
      </c>
      <c r="L13" s="1626"/>
      <c r="M13" s="1626">
        <v>29056.5</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144350.96</v>
      </c>
      <c r="AW13" s="8" t="str">
        <f t="shared" si="6"/>
        <v>689个车位</v>
      </c>
      <c r="AX13" s="8">
        <f t="shared" si="6"/>
        <v>0</v>
      </c>
      <c r="AY13" s="1349">
        <f>ROUND($AY$6*AZ13/$AZ$5,2)</f>
        <v>0</v>
      </c>
      <c r="AZ13" s="13">
        <f>BA13+BL13</f>
        <v>144350.96</v>
      </c>
      <c r="BA13" s="13">
        <f>SUM(BB13:BK13)</f>
        <v>144350.96</v>
      </c>
      <c r="BB13" s="13">
        <f>IF($D13="是",I13-J13,0)</f>
        <v>88762.68</v>
      </c>
      <c r="BC13" s="13">
        <f>IF($D13="是",K13-L13,0)</f>
        <v>26531.780000000002</v>
      </c>
      <c r="BD13" s="13">
        <f>IF($D13="是",M13-N13,0)</f>
        <v>29056.5</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40"/>
  <sheetViews>
    <sheetView workbookViewId="0">
      <selection activeCell="K44" sqref="K44"/>
    </sheetView>
  </sheetViews>
  <sheetFormatPr defaultRowHeight="13.5"/>
  <cols>
    <col min="2" max="2" width="11.25" customWidth="1"/>
    <col min="8" max="8" width="10.875" customWidth="1"/>
    <col min="11" max="11" width="11.25" customWidth="1"/>
  </cols>
  <sheetData>
    <row r="1" spans="1:11">
      <c r="A1">
        <v>-2</v>
      </c>
      <c r="B1">
        <f>31313.54-9271.25</f>
        <v>22042.29</v>
      </c>
    </row>
    <row r="2" spans="1:11">
      <c r="A2">
        <v>-1</v>
      </c>
      <c r="B2">
        <f>33669.25-50.65</f>
        <v>33618.6</v>
      </c>
    </row>
    <row r="3" spans="1:11">
      <c r="A3" s="3459" t="s">
        <v>3422</v>
      </c>
      <c r="B3">
        <v>5290.58</v>
      </c>
      <c r="C3">
        <v>4894.8</v>
      </c>
      <c r="D3" s="3459" t="s">
        <v>3468</v>
      </c>
    </row>
    <row r="4" spans="1:11">
      <c r="A4">
        <v>1</v>
      </c>
      <c r="B4">
        <f>22839.65-61.07</f>
        <v>22778.58</v>
      </c>
    </row>
    <row r="5" spans="1:11">
      <c r="A5">
        <v>2</v>
      </c>
      <c r="B5">
        <v>21906.97</v>
      </c>
      <c r="G5" s="3459" t="s">
        <v>3455</v>
      </c>
      <c r="H5" s="3459" t="s">
        <v>3456</v>
      </c>
    </row>
    <row r="6" spans="1:11">
      <c r="A6">
        <v>3</v>
      </c>
      <c r="B6">
        <v>21580.21</v>
      </c>
      <c r="F6" s="3459" t="s">
        <v>3453</v>
      </c>
      <c r="G6">
        <f>SUM(B4:B9)</f>
        <v>89450.07</v>
      </c>
      <c r="H6">
        <f>ROUND(G6/G8*149245.76,2)</f>
        <v>88762.68</v>
      </c>
      <c r="J6" s="3459" t="s">
        <v>3458</v>
      </c>
      <c r="K6">
        <f>H6</f>
        <v>88762.68</v>
      </c>
    </row>
    <row r="7" spans="1:11">
      <c r="A7">
        <v>4</v>
      </c>
      <c r="B7">
        <v>20951.37</v>
      </c>
      <c r="F7" s="3459" t="s">
        <v>3454</v>
      </c>
      <c r="G7">
        <f>SUM(B1:B3)</f>
        <v>60951.47</v>
      </c>
      <c r="H7">
        <f>ROUND(G7/G8*149245.76,2)</f>
        <v>60483.08</v>
      </c>
      <c r="J7" s="3459" t="s">
        <v>3459</v>
      </c>
      <c r="K7">
        <f>H7-K8-K9</f>
        <v>26531.780000000002</v>
      </c>
    </row>
    <row r="8" spans="1:11">
      <c r="A8" s="3459" t="s">
        <v>3423</v>
      </c>
      <c r="B8">
        <v>2193.9499999999998</v>
      </c>
      <c r="G8">
        <f>G6+G7</f>
        <v>150401.54</v>
      </c>
      <c r="H8" s="3460">
        <f>H6+H7</f>
        <v>149245.76000000001</v>
      </c>
      <c r="I8" s="3459" t="s">
        <v>3457</v>
      </c>
      <c r="J8" s="3459" t="s">
        <v>3460</v>
      </c>
      <c r="K8">
        <f>B12</f>
        <v>29056.5</v>
      </c>
    </row>
    <row r="9" spans="1:11">
      <c r="A9" s="3459" t="s">
        <v>3424</v>
      </c>
      <c r="B9">
        <v>38.99</v>
      </c>
      <c r="J9" s="3459" t="s">
        <v>3462</v>
      </c>
      <c r="K9">
        <v>4894.8</v>
      </c>
    </row>
    <row r="10" spans="1:11">
      <c r="K10">
        <f>K6+K7+K8+K9</f>
        <v>149245.75999999998</v>
      </c>
    </row>
    <row r="12" spans="1:11">
      <c r="B12">
        <v>29056.5</v>
      </c>
      <c r="C12" s="3459" t="s">
        <v>3452</v>
      </c>
    </row>
    <row r="13" spans="1:11">
      <c r="A13">
        <v>101</v>
      </c>
      <c r="B13">
        <v>114013.79</v>
      </c>
      <c r="C13" s="3459" t="s">
        <v>3451</v>
      </c>
    </row>
    <row r="14" spans="1:11">
      <c r="A14" s="3459" t="s">
        <v>3425</v>
      </c>
      <c r="B14">
        <v>76.900000000000006</v>
      </c>
      <c r="C14" s="3459" t="s">
        <v>3451</v>
      </c>
      <c r="I14" s="3459" t="s">
        <v>3461</v>
      </c>
      <c r="J14">
        <v>1</v>
      </c>
      <c r="K14">
        <f>ROUND(B4/(B4+B5+B6+B7+B8+B9)*K6,2)</f>
        <v>22603.54</v>
      </c>
    </row>
    <row r="15" spans="1:11">
      <c r="A15" s="3459" t="s">
        <v>3426</v>
      </c>
      <c r="B15">
        <v>18.739999999999998</v>
      </c>
      <c r="C15" s="3459" t="s">
        <v>3451</v>
      </c>
      <c r="J15">
        <v>2</v>
      </c>
      <c r="K15">
        <f>ROUND(B5/(B4+B5+B6+B7+B8+B9)*K6,2)</f>
        <v>21738.62</v>
      </c>
    </row>
    <row r="16" spans="1:11">
      <c r="A16" s="3459" t="s">
        <v>3427</v>
      </c>
      <c r="B16">
        <v>46.09</v>
      </c>
      <c r="C16" s="3459" t="s">
        <v>3451</v>
      </c>
      <c r="J16">
        <v>3</v>
      </c>
      <c r="K16">
        <f>ROUND(B6/(B4+B5+B6+B7+B8+B9)*K6,2)</f>
        <v>21414.37</v>
      </c>
    </row>
    <row r="17" spans="1:11">
      <c r="A17" s="3459" t="s">
        <v>3428</v>
      </c>
      <c r="B17">
        <v>40.840000000000003</v>
      </c>
      <c r="C17" s="3459" t="s">
        <v>3451</v>
      </c>
      <c r="J17">
        <v>4</v>
      </c>
      <c r="K17">
        <f>K6-K14-K15-K16</f>
        <v>23006.149999999991</v>
      </c>
    </row>
    <row r="18" spans="1:11">
      <c r="A18" s="3459" t="s">
        <v>3429</v>
      </c>
      <c r="B18">
        <v>11.31</v>
      </c>
      <c r="C18" s="3459" t="s">
        <v>3451</v>
      </c>
    </row>
    <row r="19" spans="1:11">
      <c r="A19" s="3459" t="s">
        <v>3430</v>
      </c>
      <c r="B19">
        <v>19.39</v>
      </c>
      <c r="C19" s="3459" t="s">
        <v>3451</v>
      </c>
    </row>
    <row r="20" spans="1:11">
      <c r="A20" s="3459" t="s">
        <v>3431</v>
      </c>
      <c r="B20">
        <v>54.71</v>
      </c>
      <c r="C20" s="3459" t="s">
        <v>3451</v>
      </c>
    </row>
    <row r="21" spans="1:11">
      <c r="A21" s="3459" t="s">
        <v>3432</v>
      </c>
      <c r="B21">
        <v>42.49</v>
      </c>
      <c r="C21" s="3459" t="s">
        <v>3451</v>
      </c>
    </row>
    <row r="22" spans="1:11">
      <c r="A22" s="3459" t="s">
        <v>3433</v>
      </c>
      <c r="B22">
        <v>40.270000000000003</v>
      </c>
      <c r="C22" s="3459" t="s">
        <v>3451</v>
      </c>
    </row>
    <row r="23" spans="1:11">
      <c r="A23" s="3459" t="s">
        <v>3434</v>
      </c>
      <c r="B23">
        <v>40.270000000000003</v>
      </c>
      <c r="C23" s="3459" t="s">
        <v>3451</v>
      </c>
    </row>
    <row r="24" spans="1:11">
      <c r="A24" s="3459" t="s">
        <v>3435</v>
      </c>
      <c r="B24">
        <v>43.51</v>
      </c>
      <c r="C24" s="3459" t="s">
        <v>3451</v>
      </c>
    </row>
    <row r="25" spans="1:11">
      <c r="A25" s="3459" t="s">
        <v>3436</v>
      </c>
      <c r="B25">
        <v>40.270000000000003</v>
      </c>
      <c r="C25" s="3459" t="s">
        <v>3451</v>
      </c>
    </row>
    <row r="26" spans="1:11">
      <c r="A26" s="3459" t="s">
        <v>3437</v>
      </c>
      <c r="B26">
        <v>58.72</v>
      </c>
      <c r="C26" s="3459" t="s">
        <v>3451</v>
      </c>
    </row>
    <row r="27" spans="1:11">
      <c r="A27" s="3459" t="s">
        <v>3438</v>
      </c>
      <c r="B27">
        <v>26.88</v>
      </c>
      <c r="C27" s="3459" t="s">
        <v>3451</v>
      </c>
    </row>
    <row r="28" spans="1:11">
      <c r="A28" s="3459" t="s">
        <v>3439</v>
      </c>
      <c r="B28">
        <v>43.05</v>
      </c>
      <c r="C28" s="3459" t="s">
        <v>3451</v>
      </c>
    </row>
    <row r="29" spans="1:11">
      <c r="A29" s="3459" t="s">
        <v>3440</v>
      </c>
      <c r="B29">
        <v>47.2</v>
      </c>
      <c r="C29" s="3459" t="s">
        <v>3451</v>
      </c>
    </row>
    <row r="30" spans="1:11">
      <c r="A30" s="3459" t="s">
        <v>3441</v>
      </c>
      <c r="B30">
        <v>119</v>
      </c>
      <c r="C30" s="3459" t="s">
        <v>3451</v>
      </c>
    </row>
    <row r="31" spans="1:11">
      <c r="A31" s="3459" t="s">
        <v>3442</v>
      </c>
      <c r="B31">
        <v>88.44</v>
      </c>
      <c r="C31" s="3459" t="s">
        <v>3451</v>
      </c>
    </row>
    <row r="32" spans="1:11">
      <c r="A32" s="3459" t="s">
        <v>3443</v>
      </c>
      <c r="B32">
        <v>88.95</v>
      </c>
      <c r="C32" s="3459" t="s">
        <v>3451</v>
      </c>
    </row>
    <row r="33" spans="1:3">
      <c r="A33" s="3459" t="s">
        <v>3444</v>
      </c>
      <c r="B33">
        <v>39.630000000000003</v>
      </c>
      <c r="C33" s="3459" t="s">
        <v>3451</v>
      </c>
    </row>
    <row r="34" spans="1:3">
      <c r="A34" s="3459" t="s">
        <v>3445</v>
      </c>
      <c r="B34">
        <v>49</v>
      </c>
      <c r="C34" s="3459" t="s">
        <v>3451</v>
      </c>
    </row>
    <row r="35" spans="1:3">
      <c r="A35" s="3459" t="s">
        <v>3446</v>
      </c>
      <c r="B35">
        <v>49</v>
      </c>
      <c r="C35" s="3459" t="s">
        <v>3451</v>
      </c>
    </row>
    <row r="36" spans="1:3">
      <c r="A36" s="3459" t="s">
        <v>3447</v>
      </c>
      <c r="B36">
        <v>46.66</v>
      </c>
      <c r="C36" s="3459" t="s">
        <v>3451</v>
      </c>
    </row>
    <row r="37" spans="1:3">
      <c r="A37" s="3459" t="s">
        <v>3448</v>
      </c>
      <c r="B37">
        <v>51.35</v>
      </c>
      <c r="C37" s="3459" t="s">
        <v>3451</v>
      </c>
    </row>
    <row r="38" spans="1:3">
      <c r="A38" s="3459" t="s">
        <v>3449</v>
      </c>
      <c r="B38">
        <v>49</v>
      </c>
      <c r="C38" s="3459" t="s">
        <v>3451</v>
      </c>
    </row>
    <row r="39" spans="1:3">
      <c r="A39" s="3459" t="s">
        <v>3450</v>
      </c>
      <c r="B39">
        <v>49</v>
      </c>
      <c r="C39" s="3459" t="s">
        <v>3451</v>
      </c>
    </row>
    <row r="40" spans="1:3">
      <c r="B40">
        <f>SUM(B13:B39)</f>
        <v>115294.46000000002</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1" sqref="G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8"/>
      <c r="G2" s="2649"/>
      <c r="H2" s="2650"/>
      <c r="I2" s="2325" t="s">
        <v>1132</v>
      </c>
      <c r="J2" s="2658"/>
      <c r="K2" s="2658"/>
      <c r="L2" s="2658"/>
      <c r="M2" s="2658"/>
      <c r="N2" s="2660"/>
      <c r="O2" s="2658"/>
      <c r="P2" s="2658"/>
    </row>
    <row r="3" spans="1:16" ht="15.75" thickBot="1">
      <c r="A3" s="3543" t="s">
        <v>1105</v>
      </c>
      <c r="B3" s="3543"/>
      <c r="C3" s="3543"/>
      <c r="D3" s="43">
        <f>'数据-基础表'!AY6</f>
        <v>0</v>
      </c>
      <c r="E3" s="43">
        <f>'数据-基础表'!AZ5</f>
        <v>144350.96</v>
      </c>
      <c r="F3" s="2658"/>
      <c r="G3" s="1145"/>
      <c r="H3" s="1026" t="s">
        <v>1106</v>
      </c>
      <c r="I3" s="855" t="e">
        <f>ROUND('数据-基础表'!B3/'数据-基础表'!A3,2)</f>
        <v>#DIV/0!</v>
      </c>
      <c r="J3" s="2658"/>
      <c r="K3" s="2658"/>
      <c r="L3" s="2658"/>
      <c r="M3" s="2658"/>
      <c r="N3" s="2660"/>
      <c r="O3" s="2658"/>
      <c r="P3" s="2658"/>
    </row>
    <row r="4" spans="1:16" ht="15">
      <c r="A4" s="3544"/>
      <c r="B4" s="3545"/>
      <c r="C4" s="3546"/>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7" t="s">
        <v>1111</v>
      </c>
      <c r="C6" s="3547"/>
      <c r="D6" s="45">
        <f>ROUND($D$3*E6/$E$3,2)</f>
        <v>0</v>
      </c>
      <c r="E6" s="46">
        <f>E3-E5</f>
        <v>144350.96</v>
      </c>
      <c r="F6" s="2658"/>
      <c r="G6" s="2652" t="s">
        <v>1112</v>
      </c>
      <c r="H6" s="1146" t="s">
        <v>1113</v>
      </c>
      <c r="I6" s="2653" t="e">
        <f>ROUND(F31/D31,2)</f>
        <v>#DIV/0!</v>
      </c>
      <c r="J6" s="2658"/>
      <c r="K6" s="2658"/>
      <c r="L6" s="2658"/>
      <c r="M6" s="2658"/>
      <c r="N6" s="2658"/>
      <c r="O6" s="2658"/>
      <c r="P6" s="2658"/>
    </row>
    <row r="7" spans="1:16" ht="15.75" thickBot="1">
      <c r="A7" s="3539"/>
      <c r="B7" s="3540"/>
      <c r="C7" s="3541"/>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88762.68</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26531.780000000002</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29056.5</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144350.96</v>
      </c>
      <c r="F16" s="2658"/>
      <c r="G16" s="2659"/>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3463</v>
      </c>
      <c r="D19" s="45">
        <f>ROUND($D$3*E19/$E$3,2)</f>
        <v>0</v>
      </c>
      <c r="E19" s="53">
        <f t="shared" ref="E19:E26" si="1">SUM(F19:G19)</f>
        <v>144350.96</v>
      </c>
      <c r="F19" s="2794">
        <f>'数据-基础表'!I13</f>
        <v>88762.68</v>
      </c>
      <c r="G19" s="2795">
        <f>'数据-基础表'!K13+'数据-基础表'!M13</f>
        <v>55588.28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144350.96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144350.96</v>
      </c>
      <c r="F27" s="1140">
        <f>IF(SUM(F19:F26)=E8,SUM(F19:F26),"地上面积有误")</f>
        <v>88762.68</v>
      </c>
      <c r="G27" s="1142">
        <f>SUM(G19:G26)</f>
        <v>55588.28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144350.96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144350.96</v>
      </c>
      <c r="F31" s="677">
        <f>F27+F30</f>
        <v>88762.68</v>
      </c>
      <c r="G31" s="678">
        <f>G27+G30</f>
        <v>55588.28</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45621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55870</v>
      </c>
      <c r="F6" s="64">
        <f>SUMIF(项目基本情况!C$12:I$12,C6,项目基本情况!C$15:I$15)</f>
        <v>28.07</v>
      </c>
      <c r="G6" s="65">
        <f>IF(ISERROR(ROUND(POWER(1+H6,D6-F6)*(POWER(1+H6,F6)-1)/(POWER(1+H6,D6)-1),3)),0,ROUND(POWER(1+H6,D6-F6)*(POWER(1+H6,F6)-1)/(POWER(1+H6,D6)-1),3))</f>
        <v>0.86899999999999999</v>
      </c>
      <c r="H6" s="732">
        <v>0.05</v>
      </c>
      <c r="I6" s="732">
        <v>5.5E-2</v>
      </c>
      <c r="J6" s="66">
        <v>7.0000000000000007E-2</v>
      </c>
      <c r="K6" s="1030">
        <f>SUMIF('数据-汇总表'!C$19:C$33,A6,'数据-汇总表'!E$19:E$33)</f>
        <v>144350.96</v>
      </c>
      <c r="L6" s="733">
        <v>6000</v>
      </c>
      <c r="M6" s="3455">
        <f>ROUND(K6*L6/10000,0)</f>
        <v>86611</v>
      </c>
      <c r="N6" s="731">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2.2000000000000002</v>
      </c>
      <c r="V6" s="70">
        <v>0.02</v>
      </c>
      <c r="W6" s="70">
        <v>0.1</v>
      </c>
      <c r="X6" s="1040"/>
      <c r="Y6" s="71">
        <f>N6</f>
        <v>0.88</v>
      </c>
      <c r="Z6" s="72"/>
      <c r="AA6" s="66"/>
      <c r="AB6" s="66"/>
      <c r="AC6" s="1040"/>
      <c r="AD6" s="73"/>
      <c r="AE6" s="1041">
        <f ca="1">IF(AN6="",0,SUMIF(INDIRECT("'"&amp;AN6&amp;"'"&amp;"!E:E"),$AE$5,INDIRECT("'"&amp;AN6&amp;"'"&amp;"!F:F")))</f>
        <v>28.07</v>
      </c>
      <c r="AF6" s="1348"/>
      <c r="AG6" s="138">
        <f>IF(AF6="",0,AE6-AF6)</f>
        <v>0</v>
      </c>
      <c r="AH6" s="74"/>
      <c r="AI6" s="76">
        <v>365</v>
      </c>
      <c r="AJ6" s="77"/>
      <c r="AK6" s="78">
        <v>5.0000000000000001E-3</v>
      </c>
      <c r="AL6" s="79">
        <v>1E-3</v>
      </c>
      <c r="AM6" s="80">
        <v>0.01</v>
      </c>
      <c r="AN6" s="1715" t="s">
        <v>3397</v>
      </c>
      <c r="AO6" s="52">
        <f ca="1">SUMIF(INDIRECT("'"&amp;AN6&amp;"'"&amp;"!A:A"),"总价",INDIRECT("'"&amp;AN6&amp;"'"&amp;"!B:B"))</f>
        <v>143878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0">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1">IF(ISERROR(ROUND(POWER(1+H7,D7-F7)*(POWER(1+H7,F7)-1)/(POWER(1+H7,D7)-1),3)),0,ROUND(POWER(1+H7,D7-F7)*(POWER(1+H7,F7)-1)/(POWER(1+H7,D7)-1),3))</f>
        <v>0</v>
      </c>
      <c r="H7" s="732"/>
      <c r="I7" s="732"/>
      <c r="J7" s="66"/>
      <c r="K7" s="1030">
        <f>SUMIF('数据-汇总表'!C$19:C$33,A7,'数据-汇总表'!E$19:E$33)</f>
        <v>0</v>
      </c>
      <c r="L7" s="733"/>
      <c r="M7" s="67">
        <f t="shared" ref="M7:M14" si="2">ROUND(K7*L7/10000,0)</f>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6000</v>
      </c>
      <c r="M14" s="67">
        <f t="shared" si="2"/>
        <v>0</v>
      </c>
      <c r="N14" s="83">
        <f>N6</f>
        <v>0.88</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0.86899999999999999</v>
      </c>
      <c r="H16" s="90">
        <f>ROUND(SUMPRODUCT(H6:H13,K6:K13)/SUMPRODUCT((H6:H13&gt;0)*(K6:K13)),3)</f>
        <v>0.05</v>
      </c>
      <c r="I16" s="91"/>
      <c r="J16" s="91"/>
      <c r="K16" s="92">
        <f>SUM(K6:K15)</f>
        <v>144350.96</v>
      </c>
      <c r="L16" s="93">
        <f>ROUND(M16*10000/SUM(K6:K14),0)</f>
        <v>6000</v>
      </c>
      <c r="M16" s="93">
        <f>SUM(M6:M14)</f>
        <v>86611</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v>2017</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9" t="s">
        <v>3396</v>
      </c>
      <c r="N18" s="2670">
        <f>ROUND(1-(1-0%)*(2024-N17)/60,2)</f>
        <v>0.88</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2303</v>
      </c>
      <c r="D19" s="2675"/>
      <c r="E19" s="2672"/>
      <c r="F19" s="2672"/>
      <c r="G19" s="2672"/>
      <c r="H19" s="2672"/>
      <c r="I19" s="2672"/>
      <c r="J19" s="2672"/>
      <c r="K19" s="2671"/>
      <c r="L19" s="2671"/>
      <c r="M19" s="3449" t="s">
        <v>3417</v>
      </c>
      <c r="N19" s="2670">
        <v>0.9</v>
      </c>
      <c r="O19" s="2670"/>
      <c r="P19" s="2670"/>
      <c r="Q19" s="2670"/>
      <c r="R19" s="2670"/>
      <c r="S19" s="2670"/>
      <c r="T19" s="2670"/>
      <c r="U19" s="2670">
        <f>11000/'数据-汇总表'!E3/365</f>
        <v>2.0877579408803282E-4</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3</v>
      </c>
      <c r="C20" s="2799" t="s">
        <v>2301</v>
      </c>
      <c r="D20" s="2675"/>
      <c r="E20" s="2672"/>
      <c r="F20" s="2672"/>
      <c r="G20" s="2672"/>
      <c r="H20" s="2672"/>
      <c r="I20" s="2672"/>
      <c r="J20" s="2672"/>
      <c r="K20" s="2671"/>
      <c r="L20" s="2671"/>
      <c r="M20" s="2670"/>
      <c r="N20" s="2670">
        <f>(N18+N19)/2</f>
        <v>0.89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2887</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2.5000000000000001E-2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2306</v>
      </c>
      <c r="D44" s="2675"/>
      <c r="E44" s="2672"/>
      <c r="F44" s="2672"/>
      <c r="G44" s="2672"/>
      <c r="H44" s="2672"/>
      <c r="I44" s="2672"/>
      <c r="J44" s="2672"/>
      <c r="K44" s="2671"/>
      <c r="L44" s="2671"/>
      <c r="M44" s="2670"/>
      <c r="N44" s="2670"/>
      <c r="O44" s="2670"/>
      <c r="P44" s="2670"/>
      <c r="Q44" s="2670"/>
      <c r="R44" s="3449" t="s">
        <v>3469</v>
      </c>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f>C58</f>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5" sqref="K2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8" t="s">
        <v>2286</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5" sqref="H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144350.96</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45621</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170991</v>
      </c>
      <c r="C5" s="2512">
        <f ca="1">IF(B5=D14,结果表!H102,ROUND(B5*10000/$B$1,0))</f>
        <v>11846</v>
      </c>
      <c r="D5" s="2512" t="e">
        <f ca="1">ROUND(B5*10000/$B$2,0)</f>
        <v>#DIV/0!</v>
      </c>
      <c r="E5" s="2685"/>
      <c r="F5" s="2686"/>
      <c r="G5" s="2686"/>
      <c r="H5" s="2687"/>
      <c r="I5" s="2687"/>
      <c r="J5" s="2687"/>
      <c r="K5" s="2687"/>
    </row>
    <row r="6" spans="1:11" ht="16.5">
      <c r="A6" s="2512" t="s">
        <v>656</v>
      </c>
      <c r="B6" s="2512">
        <f ca="1">SUM(G14:G23)</f>
        <v>170991</v>
      </c>
      <c r="C6" s="2512">
        <f ca="1">IF(B6=G14,结果表!H108,ROUND(B6*10000/$B$1,0))</f>
        <v>11846</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 ca="1">SUM(I14:I23)</f>
        <v>153644</v>
      </c>
      <c r="C8" s="2512">
        <f ca="1">IF(B8=I14,结果表!H112,ROUND(B8*10000/$B$1,0))</f>
        <v>10644</v>
      </c>
      <c r="D8" s="2512" t="e">
        <f ca="1">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144350.96</v>
      </c>
      <c r="C14" s="2518">
        <f>结果表!C118</f>
        <v>0</v>
      </c>
      <c r="D14" s="2518">
        <f ca="1">结果表!H118</f>
        <v>170991</v>
      </c>
      <c r="E14" s="2518">
        <f ca="1">ROUND(D14*10000/B14,0)</f>
        <v>11846</v>
      </c>
      <c r="F14" s="2518" t="e">
        <f ca="1">ROUND(D14*10000/C14,0)</f>
        <v>#DIV/0!</v>
      </c>
      <c r="G14" s="2518">
        <f ca="1">结果表!D122</f>
        <v>170991</v>
      </c>
      <c r="H14" s="2518"/>
      <c r="I14" s="2518">
        <f ca="1">结果表!Q59</f>
        <v>153644</v>
      </c>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3409</v>
      </c>
      <c r="D4" s="1756" t="s">
        <v>3397</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3">
        <v>25</v>
      </c>
      <c r="C5" s="3626"/>
      <c r="D5" s="3614"/>
      <c r="E5" s="131" t="s">
        <v>1269</v>
      </c>
      <c r="F5" s="1757"/>
      <c r="G5" s="1757"/>
      <c r="H5" s="1757"/>
      <c r="I5" s="1373"/>
    </row>
    <row r="6" spans="1:12" ht="12.75">
      <c r="A6" s="3565"/>
      <c r="B6" s="3623"/>
      <c r="C6" s="3628"/>
      <c r="D6" s="3614"/>
      <c r="E6" s="131" t="s">
        <v>1270</v>
      </c>
      <c r="F6" s="1757"/>
      <c r="G6" s="1757"/>
      <c r="H6" s="1757"/>
      <c r="I6" s="1373"/>
    </row>
    <row r="7" spans="1:12" ht="12.75">
      <c r="A7" s="3565"/>
      <c r="B7" s="3623"/>
      <c r="C7" s="3627"/>
      <c r="D7" s="3614"/>
      <c r="E7" s="131" t="s">
        <v>1271</v>
      </c>
      <c r="F7" s="1757"/>
      <c r="G7" s="1757"/>
      <c r="H7" s="1757"/>
      <c r="I7" s="1373"/>
    </row>
    <row r="8" spans="1:12" ht="12.75">
      <c r="A8" s="3565" t="s">
        <v>1272</v>
      </c>
      <c r="B8" s="3623">
        <v>15</v>
      </c>
      <c r="C8" s="3626"/>
      <c r="D8" s="3614"/>
      <c r="E8" s="131" t="s">
        <v>1273</v>
      </c>
      <c r="F8" s="1757"/>
      <c r="G8" s="1757"/>
      <c r="H8" s="1757"/>
      <c r="I8" s="1373"/>
    </row>
    <row r="9" spans="1:12" ht="12.75">
      <c r="A9" s="3565"/>
      <c r="B9" s="3623"/>
      <c r="C9" s="3627"/>
      <c r="D9" s="3614"/>
      <c r="E9" s="131" t="s">
        <v>1274</v>
      </c>
      <c r="F9" s="1757"/>
      <c r="G9" s="1757"/>
      <c r="H9" s="1757"/>
      <c r="I9" s="1373"/>
    </row>
    <row r="10" spans="1:12" ht="12.75">
      <c r="A10" s="3565" t="s">
        <v>1275</v>
      </c>
      <c r="B10" s="3623">
        <v>15</v>
      </c>
      <c r="C10" s="3626"/>
      <c r="D10" s="3614"/>
      <c r="E10" s="131" t="s">
        <v>1276</v>
      </c>
      <c r="F10" s="1757"/>
      <c r="G10" s="1757"/>
      <c r="H10" s="1757"/>
      <c r="I10" s="1373"/>
    </row>
    <row r="11" spans="1:12" ht="12.75">
      <c r="A11" s="3565"/>
      <c r="B11" s="3623"/>
      <c r="C11" s="3627"/>
      <c r="D11" s="3614"/>
      <c r="E11" s="131" t="s">
        <v>1277</v>
      </c>
      <c r="F11" s="1757"/>
      <c r="G11" s="1757"/>
      <c r="H11" s="1757"/>
      <c r="I11" s="1373"/>
    </row>
    <row r="12" spans="1:12" ht="12.75">
      <c r="A12" s="3565" t="s">
        <v>1278</v>
      </c>
      <c r="B12" s="3623">
        <v>15</v>
      </c>
      <c r="C12" s="3626"/>
      <c r="D12" s="3614"/>
      <c r="E12" s="131" t="s">
        <v>1279</v>
      </c>
      <c r="F12" s="1757"/>
      <c r="G12" s="1757"/>
      <c r="H12" s="1757"/>
      <c r="I12" s="1373"/>
    </row>
    <row r="13" spans="1:12" ht="12.75">
      <c r="A13" s="3565"/>
      <c r="B13" s="3623"/>
      <c r="C13" s="3627"/>
      <c r="D13" s="3614"/>
      <c r="E13" s="131" t="s">
        <v>1280</v>
      </c>
      <c r="F13" s="1757"/>
      <c r="G13" s="1757"/>
      <c r="H13" s="1757"/>
      <c r="I13" s="1373"/>
    </row>
    <row r="14" spans="1:12" ht="12.75">
      <c r="A14" s="3565" t="s">
        <v>1281</v>
      </c>
      <c r="B14" s="3623">
        <v>30</v>
      </c>
      <c r="C14" s="3626">
        <v>4</v>
      </c>
      <c r="D14" s="3614">
        <v>6</v>
      </c>
      <c r="E14" s="131" t="s">
        <v>1282</v>
      </c>
      <c r="F14" s="1757"/>
      <c r="G14" s="1757"/>
      <c r="H14" s="1757"/>
      <c r="I14" s="1373"/>
    </row>
    <row r="15" spans="1:12" ht="12.75">
      <c r="A15" s="3565"/>
      <c r="B15" s="3623"/>
      <c r="C15" s="3628"/>
      <c r="D15" s="3614"/>
      <c r="E15" s="131" t="s">
        <v>1283</v>
      </c>
      <c r="F15" s="1757"/>
      <c r="G15" s="1757"/>
      <c r="H15" s="1757"/>
      <c r="I15" s="1373"/>
    </row>
    <row r="16" spans="1:12" ht="12.75">
      <c r="A16" s="3565"/>
      <c r="B16" s="3623"/>
      <c r="C16" s="3627"/>
      <c r="D16" s="361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5" t="s">
        <v>2131</v>
      </c>
      <c r="F18" s="3646"/>
      <c r="G18" s="3646"/>
      <c r="H18" s="3646"/>
      <c r="I18" s="3646"/>
      <c r="K18" s="302" t="s">
        <v>1289</v>
      </c>
      <c r="L18" s="302">
        <f>IF(C1="",'数据-汇总表'!E3,SUMIF(项目类型,C1,'数据-汇总表'!E17:E26)+SUMIF(项目类型,C1,'数据-汇总表'!I17:I26))</f>
        <v>144350.96</v>
      </c>
      <c r="M18" s="302">
        <f>IF(C1="",'数据-汇总表'!E3,SUMIF(项目类型,C1,'数据-汇总表'!E17:E26))</f>
        <v>144350.96</v>
      </c>
    </row>
    <row r="19" spans="1:36" ht="15">
      <c r="A19" s="1761" t="s">
        <v>1290</v>
      </c>
      <c r="B19" s="1762" t="s">
        <v>1291</v>
      </c>
      <c r="C19" s="134">
        <f ca="1">SUMIF(INDIRECT("'"&amp;C4&amp;"'"&amp;"!A:A"),结果表!B19,INDIRECT("'"&amp;C4&amp;"'"&amp;"!B:B"))</f>
        <v>211661</v>
      </c>
      <c r="D19" s="135">
        <f ca="1">SUMIF(INDIRECT("'"&amp;D4&amp;"'"&amp;"!A:A"),结果表!B19,INDIRECT("'"&amp;D4&amp;"'"&amp;"!B:B"))</f>
        <v>143878</v>
      </c>
      <c r="E19" s="1761" t="s">
        <v>1292</v>
      </c>
      <c r="F19" s="1762" t="s">
        <v>1291</v>
      </c>
      <c r="G19" s="136">
        <f ca="1">ROUND(C19*$C$18+D19*$D$18,0)</f>
        <v>170991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14663</v>
      </c>
      <c r="D20" s="138">
        <f ca="1">SUMIF(INDIRECT("'"&amp;D4&amp;"'"&amp;"!A:A"),结果表!B20,INDIRECT("'"&amp;D4&amp;"'"&amp;"!B:B"))</f>
        <v>9967</v>
      </c>
      <c r="E20" s="1764"/>
      <c r="F20" s="1026" t="s">
        <v>1295</v>
      </c>
      <c r="G20" s="139">
        <f ca="1">ROUND(C20*$C$18+D20*$D$18,0)</f>
        <v>11845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51"/>
    </row>
    <row r="22" spans="1:36" ht="15" thickBot="1">
      <c r="A22" s="1688" t="s">
        <v>1298</v>
      </c>
      <c r="B22" s="1767"/>
      <c r="C22" s="1768"/>
      <c r="D22" s="721">
        <f ca="1">IF(C19&lt;D19,D19/C19-1,C19/D19-1)</f>
        <v>0.47111441638054452</v>
      </c>
      <c r="E22" s="129"/>
      <c r="F22" s="129"/>
      <c r="G22" s="129"/>
      <c r="H22" s="129"/>
      <c r="I22" s="129"/>
      <c r="J22" s="3451"/>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1.9263839262176403</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170991</v>
      </c>
      <c r="D32" s="1775" t="s">
        <v>3410</v>
      </c>
      <c r="E32" s="129"/>
      <c r="F32" s="129"/>
      <c r="G32" s="129"/>
      <c r="H32" s="129"/>
      <c r="I32" s="129"/>
    </row>
    <row r="33" spans="1:15" ht="15">
      <c r="A33" s="786" t="s">
        <v>1306</v>
      </c>
      <c r="B33" s="1776"/>
      <c r="C33" s="1777" t="s">
        <v>3411</v>
      </c>
      <c r="D33" s="1778" t="s">
        <v>3409</v>
      </c>
      <c r="E33" s="1779" t="s">
        <v>1307</v>
      </c>
      <c r="F33" s="1780" t="str">
        <f>IF(D32="楼面单价","取值（单价）","取值（总价）")</f>
        <v>取值（总价）</v>
      </c>
      <c r="G33" s="129"/>
      <c r="H33" s="129"/>
      <c r="I33" s="129"/>
    </row>
    <row r="34" spans="1:15" ht="15">
      <c r="A34" s="1781"/>
      <c r="B34" s="1782" t="s">
        <v>1308</v>
      </c>
      <c r="C34" s="148">
        <f ca="1">IF(C33="自定义",F34,C32-C35)</f>
        <v>76775</v>
      </c>
      <c r="D34" s="861">
        <f ca="1">IF(C33="自定义",ROUND(C34/C32,3),IF(C33="收益比率",SUMIF(INDIRECT("'"&amp;D33&amp;"'"&amp;"!b:b"),"土地收益比率",INDIRECT("'"&amp;D33&amp;"'"&amp;"!c:c")),SUMIF(INDIRECT("'"&amp;D33&amp;"'"&amp;"!b:b"),"土地成本比率",INDIRECT("'"&amp;D33&amp;"'"&amp;"!c:c"))))</f>
        <v>0.44899999999999995</v>
      </c>
      <c r="E34" s="1783" t="s">
        <v>1309</v>
      </c>
      <c r="F34" s="1330"/>
      <c r="G34" s="129"/>
      <c r="H34" s="129"/>
      <c r="I34" s="129"/>
    </row>
    <row r="35" spans="1:15" ht="15.75" thickBot="1">
      <c r="A35" s="1784"/>
      <c r="B35" s="1785" t="s">
        <v>1310</v>
      </c>
      <c r="C35" s="1170">
        <f ca="1">IF(C33="自定义",F35,ROUND(C32*D35,0))</f>
        <v>94216</v>
      </c>
      <c r="D35" s="1171">
        <f ca="1">IF(C33="自定义",ROUND(C35/C32,3),IF(C33="收益比率",SUMIF(INDIRECT("'"&amp;D33&amp;"'"&amp;"!b:b"),"建筑物收益比率",INDIRECT("'"&amp;D33&amp;"'"&amp;"!c:c")),SUMIF(INDIRECT("'"&amp;D33&amp;"'"&amp;"!b:b"),"建筑物成本比率",INDIRECT("'"&amp;D33&amp;"'"&amp;"!c:c"))))</f>
        <v>0.55100000000000005</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f ca="1">ROUND(H101*F45,0)</f>
        <v>170991</v>
      </c>
      <c r="E45" s="156" t="s">
        <v>1327</v>
      </c>
      <c r="F45" s="157">
        <v>1</v>
      </c>
      <c r="G45" s="158" t="s">
        <v>1328</v>
      </c>
      <c r="H45" s="129"/>
      <c r="I45" s="129"/>
      <c r="J45" s="3552" t="s">
        <v>1329</v>
      </c>
      <c r="K45" s="3552"/>
      <c r="L45" s="3552"/>
      <c r="M45" s="3552"/>
      <c r="N45" s="3552"/>
      <c r="O45" s="3552"/>
    </row>
    <row r="46" spans="1:15" ht="14.25" customHeight="1">
      <c r="A46" s="3632" t="s">
        <v>1330</v>
      </c>
      <c r="B46" s="3633"/>
      <c r="C46" s="3633"/>
      <c r="D46" s="3633"/>
      <c r="E46" s="3633"/>
      <c r="F46" s="3633"/>
      <c r="G46" s="3634"/>
      <c r="H46" s="1806"/>
      <c r="I46" s="159"/>
      <c r="J46" s="2523">
        <v>1</v>
      </c>
      <c r="K46" s="3553" t="s">
        <v>1331</v>
      </c>
      <c r="L46" s="3553"/>
      <c r="M46" s="3554"/>
      <c r="N46" s="3554"/>
      <c r="O46" s="3554"/>
    </row>
    <row r="47" spans="1:15" ht="12" customHeight="1">
      <c r="A47" s="160" t="s">
        <v>1332</v>
      </c>
      <c r="B47" s="161"/>
      <c r="C47" s="162"/>
      <c r="D47" s="1087" t="s">
        <v>1333</v>
      </c>
      <c r="E47" s="302" t="s">
        <v>1334</v>
      </c>
      <c r="F47" s="163" t="s">
        <v>1335</v>
      </c>
      <c r="G47" s="2546" t="s">
        <v>1336</v>
      </c>
      <c r="H47" s="2547"/>
      <c r="I47" s="159"/>
      <c r="J47" s="2523">
        <v>2</v>
      </c>
      <c r="K47" s="3553" t="s">
        <v>1337</v>
      </c>
      <c r="L47" s="3553"/>
      <c r="M47" s="3555">
        <f>'数据-取费表'!B2</f>
        <v>45621</v>
      </c>
      <c r="N47" s="3555"/>
      <c r="O47" s="3555"/>
    </row>
    <row r="48" spans="1:15" ht="25.5">
      <c r="A48" s="3618" t="s">
        <v>1338</v>
      </c>
      <c r="B48" s="3619"/>
      <c r="C48" s="3619"/>
      <c r="D48" s="2324">
        <f ca="1">IF(H48="情况1",0,IF(H48="情况2",D52,IF(H48="情况3",D53,IF(H48="情况4",D54))))</f>
        <v>9120</v>
      </c>
      <c r="E48" s="2334" t="str">
        <f>IF(H48="情况4","(销售额-原购置价)×税（费）率","销售额×税（费）率")</f>
        <v>销售额×税（费）率</v>
      </c>
      <c r="F48" s="2548">
        <f>IF(H48="情况1","免征",'数据-取费表'!B41)</f>
        <v>5.6000000000000001E-2</v>
      </c>
      <c r="G48" s="2549" t="s">
        <v>1339</v>
      </c>
      <c r="H48" s="2550" t="s">
        <v>3412</v>
      </c>
      <c r="I48" s="1806"/>
      <c r="J48" s="2523">
        <v>3</v>
      </c>
      <c r="K48" s="3553" t="s">
        <v>1340</v>
      </c>
      <c r="L48" s="3553"/>
      <c r="M48" s="3556">
        <f ca="1">H101</f>
        <v>170991</v>
      </c>
      <c r="N48" s="3556"/>
      <c r="O48" s="3556"/>
    </row>
    <row r="49" spans="1:35" ht="25.5" customHeight="1">
      <c r="A49" s="2333" t="s">
        <v>1341</v>
      </c>
      <c r="B49" s="3604" t="s">
        <v>1342</v>
      </c>
      <c r="C49" s="3604"/>
      <c r="D49" s="1590">
        <v>0</v>
      </c>
      <c r="E49" s="324" t="s">
        <v>1343</v>
      </c>
      <c r="F49" s="2424" t="s">
        <v>28</v>
      </c>
      <c r="G49" s="3587"/>
      <c r="H49" s="2310" t="s">
        <v>2134</v>
      </c>
      <c r="I49" s="2311"/>
      <c r="J49" s="2523">
        <v>4</v>
      </c>
      <c r="K49" s="3553" t="str">
        <f>IF(项目基本情况!E8="房地产抵押价值","房地产抵押价值","抵押担保权已注销时的房地产抵押价值")</f>
        <v>房地产抵押价值</v>
      </c>
      <c r="L49" s="3553"/>
      <c r="M49" s="3556">
        <f ca="1">IF(项目基本情况!E8="房地产抵押价值",H107,H109)</f>
        <v>170991</v>
      </c>
      <c r="N49" s="3556"/>
      <c r="O49" s="3556"/>
    </row>
    <row r="50" spans="1:35" ht="25.5" customHeight="1">
      <c r="A50" s="2551"/>
      <c r="B50" s="3604" t="s">
        <v>1344</v>
      </c>
      <c r="C50" s="3604"/>
      <c r="D50" s="2552"/>
      <c r="E50" s="332"/>
      <c r="F50" s="2424"/>
      <c r="G50" s="3588"/>
      <c r="H50" s="2312" t="s">
        <v>2135</v>
      </c>
      <c r="I50" s="2311"/>
      <c r="J50" s="3552" t="s">
        <v>1345</v>
      </c>
      <c r="K50" s="3552"/>
      <c r="L50" s="3552"/>
      <c r="M50" s="3552"/>
      <c r="N50" s="3552"/>
      <c r="O50" s="3552"/>
    </row>
    <row r="51" spans="1:35" ht="20.45" customHeight="1">
      <c r="A51" s="2553"/>
      <c r="B51" s="3604" t="s">
        <v>1346</v>
      </c>
      <c r="C51" s="3604"/>
      <c r="D51" s="1087"/>
      <c r="E51" s="327"/>
      <c r="F51" s="2424"/>
      <c r="G51" s="3589"/>
      <c r="H51" s="2312" t="s">
        <v>2136</v>
      </c>
      <c r="I51" s="2311"/>
      <c r="J51" s="2524" t="s">
        <v>1347</v>
      </c>
      <c r="K51" s="3553" t="s">
        <v>1348</v>
      </c>
      <c r="L51" s="3553"/>
      <c r="M51" s="2524" t="s">
        <v>1349</v>
      </c>
      <c r="N51" s="2524" t="s">
        <v>1350</v>
      </c>
      <c r="O51" s="2524" t="s">
        <v>1351</v>
      </c>
    </row>
    <row r="52" spans="1:35" ht="24" customHeight="1">
      <c r="A52" s="2335" t="s">
        <v>1352</v>
      </c>
      <c r="B52" s="3604" t="s">
        <v>1353</v>
      </c>
      <c r="C52" s="3604"/>
      <c r="D52" s="1087">
        <f ca="1">ROUND(D45*'数据-取费表'!B41/(1+'数据-取费表'!C42),0)</f>
        <v>9120</v>
      </c>
      <c r="E52" s="2334" t="s">
        <v>1354</v>
      </c>
      <c r="F52" s="2554">
        <f>'数据-取费表'!B41</f>
        <v>5.6000000000000001E-2</v>
      </c>
      <c r="G52" s="2555"/>
      <c r="H52" s="2544"/>
      <c r="I52" s="1807"/>
      <c r="J52" s="2523">
        <v>1</v>
      </c>
      <c r="K52" s="3581" t="s">
        <v>1355</v>
      </c>
      <c r="L52" s="3581"/>
      <c r="M52" s="2525">
        <f ca="1">D48</f>
        <v>9120</v>
      </c>
      <c r="N52" s="2523" t="str">
        <f>E48</f>
        <v>销售额×税（费）率</v>
      </c>
      <c r="O52" s="2526">
        <f>F48</f>
        <v>5.6000000000000001E-2</v>
      </c>
    </row>
    <row r="53" spans="1:35" ht="12" customHeight="1">
      <c r="A53" s="2335" t="s">
        <v>1356</v>
      </c>
      <c r="B53" s="3605" t="s">
        <v>2291</v>
      </c>
      <c r="C53" s="3606"/>
      <c r="D53" s="1087">
        <f ca="1">ROUND(D45*'数据-取费表'!B41/(1+'数据-取费表'!C42),0)</f>
        <v>9120</v>
      </c>
      <c r="E53" s="2334" t="s">
        <v>1354</v>
      </c>
      <c r="F53" s="2554">
        <f>'数据-取费表'!B41</f>
        <v>5.6000000000000001E-2</v>
      </c>
      <c r="G53" s="2555"/>
      <c r="H53" s="2544"/>
      <c r="I53" s="1807"/>
      <c r="J53" s="2523">
        <v>2</v>
      </c>
      <c r="K53" s="3581" t="s">
        <v>1357</v>
      </c>
      <c r="L53" s="3581"/>
      <c r="M53" s="2525">
        <f t="shared" ref="M53:O54" ca="1" si="0">D55</f>
        <v>85</v>
      </c>
      <c r="N53" s="2523" t="str">
        <f t="shared" si="0"/>
        <v>销售额×税（费）率</v>
      </c>
      <c r="O53" s="2526">
        <f t="shared" si="0"/>
        <v>5.0000000000000001E-4</v>
      </c>
    </row>
    <row r="54" spans="1:35" ht="12" customHeight="1">
      <c r="A54" s="2335" t="s">
        <v>1358</v>
      </c>
      <c r="B54" s="3605" t="s">
        <v>2292</v>
      </c>
      <c r="C54" s="3606"/>
      <c r="D54" s="1087">
        <f ca="1">C68</f>
        <v>9120</v>
      </c>
      <c r="E54" s="327" t="s">
        <v>1359</v>
      </c>
      <c r="F54" s="2554">
        <f>'数据-取费表'!B41</f>
        <v>5.6000000000000001E-2</v>
      </c>
      <c r="G54" s="2555"/>
      <c r="H54" s="2556"/>
      <c r="I54" s="1807"/>
      <c r="J54" s="2523">
        <v>3</v>
      </c>
      <c r="K54" s="3581" t="s">
        <v>1360</v>
      </c>
      <c r="L54" s="3581"/>
      <c r="M54" s="2525">
        <f t="shared" ca="1" si="0"/>
        <v>17397</v>
      </c>
      <c r="N54" s="2523" t="str">
        <f t="shared" si="0"/>
        <v>增值额×税（费）率</v>
      </c>
      <c r="O54" s="2527" t="str">
        <f t="shared" si="0"/>
        <v>——</v>
      </c>
      <c r="Q54" s="725">
        <f ca="1">ROUND(M49/1.05*0.05,0)</f>
        <v>8142</v>
      </c>
    </row>
    <row r="55" spans="1:35" ht="24" customHeight="1">
      <c r="A55" s="3641" t="s">
        <v>1361</v>
      </c>
      <c r="B55" s="3619"/>
      <c r="C55" s="3619"/>
      <c r="D55" s="2324">
        <f ca="1">IF(H55="个人住宅",0,ROUND(D45*I55,0))</f>
        <v>85</v>
      </c>
      <c r="E55" s="2334" t="s">
        <v>1362</v>
      </c>
      <c r="F55" s="2554">
        <f>IF(H55="正常",I55,"免征")</f>
        <v>5.0000000000000001E-4</v>
      </c>
      <c r="G55" s="2555"/>
      <c r="H55" s="2550" t="s">
        <v>3413</v>
      </c>
      <c r="I55" s="165">
        <f>'数据-取费表'!B49</f>
        <v>5.0000000000000001E-4</v>
      </c>
      <c r="J55" s="2523" t="str">
        <f>IF(H59="非个人房产","",4)</f>
        <v/>
      </c>
      <c r="K55" s="3581" t="str">
        <f>IF(H59="非个人房产","——","个人所得税")</f>
        <v>——</v>
      </c>
      <c r="L55" s="3581"/>
      <c r="M55" s="2528" t="str">
        <f>D59</f>
        <v>——</v>
      </c>
      <c r="N55" s="2040" t="str">
        <f>E59</f>
        <v>——</v>
      </c>
      <c r="O55" s="2529" t="str">
        <f>F59</f>
        <v>——</v>
      </c>
    </row>
    <row r="56" spans="1:35" ht="24.75">
      <c r="A56" s="3641" t="s">
        <v>1363</v>
      </c>
      <c r="B56" s="3619"/>
      <c r="C56" s="3619"/>
      <c r="D56" s="2324">
        <f ca="1">IF(H56="个人住宅",D57,D58)</f>
        <v>17397</v>
      </c>
      <c r="E56" s="2334" t="s">
        <v>1364</v>
      </c>
      <c r="F56" s="2554" t="str">
        <f>IF(H56="正常",F58,"免征")</f>
        <v>——</v>
      </c>
      <c r="G56" s="2557" t="s">
        <v>1365</v>
      </c>
      <c r="H56" s="2558" t="s">
        <v>3413</v>
      </c>
      <c r="I56" s="1808"/>
      <c r="J56" s="2523" t="str">
        <f>IF(项目基本情况!K6="上海银行",IF(J55="",4,J55+1),"")</f>
        <v/>
      </c>
      <c r="K56" s="3559" t="str">
        <f>IF(项目基本情况!K6="上海银行","其他处置费用","")</f>
        <v/>
      </c>
      <c r="L56" s="3560"/>
      <c r="M56" s="2525" t="str">
        <f>IF(项目基本情况!K6="上海银行",M69,"")</f>
        <v/>
      </c>
      <c r="N56" s="3559" t="str">
        <f>IF(项目基本情况!K6="上海银行","包含处置中涉及的律师、诉讼、拍卖、评估等费用","")</f>
        <v/>
      </c>
      <c r="O56" s="3562"/>
    </row>
    <row r="57" spans="1:35" ht="12.75">
      <c r="A57" s="2335" t="s">
        <v>1341</v>
      </c>
      <c r="B57" s="3605" t="s">
        <v>1366</v>
      </c>
      <c r="C57" s="3606"/>
      <c r="D57" s="1590">
        <v>0</v>
      </c>
      <c r="E57" s="324" t="s">
        <v>1343</v>
      </c>
      <c r="F57" s="302"/>
      <c r="G57" s="2555"/>
      <c r="H57" s="2559"/>
      <c r="I57" s="1808"/>
      <c r="J57" s="3581">
        <f>IF(AND(J55="",J56=""),4,IF(项目基本情况!K6="上海银行",结果表!J56+1,结果表!J55+1))</f>
        <v>4</v>
      </c>
      <c r="K57" s="3581" t="s">
        <v>1367</v>
      </c>
      <c r="L57" s="2530" t="s">
        <v>1368</v>
      </c>
      <c r="M57" s="2531"/>
      <c r="N57" s="2532">
        <f ca="1">SUMIF(M52:M56,"&lt;9e307")</f>
        <v>26602</v>
      </c>
      <c r="O57" s="2533"/>
      <c r="P57" s="2689">
        <f ca="1">N57/M49</f>
        <v>0.15557543964302215</v>
      </c>
      <c r="Q57" s="725">
        <f ca="1">M52+M53+Q54</f>
        <v>17347</v>
      </c>
    </row>
    <row r="58" spans="1:35" ht="24.75">
      <c r="A58" s="2335" t="s">
        <v>1352</v>
      </c>
      <c r="B58" s="3605" t="s">
        <v>1369</v>
      </c>
      <c r="C58" s="3604"/>
      <c r="D58" s="2324">
        <f ca="1">IF(H58="转让取得",C81,C97)</f>
        <v>17397</v>
      </c>
      <c r="E58" s="2334" t="s">
        <v>1364</v>
      </c>
      <c r="F58" s="302" t="s">
        <v>28</v>
      </c>
      <c r="G58" s="2555"/>
      <c r="H58" s="2558" t="s">
        <v>3414</v>
      </c>
      <c r="I58" s="1808"/>
      <c r="J58" s="3581"/>
      <c r="K58" s="3581"/>
      <c r="L58" s="2530" t="s">
        <v>1370</v>
      </c>
      <c r="M58" s="2534"/>
      <c r="N58" s="2535" t="str">
        <f ca="1">NUMBERSTRING(INT(N57*10000),2)&amp;"元整"</f>
        <v>贰亿陆仟陆佰零贰万元整</v>
      </c>
      <c r="O58" s="2536"/>
    </row>
    <row r="59" spans="1:35" ht="24.75" thickBot="1">
      <c r="A59" s="3585" t="s">
        <v>1371</v>
      </c>
      <c r="B59" s="3586"/>
      <c r="C59" s="358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3415</v>
      </c>
      <c r="I59" s="2313" t="s">
        <v>2137</v>
      </c>
      <c r="J59" s="3583">
        <f>J57+1</f>
        <v>5</v>
      </c>
      <c r="K59" s="3581" t="s">
        <v>1372</v>
      </c>
      <c r="L59" s="2523" t="s">
        <v>1368</v>
      </c>
      <c r="M59" s="2537"/>
      <c r="N59" s="2538">
        <f ca="1">M49-N57</f>
        <v>144389</v>
      </c>
      <c r="O59" s="2539"/>
      <c r="Q59" s="725">
        <f ca="1">M49-Q57</f>
        <v>153644</v>
      </c>
    </row>
    <row r="60" spans="1:35" ht="12" customHeight="1">
      <c r="A60" s="1809"/>
      <c r="B60" s="1747"/>
      <c r="C60" s="1747"/>
      <c r="D60" s="1747"/>
      <c r="E60" s="1578"/>
      <c r="F60" s="1808"/>
      <c r="G60" s="1808"/>
      <c r="H60" s="1810"/>
      <c r="I60" s="129"/>
      <c r="J60" s="3584"/>
      <c r="K60" s="3581"/>
      <c r="L60" s="2530" t="s">
        <v>1370</v>
      </c>
      <c r="M60" s="2534"/>
      <c r="N60" s="2535" t="str">
        <f ca="1">NUMBERSTRING(INT(N59*10000),2)&amp;"元整"</f>
        <v>壹拾肆亿肆仟叁佰捌拾玖万元整</v>
      </c>
      <c r="O60" s="2536"/>
      <c r="Q60" s="3453" t="str">
        <f ca="1">NUMBERSTRING(INT(Q59*10000),2)&amp;"元整"</f>
        <v>壹拾伍亿叁仟陆佰肆拾肆万元整</v>
      </c>
    </row>
    <row r="61" spans="1:35" ht="13.5" thickBot="1">
      <c r="A61" s="3640" t="s">
        <v>1373</v>
      </c>
      <c r="B61" s="3640"/>
      <c r="C61" s="3640"/>
      <c r="D61" s="3640"/>
      <c r="E61" s="3640"/>
      <c r="F61" s="1808"/>
      <c r="G61" s="1808"/>
      <c r="H61" s="1810"/>
      <c r="I61" s="129"/>
      <c r="J61" s="2523">
        <f>J59+1</f>
        <v>6</v>
      </c>
      <c r="K61" s="3581" t="s">
        <v>1374</v>
      </c>
      <c r="L61" s="3581"/>
      <c r="M61" s="2540"/>
      <c r="N61" s="2541">
        <f ca="1">ROUND(N59*10000/'数据-汇总表'!E3,0)</f>
        <v>10003</v>
      </c>
      <c r="O61" s="2542"/>
      <c r="Q61" s="3454">
        <f ca="1">ROUND(Q59*10000/'数据-汇总表'!E3,0)</f>
        <v>10644</v>
      </c>
    </row>
    <row r="62" spans="1:35" ht="12.75">
      <c r="A62" s="3600" t="s">
        <v>1375</v>
      </c>
      <c r="B62" s="3601"/>
      <c r="C62" s="2021"/>
      <c r="D62" s="2021" t="s">
        <v>1376</v>
      </c>
      <c r="E62" s="166" t="s">
        <v>1377</v>
      </c>
      <c r="F62" s="1808"/>
      <c r="G62" s="1808"/>
      <c r="H62" s="1810"/>
      <c r="I62" s="129"/>
    </row>
    <row r="63" spans="1:35" ht="12.75">
      <c r="A63" s="173" t="s">
        <v>330</v>
      </c>
      <c r="B63" s="167" t="s">
        <v>1378</v>
      </c>
      <c r="C63" s="2564">
        <f ca="1">ROUND((C64+C65)/(1+'数据-取费表'!C42),0)</f>
        <v>162849</v>
      </c>
      <c r="D63" s="167"/>
      <c r="E63" s="168"/>
      <c r="F63" s="1808"/>
      <c r="G63" s="1808"/>
      <c r="H63" s="1810"/>
      <c r="I63" s="129"/>
      <c r="J63" s="3561" t="s">
        <v>1379</v>
      </c>
      <c r="K63" s="1332" t="s">
        <v>1380</v>
      </c>
      <c r="L63" s="1332">
        <f ca="1">IF(M49&gt;10000,M49*0.5%,IF(AND(M49&gt;1000,M49&lt;=10000),M49*1%,IF(AND(M49&gt;100,M49&lt;=1000),M49*3%,IF(AND(M49&gt;10,M49&lt;=100),M49*5%,M49*8%))))</f>
        <v>854.95500000000004</v>
      </c>
      <c r="M63" s="302">
        <f ca="1">ROUND(L63,1)</f>
        <v>855</v>
      </c>
      <c r="N63" s="2543"/>
      <c r="Z63" s="1752"/>
      <c r="AI63" s="1753"/>
    </row>
    <row r="64" spans="1:35" ht="14.25" customHeight="1">
      <c r="A64" s="169" t="s">
        <v>325</v>
      </c>
      <c r="B64" s="170" t="s">
        <v>1381</v>
      </c>
      <c r="C64" s="2565">
        <f ca="1">D45</f>
        <v>170991</v>
      </c>
      <c r="D64" s="170" t="s">
        <v>26</v>
      </c>
      <c r="E64" s="172"/>
      <c r="F64" s="1808"/>
      <c r="G64" s="1808"/>
      <c r="H64" s="1810"/>
      <c r="I64" s="129"/>
      <c r="J64" s="3561"/>
      <c r="K64" s="1332" t="s">
        <v>1382</v>
      </c>
      <c r="L64" s="1332">
        <f ca="1">IF(M49&gt;2000,M49*0.5%,IF(AND(M49&gt;1000,M49&lt;=2000),M49*0.6%,IF(AND(M49&gt;500,M49&lt;=1000),M49*0.7%,IF(AND(M49&gt;200,M49&lt;=500),M49*0.8%,IF(AND(M49&gt;100,M49&lt;=200),M49*0.9%,IF(AND(M49&gt;50,M49&lt;=100),M49*1%,IF(AND(M49&gt;20,M49&lt;=50),M49*1.5%,IF(AND(M49&gt;10,M49&lt;=20),M49*2%,IF(AND(M49&gt;1,M49&lt;=10),M49*2.5%)))))))))</f>
        <v>854.95500000000004</v>
      </c>
      <c r="M64" s="302">
        <f t="shared" ref="M64:M65" ca="1" si="1">ROUND(L64,1)</f>
        <v>855</v>
      </c>
      <c r="N64" s="2544" t="s">
        <v>1383</v>
      </c>
      <c r="Z64" s="1752"/>
      <c r="AI64" s="1753"/>
    </row>
    <row r="65" spans="1:35" ht="14.25" customHeight="1">
      <c r="A65" s="169" t="s">
        <v>326</v>
      </c>
      <c r="B65" s="170" t="s">
        <v>1384</v>
      </c>
      <c r="C65" s="2566"/>
      <c r="D65" s="170"/>
      <c r="E65" s="172"/>
      <c r="F65" s="1808"/>
      <c r="G65" s="1808"/>
      <c r="H65" s="1810"/>
      <c r="I65" s="129"/>
      <c r="J65" s="3561"/>
      <c r="K65" s="1332" t="s">
        <v>1385</v>
      </c>
      <c r="L65" s="1332">
        <f ca="1">IF(M49&gt;1000,M49*0.1%,IF(AND(M49&gt;500,M49&lt;=1000),M49*0.5%,IF(AND(M49&gt;50,M49&lt;=500),M49*1%,IF(AND(M49&gt;1,M49&lt;=50),M49*1.5%))))</f>
        <v>170.99100000000001</v>
      </c>
      <c r="M65" s="302">
        <f t="shared" ca="1" si="1"/>
        <v>171</v>
      </c>
      <c r="N65" s="2544" t="s">
        <v>1383</v>
      </c>
      <c r="Z65" s="1752"/>
      <c r="AI65" s="1753"/>
    </row>
    <row r="66" spans="1:35" ht="14.25" customHeight="1">
      <c r="A66" s="173" t="s">
        <v>327</v>
      </c>
      <c r="B66" s="174" t="s">
        <v>1386</v>
      </c>
      <c r="C66" s="2567"/>
      <c r="D66" s="174" t="s">
        <v>26</v>
      </c>
      <c r="E66" s="1338" t="s">
        <v>671</v>
      </c>
      <c r="F66" s="1808"/>
      <c r="G66" s="1808"/>
      <c r="H66" s="1810"/>
      <c r="I66" s="129"/>
      <c r="J66" s="3561"/>
      <c r="K66" s="1332" t="s">
        <v>1387</v>
      </c>
      <c r="L66" s="1332">
        <f ca="1">M49*0.5%</f>
        <v>854.95500000000004</v>
      </c>
      <c r="M66" s="302">
        <f ca="1">IF(L66&gt;0.5,0.5,ROUND(L66,0))</f>
        <v>0.5</v>
      </c>
      <c r="N66" s="2544" t="s">
        <v>1388</v>
      </c>
      <c r="Z66" s="1752"/>
      <c r="AI66" s="1753"/>
    </row>
    <row r="67" spans="1:35" ht="14.25" customHeight="1">
      <c r="A67" s="173" t="s">
        <v>328</v>
      </c>
      <c r="B67" s="174" t="s">
        <v>1389</v>
      </c>
      <c r="C67" s="2568">
        <f ca="1">C63-C66</f>
        <v>162849</v>
      </c>
      <c r="D67" s="170" t="s">
        <v>26</v>
      </c>
      <c r="E67" s="172"/>
      <c r="F67" s="1808"/>
      <c r="G67" s="1808"/>
      <c r="H67" s="1810"/>
      <c r="I67" s="129"/>
      <c r="J67" s="3561"/>
      <c r="K67" s="1332" t="s">
        <v>1390</v>
      </c>
      <c r="L67" s="1332">
        <f ca="1">IF(M49&gt;=10000,(8.25+(M49-10000)*0.01%),IF(AND(M49&gt;=8000,M49&lt;10000),(7.85+(M49-8000)*0.02%),IF(AND(M49&gt;=5000,M49&lt;8000),(6.65+(M49-5000)*0.04%),IF(AND(M49&gt;=2000,M49&lt;5000),(4.25+(PM49-2000)*0.08%),IF(AND(M49&gt;=1000,M49&lt;2000),(2.75+(M49-1000)*0.15%),IF(AND(M49&gt;=100,M49&lt;1000),(0.5+(M49-100)*0.25%),IF(AND(M49&gt;0,M49&lt;100),M49*0.5%)))))))</f>
        <v>24.3491</v>
      </c>
      <c r="M67" s="302">
        <f ca="1">ROUND(L67*0.9,1)</f>
        <v>21.9</v>
      </c>
      <c r="N67" s="2543"/>
      <c r="Z67" s="1752"/>
      <c r="AI67" s="1753"/>
    </row>
    <row r="68" spans="1:35" ht="14.25" customHeight="1" thickBot="1">
      <c r="A68" s="176" t="s">
        <v>329</v>
      </c>
      <c r="B68" s="177" t="s">
        <v>1391</v>
      </c>
      <c r="C68" s="2569">
        <f ca="1">IF(C67&lt;=0,0,ROUND(C67*D68,0))</f>
        <v>9120</v>
      </c>
      <c r="D68" s="2570">
        <f>'数据-取费表'!B41</f>
        <v>5.6000000000000001E-2</v>
      </c>
      <c r="E68" s="178"/>
      <c r="F68" s="1808"/>
      <c r="G68" s="1808"/>
      <c r="H68" s="1810"/>
      <c r="I68" s="129"/>
      <c r="J68" s="3561"/>
      <c r="K68" s="1332" t="s">
        <v>1392</v>
      </c>
      <c r="L68" s="1332">
        <f ca="1">IF(M49&gt;10000,M49*0.5%,IF(AND(M49&gt;5000,M49&lt;=10000),M49*1%,IF(AND(M49&gt;1000,M49&lt;=5000),M49*2%,IF(AND(M49&gt;200,M49&lt;=1000),M49*3%,M49*5%))))</f>
        <v>854.95500000000004</v>
      </c>
      <c r="M68" s="302">
        <f ca="1">ROUND(L68,1)</f>
        <v>855</v>
      </c>
      <c r="N68" s="2543"/>
      <c r="Z68" s="1752"/>
      <c r="AI68" s="1753"/>
    </row>
    <row r="69" spans="1:35" s="1772" customFormat="1" ht="16.5" customHeight="1">
      <c r="A69" s="1811"/>
      <c r="B69" s="1812"/>
      <c r="C69" s="1813"/>
      <c r="D69" s="1814"/>
      <c r="E69" s="1815"/>
      <c r="F69" s="1578"/>
      <c r="G69" s="1578"/>
      <c r="H69" s="1577"/>
      <c r="I69" s="1747"/>
      <c r="J69" s="3561"/>
      <c r="K69" s="1332" t="s">
        <v>1393</v>
      </c>
      <c r="L69" s="1332"/>
      <c r="M69" s="302">
        <f ca="1">ROUND(SUM(M63:M68),0)</f>
        <v>2758</v>
      </c>
      <c r="N69" s="2545">
        <f ca="1">M69/M49</f>
        <v>1.612950389201771E-2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162849</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977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977</v>
      </c>
      <c r="D78" s="2577">
        <f>'数据-取费表'!B43</f>
        <v>6.000000000000001E-3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161872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165.68270214943706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96781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162849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106094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ROUND('数据-汇总表'!D3*500/10000,0)</f>
        <v>0</v>
      </c>
      <c r="D88" s="2577"/>
      <c r="E88" s="193" t="s">
        <v>1413</v>
      </c>
      <c r="F88" s="2327"/>
      <c r="G88" s="194" t="s">
        <v>1414</v>
      </c>
      <c r="H88" s="1824" t="s">
        <v>3416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3" t="s">
        <v>2129</v>
      </c>
      <c r="H90" s="356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95561</v>
      </c>
      <c r="D91" s="2577"/>
      <c r="E91" s="3597" t="s">
        <v>1419</v>
      </c>
      <c r="F91" s="3598"/>
      <c r="G91" s="3598"/>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9556</v>
      </c>
      <c r="D92" s="2583">
        <v>0.1</v>
      </c>
      <c r="E92" s="3597" t="s">
        <v>1422</v>
      </c>
      <c r="F92" s="3598"/>
      <c r="G92" s="3598"/>
      <c r="H92" s="359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977</v>
      </c>
      <c r="D93" s="2577">
        <f>'数据-取费表'!B43</f>
        <v>6.000000000000001E-3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0"/>
      <c r="D94" s="2577">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56755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0.53495013855637452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17397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82"/>
      <c r="E100" s="3545" t="s">
        <v>1429</v>
      </c>
      <c r="F100" s="3545"/>
      <c r="G100" s="3545"/>
      <c r="H100" s="3582"/>
      <c r="I100" s="129"/>
    </row>
    <row r="101" spans="1:35" ht="18.75" customHeight="1">
      <c r="A101" s="3590" t="s">
        <v>1430</v>
      </c>
      <c r="B101" s="3591"/>
      <c r="C101" s="2585" t="str">
        <f>C4</f>
        <v>成本法</v>
      </c>
      <c r="D101" s="2586" t="str">
        <f>D4</f>
        <v>收益法</v>
      </c>
      <c r="E101" s="3557" t="s">
        <v>1431</v>
      </c>
      <c r="F101" s="3558"/>
      <c r="G101" s="1827" t="s">
        <v>1432</v>
      </c>
      <c r="H101" s="2595">
        <f ca="1">H118</f>
        <v>170991</v>
      </c>
      <c r="I101" s="129"/>
    </row>
    <row r="102" spans="1:35" ht="18.75" customHeight="1">
      <c r="A102" s="3592" t="s">
        <v>1433</v>
      </c>
      <c r="B102" s="2584" t="s">
        <v>1432</v>
      </c>
      <c r="C102" s="2585">
        <f ca="1">IF(D32="楼面单价",ROUND(C19,0),C19)</f>
        <v>211661</v>
      </c>
      <c r="D102" s="2586">
        <f ca="1">IF(D32="楼面单价",ROUND(D19,0),D19)</f>
        <v>143878</v>
      </c>
      <c r="E102" s="3557"/>
      <c r="F102" s="3558"/>
      <c r="G102" s="1827" t="s">
        <v>1434</v>
      </c>
      <c r="H102" s="2555">
        <f ca="1">I118</f>
        <v>11846</v>
      </c>
      <c r="I102" s="129"/>
    </row>
    <row r="103" spans="1:35" ht="42.75" customHeight="1">
      <c r="A103" s="3592"/>
      <c r="B103" s="2584" t="s">
        <v>1434</v>
      </c>
      <c r="C103" s="2587">
        <f ca="1">C20</f>
        <v>14663</v>
      </c>
      <c r="D103" s="2588">
        <f ca="1">D20</f>
        <v>9967</v>
      </c>
      <c r="E103" s="3550" t="s">
        <v>1435</v>
      </c>
      <c r="F103" s="3551"/>
      <c r="G103" s="1828" t="s">
        <v>1436</v>
      </c>
      <c r="H103" s="2595">
        <f>IF(D36="正常操作",H104+H105+H106,H105+H106)</f>
        <v>0</v>
      </c>
      <c r="I103" s="129"/>
    </row>
    <row r="104" spans="1:35" ht="18.75" customHeight="1">
      <c r="A104" s="3592" t="s">
        <v>1437</v>
      </c>
      <c r="B104" s="2589" t="s">
        <v>1432</v>
      </c>
      <c r="C104" s="2590">
        <f ca="1">H118</f>
        <v>170991</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f ca="1">I118</f>
        <v>11846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58"/>
      <c r="G107" s="1827" t="s">
        <v>1432</v>
      </c>
      <c r="H107" s="2595">
        <f ca="1">IF(E107="——","——",H101-H103)</f>
        <v>170991</v>
      </c>
      <c r="I107" s="129"/>
    </row>
    <row r="108" spans="1:35" ht="18.75" customHeight="1">
      <c r="A108" s="129"/>
      <c r="B108" s="129"/>
      <c r="C108" s="129"/>
      <c r="D108" s="129"/>
      <c r="E108" s="3593"/>
      <c r="F108" s="3558"/>
      <c r="G108" s="1827" t="s">
        <v>1434</v>
      </c>
      <c r="H108" s="2555">
        <f ca="1">IF(H107=H101,H102,ROUND(H107*10000/'数据-汇总表'!E3,0))</f>
        <v>11846</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58"/>
      <c r="G109" s="1827" t="s">
        <v>1432</v>
      </c>
      <c r="H109" s="2598" t="str">
        <f>IF(E109="——","——",H101-H105-H106)</f>
        <v>——</v>
      </c>
      <c r="I109" s="129"/>
    </row>
    <row r="110" spans="1:35" ht="18.75" customHeight="1">
      <c r="A110" s="129"/>
      <c r="B110" s="129"/>
      <c r="C110" s="129"/>
      <c r="D110" s="129"/>
      <c r="E110" s="3593"/>
      <c r="F110" s="3558"/>
      <c r="G110" s="1827" t="s">
        <v>1434</v>
      </c>
      <c r="H110" s="2555"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4.抵押净值</v>
      </c>
      <c r="F111" s="3580"/>
      <c r="G111" s="1827" t="s">
        <v>1432</v>
      </c>
      <c r="H111" s="3456">
        <f ca="1">D126</f>
        <v>153644</v>
      </c>
      <c r="I111" s="129"/>
    </row>
    <row r="112" spans="1:35" ht="18.75" customHeight="1" thickBot="1">
      <c r="A112" s="129"/>
      <c r="B112" s="129"/>
      <c r="C112" s="129"/>
      <c r="D112" s="129"/>
      <c r="E112" s="3595"/>
      <c r="F112" s="3596"/>
      <c r="G112" s="1830" t="s">
        <v>1434</v>
      </c>
      <c r="H112" s="3457">
        <f ca="1">Q61</f>
        <v>10644</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5" t="s">
        <v>1443</v>
      </c>
      <c r="B116" s="3569" t="s">
        <v>1444</v>
      </c>
      <c r="C116" s="3569" t="s">
        <v>1445</v>
      </c>
      <c r="D116" s="3578" t="s">
        <v>1446</v>
      </c>
      <c r="E116" s="3579"/>
      <c r="F116" s="3610" t="s">
        <v>1447</v>
      </c>
      <c r="G116" s="3610"/>
      <c r="H116" s="3565" t="s">
        <v>1448</v>
      </c>
      <c r="I116" s="3565"/>
    </row>
    <row r="117" spans="1:27" ht="18.75" customHeight="1">
      <c r="A117" s="3565"/>
      <c r="B117" s="3570"/>
      <c r="C117" s="3570"/>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144350.96</v>
      </c>
      <c r="C118" s="2329">
        <f>M19</f>
        <v>0</v>
      </c>
      <c r="D118" s="2329">
        <f ca="1">ROUND(IF(D32="总价",C34,E118*B118/10000),0)</f>
        <v>76775</v>
      </c>
      <c r="E118" s="2329">
        <f ca="1">ROUND(IF(C33="自定义",IF(D32="楼面单价",C34,D118*10000/B118),I118-G118),0)</f>
        <v>5319</v>
      </c>
      <c r="F118" s="2329">
        <f ca="1">ROUND(IF(D32="总价",C35,G118*B118/10000),0)</f>
        <v>94216</v>
      </c>
      <c r="G118" s="2329">
        <f ca="1">ROUND(IF(D32="楼面单价",C35,F118*10000/B118),0)</f>
        <v>6527</v>
      </c>
      <c r="H118" s="2329">
        <f ca="1">ROUND(IF(D32="总价",C32,I118*B118/10000),0)</f>
        <v>170991</v>
      </c>
      <c r="I118" s="2329">
        <f ca="1">ROUND(IF(D32="楼面单价",C32,H118*10000/B118),0)</f>
        <v>11846</v>
      </c>
    </row>
    <row r="119" spans="1:27" ht="18.75" customHeight="1">
      <c r="A119" s="3565" t="s">
        <v>1452</v>
      </c>
      <c r="B119" s="3565"/>
      <c r="C119" s="3565"/>
      <c r="D119" s="3571" t="str">
        <f ca="1">NUMBERSTRING(INT(D118*10000),2)&amp;"元整"</f>
        <v>柒亿陆仟柒佰柒拾伍万元整</v>
      </c>
      <c r="E119" s="3572"/>
      <c r="F119" s="3571" t="str">
        <f ca="1">NUMBERSTRING(INT(F118*10000),2)&amp;"元整"</f>
        <v>玖亿肆仟贰佰壹拾陆万元整</v>
      </c>
      <c r="G119" s="3572"/>
      <c r="H119" s="3571" t="str">
        <f ca="1">NUMBERSTRING(INT(H118*10000),2)&amp;"元整"</f>
        <v>壹拾柒亿零玖佰玖拾壹万元整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1452</v>
      </c>
      <c r="B121" s="3576"/>
      <c r="C121" s="3572"/>
      <c r="D121" s="3571" t="str">
        <f>IF(D120=0,"零元整",NUMBERSTRING(INT(D120*10000),2)&amp;"元整")</f>
        <v>零元整</v>
      </c>
      <c r="E121" s="3576"/>
      <c r="F121" s="3576"/>
      <c r="G121" s="3576"/>
      <c r="H121" s="3576"/>
      <c r="I121" s="3572"/>
      <c r="AA121" s="725"/>
    </row>
    <row r="122" spans="1:27" ht="18.75" customHeight="1">
      <c r="A122" s="3580" t="str">
        <f>IF(项目基本情况!B9="房地产市场价值","",MID(E107,3,LEN(E107)-2))</f>
        <v>房地产抵押价值</v>
      </c>
      <c r="B122" s="3580"/>
      <c r="C122" s="3580"/>
      <c r="D122" s="3566">
        <f ca="1">H107</f>
        <v>170991</v>
      </c>
      <c r="E122" s="3567"/>
      <c r="F122" s="3567"/>
      <c r="G122" s="3567"/>
      <c r="H122" s="3567"/>
      <c r="I122" s="3568"/>
      <c r="AA122" s="725"/>
    </row>
    <row r="123" spans="1:27" ht="18.75" customHeight="1">
      <c r="A123" s="3565" t="s">
        <v>1452</v>
      </c>
      <c r="B123" s="3565"/>
      <c r="C123" s="3565"/>
      <c r="D123" s="3571" t="str">
        <f ca="1">NUMBERSTRING(INT(D122*10000),2)&amp;"元整"</f>
        <v>壹拾柒亿零玖佰玖拾壹万元整</v>
      </c>
      <c r="E123" s="3576"/>
      <c r="F123" s="3576"/>
      <c r="G123" s="3576"/>
      <c r="H123" s="3576"/>
      <c r="I123" s="3572"/>
      <c r="AA123" s="725"/>
    </row>
    <row r="124" spans="1:27" ht="18.75" customHeight="1">
      <c r="A124" s="3580" t="str">
        <f>IF(项目基本情况!B9="房地产市场价值","",MID(E109,3,LEN(E109)-2))</f>
        <v/>
      </c>
      <c r="B124" s="3580"/>
      <c r="C124" s="3580"/>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6"/>
      <c r="F125" s="3576"/>
      <c r="G125" s="3576"/>
      <c r="H125" s="3576"/>
      <c r="I125" s="3572"/>
      <c r="AA125" s="725"/>
    </row>
    <row r="126" spans="1:27" ht="18.75" customHeight="1">
      <c r="A126" s="3580" t="str">
        <f>IF(项目基本情况!B9="房地产市场价值","",MID(E111,3,LEN(E111)-2))</f>
        <v>抵押净值</v>
      </c>
      <c r="B126" s="3580"/>
      <c r="C126" s="3580"/>
      <c r="D126" s="3573">
        <f ca="1">Q59</f>
        <v>153644</v>
      </c>
      <c r="E126" s="3574"/>
      <c r="F126" s="3574"/>
      <c r="G126" s="3574"/>
      <c r="H126" s="3574"/>
      <c r="I126" s="3575"/>
      <c r="AA126" s="725"/>
    </row>
    <row r="127" spans="1:27" ht="18.75" customHeight="1">
      <c r="A127" s="3565" t="s">
        <v>1452</v>
      </c>
      <c r="B127" s="3565"/>
      <c r="C127" s="3565"/>
      <c r="D127" s="3571" t="str">
        <f ca="1">NUMBERSTRING(INT(D126*10000),2)&amp;"元整"</f>
        <v>壹拾伍亿叁仟陆佰肆拾肆万元整</v>
      </c>
      <c r="E127" s="3576"/>
      <c r="F127" s="3576"/>
      <c r="G127" s="3576"/>
      <c r="H127" s="3576"/>
      <c r="I127" s="3572"/>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211661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14663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66036</v>
      </c>
      <c r="D5" s="211" t="s">
        <v>1469</v>
      </c>
      <c r="E5" s="212" t="s">
        <v>1470</v>
      </c>
      <c r="F5" s="212" t="s">
        <v>1471</v>
      </c>
      <c r="G5" s="213"/>
    </row>
    <row r="6" spans="1:9" s="214" customFormat="1" ht="13.5" customHeight="1">
      <c r="A6" s="778" t="s">
        <v>1472</v>
      </c>
      <c r="B6" s="215" t="s">
        <v>1473</v>
      </c>
      <c r="C6" s="216">
        <f>基准地价修正!E37+基准地价修正!E42+基准地价修正!V2+基准地价修正!V3+基准地价修正!V4+基准地价修正!V5</f>
        <v>61280</v>
      </c>
      <c r="D6" s="217"/>
      <c r="E6" s="218"/>
      <c r="F6" s="218"/>
      <c r="G6" s="219"/>
    </row>
    <row r="7" spans="1:9" s="214" customFormat="1" ht="13.5" customHeight="1">
      <c r="A7" s="778" t="s">
        <v>1474</v>
      </c>
      <c r="B7" s="215" t="s">
        <v>1475</v>
      </c>
      <c r="C7" s="220">
        <f>ROUND(C6*F7,0)</f>
        <v>1869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2887</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2887</v>
      </c>
      <c r="D10" s="845">
        <f ca="1">IF(B1="",'数据-汇总表'!E6,IF(INDIRECT("'数据-取费表'!c"&amp;$G$1)="住宅",INDIRECT("'数据-取费表'!s"&amp;$G$1),INDIRECT("'数据-取费表'!k"&amp;$G$1)+INDIRECT("'数据-取费表'!s"&amp;$G$1)))</f>
        <v>144350.96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144350.96</v>
      </c>
      <c r="E19" s="211">
        <f>'数据-取费表'!B31</f>
        <v>200</v>
      </c>
      <c r="F19" s="231"/>
      <c r="G19" s="1856" t="s">
        <v>3408</v>
      </c>
    </row>
    <row r="20" spans="1:7" s="214" customFormat="1" ht="13.5" customHeight="1">
      <c r="A20" s="255" t="s">
        <v>1493</v>
      </c>
      <c r="B20" s="210" t="s">
        <v>1494</v>
      </c>
      <c r="C20" s="232">
        <f ca="1">ROUND((C5+C19)*F20,0)</f>
        <v>1651</v>
      </c>
      <c r="D20" s="232"/>
      <c r="E20" s="232"/>
      <c r="F20" s="233">
        <f>'数据-取费表'!B37</f>
        <v>2.5000000000000001E-2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6411</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6334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77</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13537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13537</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95069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95561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86611</v>
      </c>
      <c r="D34" s="217"/>
      <c r="E34" s="220"/>
      <c r="F34" s="257">
        <f ca="1">IF('数据-取费表'!B24=0,1,IF(B1="",'数据-取费表'!N16,INDIRECT("'数据-取费表'!n"&amp;$G$1)))</f>
        <v>1</v>
      </c>
      <c r="G34" s="219" t="s">
        <v>1526</v>
      </c>
    </row>
    <row r="35" spans="1:7" ht="13.5" customHeight="1">
      <c r="A35" s="780" t="s">
        <v>351</v>
      </c>
      <c r="B35" s="215" t="s">
        <v>1527</v>
      </c>
      <c r="C35" s="220">
        <f ca="1">ROUND(C34*F35,0)</f>
        <v>4331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2887</v>
      </c>
      <c r="D37" s="217">
        <f ca="1">D19</f>
        <v>144350.96</v>
      </c>
      <c r="E37" s="249">
        <f>'数据-取费表'!B35</f>
        <v>200</v>
      </c>
      <c r="F37" s="259"/>
      <c r="G37" s="261" t="s">
        <v>1532</v>
      </c>
    </row>
    <row r="38" spans="1:7" ht="13.5" customHeight="1">
      <c r="A38" s="780" t="s">
        <v>354</v>
      </c>
      <c r="B38" s="215" t="s">
        <v>1533</v>
      </c>
      <c r="C38" s="220">
        <f ca="1">ROUND(C34*F38,0)</f>
        <v>1732</v>
      </c>
      <c r="D38" s="220"/>
      <c r="E38" s="220"/>
      <c r="F38" s="259">
        <f>'数据-取费表'!B36</f>
        <v>0.02</v>
      </c>
      <c r="G38" s="219" t="s">
        <v>1528</v>
      </c>
    </row>
    <row r="39" spans="1:7" s="214" customFormat="1" ht="13.5" customHeight="1">
      <c r="A39" s="255" t="s">
        <v>1534</v>
      </c>
      <c r="B39" s="210" t="s">
        <v>1535</v>
      </c>
      <c r="C39" s="232">
        <f ca="1">ROUND(C33*F20,0)</f>
        <v>2389</v>
      </c>
      <c r="D39" s="232"/>
      <c r="E39" s="232"/>
      <c r="F39" s="233">
        <f>F20</f>
        <v>2.5000000000000001E-2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4590</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4478</v>
      </c>
      <c r="D42" s="238"/>
      <c r="E42" s="238"/>
      <c r="F42" s="239"/>
      <c r="G42" s="3647" t="s">
        <v>1544</v>
      </c>
    </row>
    <row r="43" spans="1:7" ht="13.5" customHeight="1">
      <c r="A43" s="780" t="s">
        <v>347</v>
      </c>
      <c r="B43" s="215" t="s">
        <v>1545</v>
      </c>
      <c r="C43" s="238">
        <f ca="1">ROUND(IF('数据-取费表'!B22&lt;=1,C39*F22*'数据-取费表'!B21/2,C39*(POWER((1+F22),'数据-取费表'!B21/2)-1)),0)</f>
        <v>112</v>
      </c>
      <c r="D43" s="238"/>
      <c r="E43" s="238"/>
      <c r="F43" s="239"/>
      <c r="G43" s="3648"/>
    </row>
    <row r="44" spans="1:7" ht="13.5" customHeight="1">
      <c r="A44" s="780" t="s">
        <v>348</v>
      </c>
      <c r="B44" s="215" t="s">
        <v>1546</v>
      </c>
      <c r="C44" s="238">
        <f ca="1">ROUND(IF('数据-取费表'!B22&lt;=1,C40*F22*'数据-取费表'!B21/2,C40*(POWER((1+F22),'数据-取费表'!B21/2)-1)),4)</f>
        <v>8.9999999999999998E-4</v>
      </c>
      <c r="D44" s="238"/>
      <c r="E44" s="238"/>
      <c r="F44" s="239"/>
      <c r="G44" s="3649"/>
    </row>
    <row r="45" spans="1:7" s="214" customFormat="1" ht="13.5" customHeight="1">
      <c r="A45" s="255" t="s">
        <v>1547</v>
      </c>
      <c r="B45" s="244" t="s">
        <v>1513</v>
      </c>
      <c r="C45" s="245">
        <f ca="1">C46</f>
        <v>19590</v>
      </c>
      <c r="D45" s="235">
        <f ca="1">C47</f>
        <v>4.0000000000000001E-3</v>
      </c>
      <c r="E45" s="236" t="s">
        <v>1539</v>
      </c>
      <c r="F45" s="246">
        <f ca="1">F27</f>
        <v>0.2</v>
      </c>
      <c r="G45" s="247" t="s">
        <v>1548</v>
      </c>
    </row>
    <row r="46" spans="1:7" s="214" customFormat="1" ht="13.5" customHeight="1">
      <c r="A46" s="780" t="s">
        <v>346</v>
      </c>
      <c r="B46" s="248" t="s">
        <v>1549</v>
      </c>
      <c r="C46" s="249">
        <f ca="1">ROUND((C33+C39)*F27,0)</f>
        <v>19590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132491</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116592</v>
      </c>
      <c r="D51" s="232"/>
      <c r="E51" s="232"/>
      <c r="F51" s="264"/>
      <c r="G51" s="234" t="s">
        <v>1560</v>
      </c>
    </row>
    <row r="52" spans="1:7" s="208" customFormat="1" ht="16.5" thickBot="1">
      <c r="A52" s="265" t="s">
        <v>1561</v>
      </c>
      <c r="B52" s="266"/>
      <c r="C52" s="267">
        <f ca="1">C31+C51</f>
        <v>211661</v>
      </c>
      <c r="D52" s="266"/>
      <c r="E52" s="266"/>
      <c r="F52" s="266"/>
      <c r="G52" s="268"/>
    </row>
    <row r="55" spans="1:7" ht="15">
      <c r="B55" s="270" t="s">
        <v>1562</v>
      </c>
      <c r="C55" s="271"/>
    </row>
    <row r="56" spans="1:7">
      <c r="B56" s="273" t="s">
        <v>802</v>
      </c>
      <c r="C56" s="275">
        <f ca="1">1-C57</f>
        <v>0.44899999999999995</v>
      </c>
    </row>
    <row r="57" spans="1:7">
      <c r="B57" s="273" t="s">
        <v>803</v>
      </c>
      <c r="C57" s="274">
        <f ca="1">ROUND(C51/C52,3)</f>
        <v>0.55100000000000005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124903.59510000001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8653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28870192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28870192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28870192</v>
      </c>
      <c r="D10" s="845">
        <f ca="1">IF(B1="",'数据-汇总表'!E6,IF(INDIRECT("'数据-取费表'!c"&amp;$G$1)="住宅",INDIRECT("'数据-取费表'!s"&amp;$G$1),INDIRECT("'数据-取费表'!k"&amp;$G$1)+INDIRECT("'数据-取费表'!s"&amp;$G$1)))</f>
        <v>144350.96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28870192</v>
      </c>
      <c r="D19" s="849">
        <f ca="1">D9+D10</f>
        <v>144350.96</v>
      </c>
      <c r="E19" s="211">
        <f>'数据-取费表'!B31</f>
        <v>200</v>
      </c>
      <c r="F19" s="231"/>
      <c r="G19" s="1856"/>
    </row>
    <row r="20" spans="1:7" s="214" customFormat="1" ht="13.5" customHeight="1">
      <c r="A20" s="255" t="s">
        <v>1574</v>
      </c>
      <c r="B20" s="210" t="s">
        <v>1575</v>
      </c>
      <c r="C20" s="232">
        <f ca="1">ROUND((C5+C19)*F20,0)</f>
        <v>1443510</v>
      </c>
      <c r="D20" s="232"/>
      <c r="E20" s="232"/>
      <c r="F20" s="233">
        <f>'数据-取费表'!B37</f>
        <v>2.5000000000000001E-2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5605683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2769021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2769021</v>
      </c>
      <c r="D24" s="238"/>
      <c r="E24" s="238"/>
      <c r="F24" s="239"/>
      <c r="G24" s="240" t="s">
        <v>1586</v>
      </c>
    </row>
    <row r="25" spans="1:7" s="214" customFormat="1" ht="24">
      <c r="A25" s="780" t="s">
        <v>1476</v>
      </c>
      <c r="B25" s="215" t="s">
        <v>1587</v>
      </c>
      <c r="C25" s="1128">
        <f ca="1">ROUND(IF('数据-取费表'!B22&lt;=1,C20*F22*'数据-取费表'!B22/2,C20*(POWER((1+F22),'数据-取费表'!B22/2)-1)),0)</f>
        <v>67641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11836779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11836779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83126878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955603355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866105760</v>
      </c>
      <c r="D34" s="217"/>
      <c r="E34" s="220"/>
      <c r="F34" s="257"/>
      <c r="G34" s="219"/>
    </row>
    <row r="35" spans="1:7" ht="13.5" customHeight="1">
      <c r="A35" s="780" t="s">
        <v>351</v>
      </c>
      <c r="B35" s="215" t="s">
        <v>1527</v>
      </c>
      <c r="C35" s="220">
        <f ca="1">ROUND(C34*F35,0)</f>
        <v>43305288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28870192</v>
      </c>
      <c r="D37" s="217">
        <f ca="1">D19</f>
        <v>144350.96</v>
      </c>
      <c r="E37" s="249">
        <f>'数据-取费表'!B35</f>
        <v>200</v>
      </c>
      <c r="F37" s="259"/>
      <c r="G37" s="261"/>
    </row>
    <row r="38" spans="1:7" ht="13.5" customHeight="1">
      <c r="A38" s="780" t="s">
        <v>354</v>
      </c>
      <c r="B38" s="215" t="s">
        <v>1533</v>
      </c>
      <c r="C38" s="220">
        <f ca="1">ROUND(C34*F38,0)</f>
        <v>17322115</v>
      </c>
      <c r="D38" s="220"/>
      <c r="E38" s="220"/>
      <c r="F38" s="259">
        <f>'数据-取费表'!B36</f>
        <v>0.02</v>
      </c>
      <c r="G38" s="219" t="s">
        <v>1528</v>
      </c>
    </row>
    <row r="39" spans="1:7" s="214" customFormat="1" ht="13.5" customHeight="1">
      <c r="A39" s="255" t="s">
        <v>1534</v>
      </c>
      <c r="B39" s="210" t="s">
        <v>1535</v>
      </c>
      <c r="C39" s="232">
        <f ca="1">ROUND(C33*F20,0)</f>
        <v>23890084</v>
      </c>
      <c r="D39" s="232"/>
      <c r="E39" s="232"/>
      <c r="F39" s="233">
        <f>F20</f>
        <v>2.5000000000000001E-2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45897627</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44778173</v>
      </c>
      <c r="D42" s="238"/>
      <c r="E42" s="238"/>
      <c r="F42" s="239"/>
      <c r="G42" s="3647" t="s">
        <v>1591</v>
      </c>
    </row>
    <row r="43" spans="1:7" ht="13.5" customHeight="1">
      <c r="A43" s="780" t="s">
        <v>347</v>
      </c>
      <c r="B43" s="215" t="s">
        <v>1545</v>
      </c>
      <c r="C43" s="238">
        <f ca="1">ROUND(IF('数据-取费表'!B22&lt;=1,C39*F22*'数据-取费表'!B20/2,C39*(POWER((1+F22),'数据-取费表'!B20/2)-1)),0)</f>
        <v>1119454</v>
      </c>
      <c r="D43" s="238"/>
      <c r="E43" s="238"/>
      <c r="F43" s="239"/>
      <c r="G43" s="3648"/>
    </row>
    <row r="44" spans="1:7" ht="13.5" customHeight="1">
      <c r="A44" s="780" t="s">
        <v>348</v>
      </c>
      <c r="B44" s="215" t="s">
        <v>1546</v>
      </c>
      <c r="C44" s="238">
        <f ca="1">ROUND(IF('数据-取费表'!B22&lt;=1,C40*F22*'数据-取费表'!B20/2,C40*(POWER((1+F22),'数据-取费表'!B20/2)-1)),4)</f>
        <v>8.9999999999999998E-4</v>
      </c>
      <c r="D44" s="238"/>
      <c r="E44" s="238"/>
      <c r="F44" s="239"/>
      <c r="G44" s="3649"/>
    </row>
    <row r="45" spans="1:7" s="214" customFormat="1" ht="13.5" customHeight="1">
      <c r="A45" s="255" t="s">
        <v>1547</v>
      </c>
      <c r="B45" s="244" t="s">
        <v>1513</v>
      </c>
      <c r="C45" s="245">
        <f ca="1">C46</f>
        <v>195898688</v>
      </c>
      <c r="D45" s="235">
        <f ca="1">C47</f>
        <v>4.0000000000000001E-3</v>
      </c>
      <c r="E45" s="236" t="s">
        <v>1539</v>
      </c>
      <c r="F45" s="246">
        <f ca="1">F27</f>
        <v>0.2</v>
      </c>
      <c r="G45" s="247" t="s">
        <v>1548</v>
      </c>
    </row>
    <row r="46" spans="1:7" s="214" customFormat="1" ht="13.5" customHeight="1">
      <c r="A46" s="780" t="s">
        <v>346</v>
      </c>
      <c r="B46" s="248" t="s">
        <v>1549</v>
      </c>
      <c r="C46" s="249">
        <f ca="1">ROUND((C33+C39)*F27,0)</f>
        <v>195898688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1324896674</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1165909073</v>
      </c>
      <c r="D51" s="232"/>
      <c r="E51" s="232"/>
      <c r="F51" s="264"/>
      <c r="G51" s="234" t="s">
        <v>1560</v>
      </c>
    </row>
    <row r="52" spans="1:7" s="208" customFormat="1" ht="16.5" thickBot="1">
      <c r="A52" s="265" t="s">
        <v>1561</v>
      </c>
      <c r="B52" s="266"/>
      <c r="C52" s="267">
        <f ca="1">C31+C51</f>
        <v>1249035951</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144350.96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144350.96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2887</v>
      </c>
      <c r="D20" s="846">
        <f ca="1">IF(C1="",'数据-汇总表'!E6,IF(INDIRECT("'数据-取费表'!c"&amp;$K$1)="住宅",INDIRECT("'数据-取费表'!s"&amp;$K$1),INDIRECT("'数据-取费表'!k"&amp;$K$1)+INDIRECT("'数据-取费表'!s"&amp;$K$1)))</f>
        <v>144350.96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H38" sqref="H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28.07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143878</v>
      </c>
      <c r="C2" s="1387" t="s">
        <v>805</v>
      </c>
      <c r="D2" s="1387"/>
      <c r="E2" s="1388"/>
      <c r="F2" s="1389"/>
      <c r="G2" s="2705"/>
      <c r="H2" s="2694"/>
      <c r="I2" s="2694"/>
      <c r="J2" s="2694"/>
      <c r="K2" s="2695"/>
      <c r="L2" s="2694"/>
      <c r="M2" s="2694"/>
    </row>
    <row r="3" spans="1:37" ht="18" customHeight="1" thickBot="1">
      <c r="A3" s="1390" t="s">
        <v>806</v>
      </c>
      <c r="B3" s="1391">
        <f ca="1">IF(ISERROR(B2*10000/F43),0,ROUND(B2*10000/F43,0))</f>
        <v>9967</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10445</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10432</v>
      </c>
      <c r="D6" s="155" t="s">
        <v>2109</v>
      </c>
      <c r="E6" s="302" t="s">
        <v>696</v>
      </c>
      <c r="F6" s="303">
        <f ca="1">INDIRECT("'数据-取费表'!u"&amp;$G$1)</f>
        <v>2.2000000000000002</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144350.96</v>
      </c>
      <c r="G7" s="1384"/>
      <c r="H7" s="304"/>
      <c r="I7" s="3653"/>
      <c r="J7" s="306"/>
      <c r="K7" s="307"/>
      <c r="L7" s="302" t="s">
        <v>697</v>
      </c>
      <c r="M7" s="303">
        <f ca="1">F7</f>
        <v>144350.96</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2117</v>
      </c>
      <c r="E10" s="313" t="s">
        <v>701</v>
      </c>
      <c r="F10" s="1116" t="s">
        <v>3398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116592</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86611</v>
      </c>
      <c r="D14" s="1345" t="s">
        <v>708</v>
      </c>
      <c r="E14" s="1342"/>
      <c r="F14" s="319"/>
      <c r="G14" s="1384"/>
      <c r="H14" s="982" t="s">
        <v>398</v>
      </c>
      <c r="I14" s="302" t="s">
        <v>709</v>
      </c>
      <c r="J14" s="21">
        <f ca="1">C29</f>
        <v>132491</v>
      </c>
      <c r="K14" s="12"/>
      <c r="L14" s="807"/>
      <c r="M14" s="808"/>
    </row>
    <row r="15" spans="1:37" s="1397" customFormat="1" ht="18" customHeight="1" thickBot="1">
      <c r="A15" s="982" t="s">
        <v>399</v>
      </c>
      <c r="B15" s="302" t="s">
        <v>710</v>
      </c>
      <c r="C15" s="21">
        <f ca="1">ROUND(C14*F15,0)</f>
        <v>4331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662</v>
      </c>
      <c r="K16" s="1087" t="s">
        <v>715</v>
      </c>
      <c r="L16" s="1088"/>
      <c r="M16" s="1072"/>
    </row>
    <row r="17" spans="1:37" s="1397" customFormat="1" ht="18" customHeight="1">
      <c r="A17" s="982" t="s">
        <v>681</v>
      </c>
      <c r="B17" s="302" t="s">
        <v>716</v>
      </c>
      <c r="C17" s="21">
        <f ca="1">ROUND(F17*(F43+INDIRECT("'数据-取费表'!S"&amp;$G$1))/10000,0)</f>
        <v>2887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1732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95561</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2389</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662.46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4590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-662</v>
      </c>
      <c r="K25" s="1095" t="s">
        <v>753</v>
      </c>
      <c r="L25" s="1096"/>
      <c r="M25" s="1097"/>
    </row>
    <row r="26" spans="1:37">
      <c r="A26" s="982" t="s">
        <v>397</v>
      </c>
      <c r="B26" s="302" t="s">
        <v>754</v>
      </c>
      <c r="C26" s="21">
        <f ca="1">ROUND((C19+C20)*F26,0)</f>
        <v>19590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132491</v>
      </c>
      <c r="D29" s="1092"/>
      <c r="E29" s="1090"/>
      <c r="F29" s="1093"/>
      <c r="G29" s="1396"/>
      <c r="H29" s="334" t="s">
        <v>396</v>
      </c>
      <c r="I29" s="335" t="s">
        <v>768</v>
      </c>
      <c r="J29" s="336">
        <f ca="1">ROUND(J26/(1+F40)^F41,0)</f>
        <v>0</v>
      </c>
      <c r="K29" s="337" t="s">
        <v>769</v>
      </c>
      <c r="L29" s="338"/>
      <c r="M29" s="339">
        <f ca="1">INDIRECT("'数据-取费表'!k"&amp;$G$1)</f>
        <v>144350.96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2632</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1748.6</v>
      </c>
      <c r="D31" s="1345" t="s">
        <v>720</v>
      </c>
      <c r="E31" s="1344" t="s">
        <v>770</v>
      </c>
      <c r="F31" s="2315" t="str">
        <f>IF(项目基本情况!B11="企业","——",IF(M47="住宅",IF(F6*F7*F8/12/(1+'数据-取费表'!F30)&gt;100000,4%,2.5%),IF(F6*F7*F8/12/(1+'数据-取费表'!F30)&gt;100000,12%,7%)))</f>
        <v>——</v>
      </c>
      <c r="G31" s="1384"/>
      <c r="H31" s="2807" t="s">
        <v>2308</v>
      </c>
      <c r="I31" s="1398"/>
      <c r="J31" s="1399"/>
      <c r="K31" s="2475"/>
      <c r="L31" s="2697"/>
      <c r="M31" s="2698"/>
    </row>
    <row r="32" spans="1:37" ht="18" customHeight="1">
      <c r="A32" s="982" t="s">
        <v>397</v>
      </c>
      <c r="B32" s="302" t="s">
        <v>723</v>
      </c>
      <c r="C32" s="21">
        <f ca="1">IF(项目基本情况!B11="自然人","——",ROUND(C6*F32/(1+'数据-取费表'!C42),2))</f>
        <v>556.37</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1192.23</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662.46</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ROUND(C13*F37,2)</f>
        <v>116.59</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104.45</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7813</v>
      </c>
      <c r="D39" s="1095" t="s">
        <v>773</v>
      </c>
      <c r="E39" s="1096"/>
      <c r="F39" s="1097"/>
      <c r="G39" s="1384"/>
      <c r="H39" s="2699">
        <f ca="1">C39/C6</f>
        <v>0.74894555214723924</v>
      </c>
      <c r="I39" s="1398"/>
      <c r="J39" s="1399"/>
      <c r="K39" s="2703"/>
      <c r="L39" s="2699"/>
      <c r="M39" s="2699"/>
    </row>
    <row r="40" spans="1:18" ht="18" customHeight="1">
      <c r="A40" s="299" t="s">
        <v>395</v>
      </c>
      <c r="B40" s="300" t="s">
        <v>774</v>
      </c>
      <c r="C40" s="301">
        <f ca="1">ROUND(C39*(1-((1+F42)/(1+F40))^F41)/(F40-F42),0)</f>
        <v>136640</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28.07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9466</v>
      </c>
      <c r="D43" s="337" t="s">
        <v>777</v>
      </c>
      <c r="E43" s="338" t="s">
        <v>778</v>
      </c>
      <c r="F43" s="339">
        <f ca="1">INDIRECT("'数据-取费表'!k"&amp;$G$1)</f>
        <v>144350.96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-147652</v>
      </c>
      <c r="D46" s="1406" t="str">
        <f>C2</f>
        <v>万元</v>
      </c>
      <c r="E46" s="1400"/>
      <c r="F46" s="1400"/>
      <c r="I46" s="1407" t="s">
        <v>810</v>
      </c>
      <c r="J46" s="1408"/>
      <c r="K46" s="1409"/>
      <c r="L46" s="1410">
        <f ca="1">IF(M47="住宅",0,IF(L48&gt;J51,L60,J60))</f>
        <v>7238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f ca="1">INDIRECT("'数据-取费表'!d"&amp;$G$1)</f>
        <v>40</v>
      </c>
      <c r="M47" s="1380" t="str">
        <f>IF(ISNUMBER(FIND("住宅",C1)),"住宅","非住宅")</f>
        <v>非住宅</v>
      </c>
      <c r="O47" s="1418" t="s">
        <v>403</v>
      </c>
      <c r="P47" s="1419" t="s">
        <v>817</v>
      </c>
      <c r="Q47" s="1420">
        <f ca="1">C40+J29</f>
        <v>136640</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28.07</v>
      </c>
      <c r="O48" s="1418" t="s">
        <v>404</v>
      </c>
      <c r="P48" s="1419" t="s">
        <v>821</v>
      </c>
      <c r="Q48" s="1420">
        <f ca="1">J60</f>
        <v>7238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2017</v>
      </c>
      <c r="K49" s="1423" t="s">
        <v>824</v>
      </c>
      <c r="L49" s="1427"/>
      <c r="O49" s="1428" t="s">
        <v>405</v>
      </c>
      <c r="P49" s="1419" t="s">
        <v>825</v>
      </c>
      <c r="Q49" s="1420">
        <f ca="1">C29</f>
        <v>132491</v>
      </c>
      <c r="R49" s="1420" t="s">
        <v>818</v>
      </c>
    </row>
    <row r="50" spans="1:18" s="1384" customFormat="1" ht="13.5" thickBot="1">
      <c r="A50" s="976"/>
      <c r="B50" s="979"/>
      <c r="C50" s="1118"/>
      <c r="D50" s="953"/>
      <c r="E50" s="1056" t="s">
        <v>697</v>
      </c>
      <c r="F50" s="1057">
        <f ca="1">F7</f>
        <v>144350.96</v>
      </c>
      <c r="H50" s="723"/>
      <c r="I50" s="1421" t="s">
        <v>826</v>
      </c>
      <c r="J50" s="1429">
        <f>SUMPRODUCT((I63:I65=J47)*(J62:L62=J48)*(J63:L65))</f>
        <v>60</v>
      </c>
      <c r="K50" s="1423" t="s">
        <v>827</v>
      </c>
      <c r="L50" s="1427"/>
      <c r="M50" s="1430"/>
      <c r="O50" s="1428" t="s">
        <v>406</v>
      </c>
      <c r="P50" s="1419" t="s">
        <v>828</v>
      </c>
      <c r="Q50" s="1431">
        <f ca="1">J58</f>
        <v>0.41599999999999998</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-6444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28.07</v>
      </c>
      <c r="K53" s="3650" t="s">
        <v>837</v>
      </c>
      <c r="L53" s="3651"/>
      <c r="O53" s="1418" t="s">
        <v>409</v>
      </c>
      <c r="P53" s="1419" t="s">
        <v>838</v>
      </c>
      <c r="Q53" s="1420">
        <f ca="1">Q47+Q48</f>
        <v>143878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0.41599999999999998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116592</v>
      </c>
      <c r="D56" s="1447"/>
      <c r="E56" s="1448"/>
      <c r="F56" s="1440"/>
      <c r="I56" s="1449" t="s">
        <v>842</v>
      </c>
      <c r="J56" s="1450" t="s">
        <v>3401</v>
      </c>
      <c r="K56" s="1421" t="s">
        <v>843</v>
      </c>
      <c r="L56" s="1424" t="str">
        <f ca="1">IF(L48&lt;J51,"——",L48-J53)</f>
        <v>——</v>
      </c>
      <c r="O56" s="1418" t="s">
        <v>403</v>
      </c>
      <c r="P56" s="1419" t="s">
        <v>817</v>
      </c>
      <c r="Q56" s="1420">
        <f ca="1">C40+J29</f>
        <v>136640</v>
      </c>
      <c r="R56" s="1420" t="s">
        <v>818</v>
      </c>
    </row>
    <row r="57" spans="1:18" s="1384" customFormat="1" ht="24.75" thickBot="1">
      <c r="A57" s="1451"/>
      <c r="B57" s="950" t="s">
        <v>767</v>
      </c>
      <c r="C57" s="238">
        <f ca="1">C29</f>
        <v>132491</v>
      </c>
      <c r="D57" s="1452"/>
      <c r="E57" s="1453"/>
      <c r="F57" s="1454"/>
      <c r="I57" s="1455" t="s">
        <v>844</v>
      </c>
      <c r="J57" s="1456">
        <f ca="1">IF(OR(M47="住宅",J51&lt;L48,J56="是"),"——",J51-L48)</f>
        <v>24.93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779</v>
      </c>
      <c r="D58" s="960" t="s">
        <v>715</v>
      </c>
      <c r="E58" s="961"/>
      <c r="F58" s="962"/>
      <c r="I58" s="1455" t="s">
        <v>848</v>
      </c>
      <c r="J58" s="1457">
        <f ca="1">IF(J55&lt;0.4,0.4,J55)</f>
        <v>0.41599999999999998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55116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7238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136640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662.46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116.59</v>
      </c>
      <c r="D65" s="964" t="s">
        <v>743</v>
      </c>
      <c r="E65" s="950" t="s">
        <v>744</v>
      </c>
      <c r="F65" s="330">
        <f t="shared" ca="1" si="0"/>
        <v>1E-3</v>
      </c>
      <c r="I65" s="1462" t="s">
        <v>867</v>
      </c>
      <c r="J65" s="1463">
        <v>40</v>
      </c>
      <c r="K65" s="1463">
        <v>30</v>
      </c>
      <c r="L65" s="1463">
        <v>50</v>
      </c>
      <c r="M65" s="1465">
        <v>0.02</v>
      </c>
      <c r="O65" s="1418" t="s">
        <v>403</v>
      </c>
      <c r="P65" s="1419" t="s">
        <v>868</v>
      </c>
      <c r="Q65" s="1420">
        <f ca="1">C40+J29</f>
        <v>136640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-779</v>
      </c>
      <c r="D67" s="963" t="s">
        <v>753</v>
      </c>
      <c r="E67" s="968"/>
      <c r="F67" s="969"/>
      <c r="O67" s="1428" t="s">
        <v>405</v>
      </c>
      <c r="P67" s="1419" t="s">
        <v>850</v>
      </c>
      <c r="Q67" s="1466">
        <f ca="1">L51</f>
        <v>-6444</v>
      </c>
      <c r="R67" s="1420" t="s">
        <v>870</v>
      </c>
    </row>
    <row r="68" spans="1:18" s="1384" customFormat="1" ht="16.5" thickBot="1">
      <c r="A68" s="947" t="s">
        <v>395</v>
      </c>
      <c r="B68" s="948" t="s">
        <v>774</v>
      </c>
      <c r="C68" s="301">
        <f ca="1">ROUND(C67*(1-((1+F70)/(1+F68))^F69)/(F68-F70),0)</f>
        <v>-11012</v>
      </c>
      <c r="D68" s="965" t="s">
        <v>758</v>
      </c>
      <c r="E68" s="950" t="s">
        <v>759</v>
      </c>
      <c r="F68" s="312">
        <f ca="1">F40</f>
        <v>5.5E-2</v>
      </c>
      <c r="O68" s="1428" t="s">
        <v>406</v>
      </c>
      <c r="P68" s="1467" t="s">
        <v>871</v>
      </c>
      <c r="Q68" s="1420">
        <f ca="1">ROUND(Q69-Q70*Q71,0)</f>
        <v>-348</v>
      </c>
      <c r="R68" s="1420" t="s">
        <v>414</v>
      </c>
    </row>
    <row r="69" spans="1:18" s="1384" customFormat="1" ht="13.5" thickBot="1">
      <c r="A69" s="951"/>
      <c r="B69" s="952"/>
      <c r="C69" s="306"/>
      <c r="D69" s="970" t="s">
        <v>762</v>
      </c>
      <c r="E69" s="950" t="s">
        <v>763</v>
      </c>
      <c r="F69" s="333">
        <f ca="1">F41</f>
        <v>28.07</v>
      </c>
      <c r="O69" s="1428" t="s">
        <v>411</v>
      </c>
      <c r="P69" s="1467" t="s">
        <v>872</v>
      </c>
      <c r="Q69" s="1420">
        <f ca="1">C39</f>
        <v>7813</v>
      </c>
      <c r="R69" s="1420" t="s">
        <v>818</v>
      </c>
    </row>
    <row r="70" spans="1:18" s="1384" customFormat="1" ht="13.5" thickBot="1">
      <c r="A70" s="954"/>
      <c r="B70" s="955"/>
      <c r="C70" s="310"/>
      <c r="D70" s="966"/>
      <c r="E70" s="950" t="s">
        <v>766</v>
      </c>
      <c r="F70" s="1054"/>
      <c r="O70" s="1428" t="s">
        <v>412</v>
      </c>
      <c r="P70" s="1467" t="s">
        <v>873</v>
      </c>
      <c r="Q70" s="1420">
        <f ca="1">C13</f>
        <v>116592</v>
      </c>
      <c r="R70" s="1420" t="s">
        <v>818</v>
      </c>
    </row>
    <row r="71" spans="1:18" s="1384" customFormat="1" ht="13.5" thickBot="1">
      <c r="A71" s="971" t="s">
        <v>396</v>
      </c>
      <c r="B71" s="972" t="s">
        <v>776</v>
      </c>
      <c r="C71" s="336">
        <f ca="1">ROUND(C68*10000/F71,0)</f>
        <v>-763</v>
      </c>
      <c r="D71" s="973" t="s">
        <v>777</v>
      </c>
      <c r="E71" s="974" t="s">
        <v>778</v>
      </c>
      <c r="F71" s="339">
        <f ca="1">F43</f>
        <v>144350.96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8161</v>
      </c>
      <c r="D75" s="1384"/>
      <c r="E75" s="1384"/>
      <c r="F75" s="1384"/>
      <c r="K75" s="1402"/>
      <c r="L75" s="1384"/>
      <c r="O75" s="1418" t="s">
        <v>409</v>
      </c>
      <c r="P75" s="1419" t="s">
        <v>838</v>
      </c>
      <c r="Q75" s="1420">
        <f ca="1">Q65+Q66</f>
        <v>136640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-4.4999999999999929E-2</v>
      </c>
    </row>
    <row r="80" spans="1:18">
      <c r="B80" s="340" t="s">
        <v>800</v>
      </c>
      <c r="C80" s="274">
        <f ca="1">ROUND(C75/C39,3)</f>
        <v>1.0449999999999999</v>
      </c>
    </row>
    <row r="81" spans="2:3">
      <c r="B81" s="270" t="s">
        <v>801</v>
      </c>
      <c r="C81" s="238"/>
    </row>
    <row r="82" spans="2:3">
      <c r="B82" s="273" t="s">
        <v>802</v>
      </c>
      <c r="C82" s="275">
        <f ca="1">1-C83</f>
        <v>0.14700000000000002</v>
      </c>
    </row>
    <row r="83" spans="2:3">
      <c r="B83" s="273" t="s">
        <v>803</v>
      </c>
      <c r="C83" s="274">
        <f ca="1">ROUND(C13/C40,3)</f>
        <v>0.85299999999999998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0</v>
      </c>
      <c r="D6" s="155" t="s">
        <v>2106</v>
      </c>
      <c r="E6" s="302" t="s">
        <v>696</v>
      </c>
      <c r="F6" s="303">
        <f ca="1">INDIRECT("'数据-取费表'!u"&amp;$G$1)</f>
        <v>0</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2308</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#DIV/0!</v>
      </c>
      <c r="D45" s="3431"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3359</v>
      </c>
      <c r="E2" s="3443"/>
      <c r="F2" s="2845"/>
      <c r="G2" s="2846"/>
      <c r="H2" s="2847"/>
      <c r="I2" s="2848"/>
      <c r="J2" s="3655" t="s">
        <v>2319</v>
      </c>
      <c r="K2" s="3656"/>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57" t="s">
        <v>2329</v>
      </c>
      <c r="K3" s="3658"/>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57" t="s">
        <v>2331</v>
      </c>
      <c r="K4" s="3658"/>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59" t="s">
        <v>2335</v>
      </c>
      <c r="B6" s="3660"/>
      <c r="C6" s="3661"/>
      <c r="D6" s="2869"/>
      <c r="E6" s="2870"/>
      <c r="F6" s="2871"/>
      <c r="G6" s="2872"/>
      <c r="H6" s="2847"/>
      <c r="I6" s="2848"/>
      <c r="J6" s="3662">
        <v>1</v>
      </c>
      <c r="K6" s="3663"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62"/>
      <c r="K7" s="3664"/>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6" t="s">
        <v>2349</v>
      </c>
      <c r="C8" s="3667"/>
      <c r="D8" s="2888" t="s">
        <v>2350</v>
      </c>
      <c r="E8" s="2889" t="s">
        <v>2351</v>
      </c>
      <c r="F8" s="2890" t="s">
        <v>2352</v>
      </c>
      <c r="G8" s="2891"/>
      <c r="H8" s="2847"/>
      <c r="I8" s="2848"/>
      <c r="J8" s="3662"/>
      <c r="K8" s="3664"/>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6" t="s">
        <v>2355</v>
      </c>
      <c r="C9" s="3667"/>
      <c r="D9" s="2888">
        <f>ROUND(D6*E9,0)</f>
        <v>0</v>
      </c>
      <c r="E9" s="2892"/>
      <c r="F9" s="2893" t="s">
        <v>2356</v>
      </c>
      <c r="G9" s="2872"/>
      <c r="H9" s="2847"/>
      <c r="I9" s="2848"/>
      <c r="J9" s="3662"/>
      <c r="K9" s="3664"/>
      <c r="L9" s="2882" t="s">
        <v>2357</v>
      </c>
      <c r="M9" s="2883"/>
      <c r="N9" s="2859"/>
      <c r="O9" s="2884"/>
      <c r="P9" s="2884"/>
      <c r="Q9" s="2885">
        <v>365</v>
      </c>
      <c r="R9" s="2886">
        <f t="shared" si="0"/>
        <v>0</v>
      </c>
      <c r="S9" s="2840"/>
      <c r="T9" s="2840"/>
      <c r="U9" s="2840"/>
      <c r="V9" s="2848"/>
    </row>
    <row r="10" spans="1:22" s="2852" customFormat="1" ht="13.15" customHeight="1">
      <c r="A10" s="2887">
        <v>2</v>
      </c>
      <c r="B10" s="3666" t="s">
        <v>2358</v>
      </c>
      <c r="C10" s="3667"/>
      <c r="D10" s="2888">
        <f>ROUND(D6*E10,0)</f>
        <v>0</v>
      </c>
      <c r="E10" s="2892"/>
      <c r="F10" s="2893" t="s">
        <v>2359</v>
      </c>
      <c r="G10" s="2872"/>
      <c r="H10" s="2847"/>
      <c r="I10" s="2848"/>
      <c r="J10" s="3662"/>
      <c r="K10" s="3664"/>
      <c r="L10" s="2882" t="s">
        <v>2360</v>
      </c>
      <c r="M10" s="2883"/>
      <c r="N10" s="2859"/>
      <c r="O10" s="2884"/>
      <c r="P10" s="2884"/>
      <c r="Q10" s="2885">
        <v>365</v>
      </c>
      <c r="R10" s="2886">
        <f t="shared" si="0"/>
        <v>0</v>
      </c>
      <c r="S10" s="2840"/>
      <c r="T10" s="2840"/>
      <c r="U10" s="2840"/>
      <c r="V10" s="2848"/>
    </row>
    <row r="11" spans="1:22" s="2852" customFormat="1" ht="13.15" customHeight="1">
      <c r="A11" s="2887">
        <v>3</v>
      </c>
      <c r="B11" s="3666" t="s">
        <v>2361</v>
      </c>
      <c r="C11" s="3667"/>
      <c r="D11" s="2888">
        <f>D12+D14+D15+D16</f>
        <v>0</v>
      </c>
      <c r="E11" s="2894" t="e">
        <f>D11/D6</f>
        <v>#DIV/0!</v>
      </c>
      <c r="F11" s="2890"/>
      <c r="G11" s="2891"/>
      <c r="H11" s="2847"/>
      <c r="I11" s="2848"/>
      <c r="J11" s="3662"/>
      <c r="K11" s="3664"/>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8" t="s">
        <v>2364</v>
      </c>
      <c r="C12" s="3669"/>
      <c r="D12" s="2896">
        <f>ROUND(D13*1.2%*(1-30%),0)</f>
        <v>0</v>
      </c>
      <c r="E12" s="2897">
        <v>1.2E-2</v>
      </c>
      <c r="F12" s="2890" t="s">
        <v>2365</v>
      </c>
      <c r="G12" s="2891"/>
      <c r="H12" s="2847"/>
      <c r="I12" s="2848"/>
      <c r="J12" s="3662"/>
      <c r="K12" s="3664"/>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62"/>
      <c r="K13" s="3664"/>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8" t="s">
        <v>2370</v>
      </c>
      <c r="C14" s="3669"/>
      <c r="D14" s="2896">
        <f>ROUND(E14*B5/10000,0)</f>
        <v>0</v>
      </c>
      <c r="E14" s="2885"/>
      <c r="F14" s="2890" t="s">
        <v>2371</v>
      </c>
      <c r="G14" s="2891"/>
      <c r="H14" s="2847"/>
      <c r="I14" s="2848"/>
      <c r="J14" s="3662"/>
      <c r="K14" s="3665"/>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8" t="s">
        <v>2374</v>
      </c>
      <c r="C15" s="3669"/>
      <c r="D15" s="2896">
        <f>ROUND(D6*E15,0)</f>
        <v>0</v>
      </c>
      <c r="E15" s="2897">
        <v>5.5E-2</v>
      </c>
      <c r="F15" s="2890" t="s">
        <v>2375</v>
      </c>
      <c r="G15" s="2872"/>
      <c r="H15" s="2847"/>
      <c r="I15" s="2848"/>
      <c r="J15" s="3662">
        <v>2</v>
      </c>
      <c r="K15" s="3663"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8" t="s">
        <v>2383</v>
      </c>
      <c r="C16" s="3669"/>
      <c r="D16" s="2907">
        <f>D6*E16</f>
        <v>0</v>
      </c>
      <c r="E16" s="2908"/>
      <c r="F16" s="2893" t="s">
        <v>2384</v>
      </c>
      <c r="G16" s="2872"/>
      <c r="H16" s="2847"/>
      <c r="I16" s="2848"/>
      <c r="J16" s="3662"/>
      <c r="K16" s="3664"/>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2386</v>
      </c>
      <c r="C17" s="3671"/>
      <c r="D17" s="2910">
        <f>ROUND(D6*E17,0)</f>
        <v>0</v>
      </c>
      <c r="E17" s="2911"/>
      <c r="F17" s="2912" t="s">
        <v>2387</v>
      </c>
      <c r="G17" s="2872"/>
      <c r="H17" s="2847"/>
      <c r="I17" s="2848"/>
      <c r="J17" s="3662"/>
      <c r="K17" s="3664"/>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62"/>
      <c r="K18" s="3664"/>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62"/>
      <c r="K19" s="3665"/>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2">
        <v>3</v>
      </c>
      <c r="K20" s="3663"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62"/>
      <c r="K21" s="3664"/>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62"/>
      <c r="K22" s="3664"/>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62"/>
      <c r="K23" s="3664"/>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62"/>
      <c r="K24" s="3665"/>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7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55" t="s">
        <v>2319</v>
      </c>
      <c r="K32" s="3656"/>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57" t="s">
        <v>2329</v>
      </c>
      <c r="K33" s="3658"/>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57" t="s">
        <v>2331</v>
      </c>
      <c r="K34" s="36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62">
        <v>1</v>
      </c>
      <c r="K36" s="3663"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62"/>
      <c r="K37" s="3664"/>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2"/>
      <c r="K38" s="3664"/>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62"/>
      <c r="K39" s="3664"/>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62"/>
      <c r="K40" s="3665"/>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2">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143878</v>
      </c>
      <c r="C2" s="1872" t="s">
        <v>1651</v>
      </c>
      <c r="D2" s="1873" t="s">
        <v>1652</v>
      </c>
      <c r="E2" s="2606">
        <f>SUM(E6:E13)</f>
        <v>144350.96</v>
      </c>
      <c r="F2" s="2706"/>
      <c r="G2" s="1489"/>
      <c r="H2" s="1489"/>
      <c r="I2" s="1489"/>
      <c r="J2" s="1489"/>
      <c r="K2" s="1489"/>
      <c r="L2" s="1489"/>
      <c r="M2" s="1489"/>
      <c r="N2" s="1489"/>
      <c r="O2" s="1489"/>
      <c r="P2" s="1489"/>
      <c r="Q2" s="1489"/>
      <c r="R2" s="1489"/>
      <c r="S2" s="1489"/>
    </row>
    <row r="3" spans="1:22" ht="15.75">
      <c r="A3" s="1870" t="s">
        <v>686</v>
      </c>
      <c r="B3" s="2600">
        <f ca="1">ROUND(B2*10000/E2,0)</f>
        <v>9967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4" t="s">
        <v>1654</v>
      </c>
      <c r="C5" s="3675"/>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143878</v>
      </c>
      <c r="C6" s="1872" t="s">
        <v>1651</v>
      </c>
      <c r="D6" s="2708"/>
      <c r="E6" s="2605">
        <f>IF(OR(A6=0,F6="否"),0,'数据-取费表'!K6+'数据-取费表'!S6)</f>
        <v>144350.96</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144350.96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4"/>
      <c r="M4" s="2715"/>
      <c r="N4" s="2715"/>
      <c r="O4" s="2715"/>
      <c r="P4" s="3698" t="s">
        <v>1672</v>
      </c>
      <c r="Q4" s="3699"/>
      <c r="R4" s="3681" t="s">
        <v>1668</v>
      </c>
      <c r="S4" s="3682"/>
      <c r="T4" s="3681" t="s">
        <v>1669</v>
      </c>
      <c r="U4" s="3682"/>
      <c r="V4" s="3706" t="s">
        <v>1670</v>
      </c>
      <c r="W4" s="3706"/>
      <c r="X4" s="1355"/>
      <c r="Y4" s="3681" t="s">
        <v>1672</v>
      </c>
      <c r="Z4" s="3682"/>
      <c r="AA4" s="3676" t="s">
        <v>1668</v>
      </c>
      <c r="AB4" s="3676" t="s">
        <v>1669</v>
      </c>
      <c r="AC4" s="3676" t="s">
        <v>1670</v>
      </c>
    </row>
    <row r="5" spans="1:29" ht="15">
      <c r="A5" s="358"/>
      <c r="B5" s="359"/>
      <c r="C5" s="3687" t="s">
        <v>1673</v>
      </c>
      <c r="D5" s="3688"/>
      <c r="E5" s="3685" t="s">
        <v>1674</v>
      </c>
      <c r="F5" s="3686"/>
      <c r="G5" s="3687" t="s">
        <v>1675</v>
      </c>
      <c r="H5" s="3688"/>
      <c r="I5" s="3687" t="s">
        <v>1676</v>
      </c>
      <c r="J5" s="3688"/>
      <c r="K5" s="1890"/>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1890"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45621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9" t="s">
        <v>1680</v>
      </c>
      <c r="Q7" s="3707"/>
      <c r="R7" s="701" t="s">
        <v>20</v>
      </c>
      <c r="S7" s="702">
        <f t="shared" ref="S7:S15" si="0">F7</f>
        <v>0</v>
      </c>
      <c r="T7" s="701" t="s">
        <v>20</v>
      </c>
      <c r="U7" s="702">
        <f t="shared" ref="U7:U15" si="1">H7</f>
        <v>0</v>
      </c>
      <c r="V7" s="701" t="s">
        <v>20</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3"/>
      <c r="Q11" s="1343"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3"/>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3"/>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3"/>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1"/>
      <c r="Q16" s="1352"/>
      <c r="R16" s="705"/>
      <c r="S16" s="706"/>
      <c r="T16" s="705"/>
      <c r="U16" s="706"/>
      <c r="V16" s="705"/>
      <c r="W16" s="706"/>
      <c r="X16" s="1355"/>
      <c r="Y16" s="371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1"/>
      <c r="Q18" s="1352"/>
      <c r="R18" s="705"/>
      <c r="S18" s="706"/>
      <c r="T18" s="705"/>
      <c r="U18" s="706"/>
      <c r="V18" s="705"/>
      <c r="W18" s="706"/>
      <c r="X18" s="1355"/>
      <c r="Y18" s="371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1"/>
      <c r="Q20" s="1352"/>
      <c r="R20" s="705"/>
      <c r="S20" s="706"/>
      <c r="T20" s="705"/>
      <c r="U20" s="706"/>
      <c r="V20" s="705"/>
      <c r="W20" s="706"/>
      <c r="X20" s="1355"/>
      <c r="Y20" s="371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1"/>
      <c r="Q22" s="1352"/>
      <c r="R22" s="705"/>
      <c r="S22" s="706"/>
      <c r="T22" s="705"/>
      <c r="U22" s="706"/>
      <c r="V22" s="705"/>
      <c r="W22" s="706"/>
      <c r="X22" s="1355"/>
      <c r="Y22" s="371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1"/>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1"/>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1"/>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144350.96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706"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706"/>
      <c r="AC6" s="3678"/>
    </row>
    <row r="7" spans="1:29" s="108" customFormat="1" ht="15.75" thickBot="1">
      <c r="A7" s="362" t="s">
        <v>1679</v>
      </c>
      <c r="B7" s="363"/>
      <c r="C7" s="364">
        <f>'数据-取费表'!B2</f>
        <v>45621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3"/>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1"/>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1"/>
      <c r="Q18" s="1352"/>
      <c r="R18" s="705"/>
      <c r="S18" s="706"/>
      <c r="T18" s="705"/>
      <c r="U18" s="706"/>
      <c r="V18" s="705"/>
      <c r="W18" s="706"/>
      <c r="X18" s="1355"/>
      <c r="Y18" s="371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1"/>
      <c r="Q20" s="1352"/>
      <c r="R20" s="705"/>
      <c r="S20" s="706"/>
      <c r="T20" s="705"/>
      <c r="U20" s="706"/>
      <c r="V20" s="705"/>
      <c r="W20" s="706"/>
      <c r="X20" s="1355"/>
      <c r="Y20" s="371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1"/>
      <c r="Q22" s="1352"/>
      <c r="R22" s="705"/>
      <c r="S22" s="706"/>
      <c r="T22" s="705"/>
      <c r="U22" s="706"/>
      <c r="V22" s="705"/>
      <c r="W22" s="706"/>
      <c r="X22" s="1355"/>
      <c r="Y22" s="371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1"/>
      <c r="Q24" s="1352"/>
      <c r="R24" s="705"/>
      <c r="S24" s="706"/>
      <c r="T24" s="705"/>
      <c r="U24" s="706"/>
      <c r="V24" s="705"/>
      <c r="W24" s="706"/>
      <c r="X24" s="1355"/>
      <c r="Y24" s="371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6"/>
      <c r="Q36" s="1352" t="str">
        <f t="shared" si="11"/>
        <v>成新度</v>
      </c>
      <c r="R36" s="705" t="s">
        <v>14</v>
      </c>
      <c r="S36" s="706" t="e">
        <f t="shared" si="12"/>
        <v>#N/A</v>
      </c>
      <c r="T36" s="705" t="s">
        <v>14</v>
      </c>
      <c r="U36" s="706" t="e">
        <f t="shared" si="13"/>
        <v>#N/A</v>
      </c>
      <c r="V36" s="705" t="s">
        <v>14</v>
      </c>
      <c r="W36" s="706" t="e">
        <f t="shared" si="14"/>
        <v>#N/A</v>
      </c>
      <c r="X36" s="1355"/>
      <c r="Y36" s="371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1" t="str">
        <f>A47</f>
        <v>成交单价（元/平方米）</v>
      </c>
      <c r="Q47" s="3711"/>
      <c r="R47" s="3706">
        <f>E47</f>
        <v>0</v>
      </c>
      <c r="S47" s="3706"/>
      <c r="T47" s="3706">
        <f>G47</f>
        <v>0</v>
      </c>
      <c r="U47" s="3706"/>
      <c r="V47" s="3706">
        <f>I47</f>
        <v>0</v>
      </c>
      <c r="W47" s="370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144350.96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728" t="s">
        <v>1775</v>
      </c>
      <c r="Q4" s="3729"/>
      <c r="R4" s="3723" t="s">
        <v>1771</v>
      </c>
      <c r="S4" s="3724"/>
      <c r="T4" s="3723" t="s">
        <v>1772</v>
      </c>
      <c r="U4" s="3724"/>
      <c r="V4" s="3732" t="s">
        <v>1773</v>
      </c>
      <c r="W4" s="3732"/>
      <c r="X4" s="1958"/>
      <c r="Y4" s="3723" t="s">
        <v>1775</v>
      </c>
      <c r="Z4" s="3724"/>
      <c r="AA4" s="3722" t="s">
        <v>1771</v>
      </c>
      <c r="AB4" s="3722" t="s">
        <v>1772</v>
      </c>
      <c r="AC4" s="3725" t="s">
        <v>1773</v>
      </c>
    </row>
    <row r="5" spans="1:29" ht="15">
      <c r="A5" s="358"/>
      <c r="B5" s="359"/>
      <c r="C5" s="3687" t="s">
        <v>1673</v>
      </c>
      <c r="D5" s="3688"/>
      <c r="E5" s="3685" t="s">
        <v>1674</v>
      </c>
      <c r="F5" s="3686"/>
      <c r="G5" s="3687" t="s">
        <v>1675</v>
      </c>
      <c r="H5" s="3688"/>
      <c r="I5" s="3687" t="s">
        <v>1676</v>
      </c>
      <c r="J5" s="3688"/>
      <c r="K5" s="559"/>
      <c r="L5" s="2714"/>
      <c r="M5" s="2715"/>
      <c r="N5" s="2715"/>
      <c r="O5" s="2715"/>
      <c r="P5" s="3730"/>
      <c r="Q5" s="3701"/>
      <c r="R5" s="3683"/>
      <c r="S5" s="3684"/>
      <c r="T5" s="3683"/>
      <c r="U5" s="3684"/>
      <c r="V5" s="3706"/>
      <c r="W5" s="3706"/>
      <c r="X5" s="1355"/>
      <c r="Y5" s="3683"/>
      <c r="Z5" s="3684"/>
      <c r="AA5" s="3677"/>
      <c r="AB5" s="3677"/>
      <c r="AC5" s="3726"/>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31"/>
      <c r="Q6" s="3703"/>
      <c r="R6" s="3683"/>
      <c r="S6" s="3684"/>
      <c r="T6" s="3704"/>
      <c r="U6" s="3705"/>
      <c r="V6" s="3706"/>
      <c r="W6" s="3706"/>
      <c r="X6" s="1355"/>
      <c r="Y6" s="3704"/>
      <c r="Z6" s="3705"/>
      <c r="AA6" s="3678"/>
      <c r="AB6" s="3678"/>
      <c r="AC6" s="3727"/>
    </row>
    <row r="7" spans="1:29" s="108" customFormat="1" ht="15.75" thickBot="1">
      <c r="A7" s="362" t="s">
        <v>1679</v>
      </c>
      <c r="B7" s="363"/>
      <c r="C7" s="364">
        <f>'数据-取费表'!B2</f>
        <v>45621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3"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3"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1"/>
      <c r="Q16" s="1352"/>
      <c r="R16" s="705"/>
      <c r="S16" s="706"/>
      <c r="T16" s="705"/>
      <c r="U16" s="706"/>
      <c r="V16" s="705"/>
      <c r="W16" s="706"/>
      <c r="X16" s="1355"/>
      <c r="Y16" s="371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1"/>
      <c r="Q18" s="1352"/>
      <c r="R18" s="705"/>
      <c r="S18" s="706"/>
      <c r="T18" s="705"/>
      <c r="U18" s="706"/>
      <c r="V18" s="705"/>
      <c r="W18" s="706"/>
      <c r="X18" s="1355"/>
      <c r="Y18" s="371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1"/>
      <c r="Q20" s="1352"/>
      <c r="R20" s="705"/>
      <c r="S20" s="706"/>
      <c r="T20" s="705"/>
      <c r="U20" s="706"/>
      <c r="V20" s="705"/>
      <c r="W20" s="706"/>
      <c r="X20" s="1355"/>
      <c r="Y20" s="371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1"/>
      <c r="Q22" s="1352"/>
      <c r="R22" s="705"/>
      <c r="S22" s="706"/>
      <c r="T22" s="705"/>
      <c r="U22" s="706"/>
      <c r="V22" s="705"/>
      <c r="W22" s="706"/>
      <c r="X22" s="1355"/>
      <c r="Y22" s="371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1"/>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1"/>
      <c r="Q26" s="1352"/>
      <c r="R26" s="705"/>
      <c r="S26" s="706"/>
      <c r="T26" s="705"/>
      <c r="U26" s="706"/>
      <c r="V26" s="705"/>
      <c r="W26" s="706"/>
      <c r="X26" s="1355"/>
      <c r="Y26" s="371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3"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3"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估价对象为北京市房地产，为所有。根据《国有土地使用证》[]，估价对象（分摊）出让国有建设用地使用权面积为0平方米，建筑面积为144350.96平方米。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估价对象为北京市房地产,属开发建设的，该项目尚在开发建设中。根据《国有土地使用证》[]，估价对象（分摊）出让国有建设用地使用权面积为0平方米，规划建筑面积为144350.96平方米。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2024年11月25日（评估专业人员实地查勘之日）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144350.96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45621</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45621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4"/>
      <c r="Q15" s="1352"/>
      <c r="R15" s="705"/>
      <c r="S15" s="706"/>
      <c r="T15" s="705"/>
      <c r="U15" s="706"/>
      <c r="V15" s="705"/>
      <c r="W15" s="706"/>
      <c r="X15" s="1355"/>
      <c r="Y15" s="371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4"/>
      <c r="Q17" s="1352"/>
      <c r="R17" s="705"/>
      <c r="S17" s="706"/>
      <c r="T17" s="705"/>
      <c r="U17" s="706"/>
      <c r="V17" s="705"/>
      <c r="W17" s="706"/>
      <c r="X17" s="1355"/>
      <c r="Y17" s="371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4"/>
      <c r="Q19" s="1352"/>
      <c r="R19" s="705"/>
      <c r="S19" s="706"/>
      <c r="T19" s="705"/>
      <c r="U19" s="706"/>
      <c r="V19" s="705"/>
      <c r="W19" s="706"/>
      <c r="X19" s="1355"/>
      <c r="Y19" s="371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8" t="str">
        <f>A39</f>
        <v>估价对象XX用房的比较价值（楼面单价，元/平方米）</v>
      </c>
      <c r="Q39" s="3709"/>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45621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4"/>
      <c r="Q15" s="1352"/>
      <c r="R15" s="705"/>
      <c r="S15" s="706"/>
      <c r="T15" s="705"/>
      <c r="U15" s="706"/>
      <c r="V15" s="705"/>
      <c r="W15" s="706"/>
      <c r="X15" s="1355"/>
      <c r="Y15" s="371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4"/>
      <c r="Q17" s="1352"/>
      <c r="R17" s="705"/>
      <c r="S17" s="706"/>
      <c r="T17" s="705"/>
      <c r="U17" s="706"/>
      <c r="V17" s="705"/>
      <c r="W17" s="706"/>
      <c r="X17" s="1355"/>
      <c r="Y17" s="371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4"/>
      <c r="Q19" s="1352"/>
      <c r="R19" s="705"/>
      <c r="S19" s="706"/>
      <c r="T19" s="705"/>
      <c r="U19" s="706"/>
      <c r="V19" s="705"/>
      <c r="W19" s="706"/>
      <c r="X19" s="1355"/>
      <c r="Y19" s="371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8" t="str">
        <f>A37</f>
        <v>估价对象XX用房的比较价值（楼面单价，元/平方米）</v>
      </c>
      <c r="Q37" s="3709"/>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30"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30" s="108" customFormat="1" ht="15.75" thickBot="1">
      <c r="A7" s="362" t="s">
        <v>1679</v>
      </c>
      <c r="B7" s="363"/>
      <c r="C7" s="364">
        <f>'数据-取费表'!B2</f>
        <v>45621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8"/>
      <c r="M10" s="2719"/>
      <c r="N10" s="2719"/>
      <c r="O10" s="2772"/>
      <c r="P10" s="3711"/>
      <c r="Q10" s="1343" t="str">
        <f t="shared" si="6"/>
        <v>土地使用年限（年）</v>
      </c>
      <c r="R10" s="701" t="s">
        <v>14</v>
      </c>
      <c r="S10" s="702">
        <f t="shared" si="0"/>
        <v>115</v>
      </c>
      <c r="T10" s="701" t="s">
        <v>14</v>
      </c>
      <c r="U10" s="702">
        <f t="shared" si="1"/>
        <v>115</v>
      </c>
      <c r="V10" s="701" t="s">
        <v>14</v>
      </c>
      <c r="W10" s="702">
        <f t="shared" si="2"/>
        <v>115</v>
      </c>
      <c r="X10" s="703"/>
      <c r="Y10" s="3623"/>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1"/>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4"/>
      <c r="Q16" s="1352"/>
      <c r="R16" s="705"/>
      <c r="S16" s="706"/>
      <c r="T16" s="705"/>
      <c r="U16" s="706"/>
      <c r="V16" s="705"/>
      <c r="W16" s="706"/>
      <c r="X16" s="1355"/>
      <c r="Y16" s="371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4"/>
      <c r="Q18" s="1352"/>
      <c r="R18" s="705"/>
      <c r="S18" s="706"/>
      <c r="T18" s="705"/>
      <c r="U18" s="706"/>
      <c r="V18" s="705"/>
      <c r="W18" s="706"/>
      <c r="X18" s="1355"/>
      <c r="Y18" s="371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4"/>
      <c r="Q20" s="1352"/>
      <c r="R20" s="705"/>
      <c r="S20" s="706"/>
      <c r="T20" s="705"/>
      <c r="U20" s="706"/>
      <c r="V20" s="705"/>
      <c r="W20" s="706"/>
      <c r="X20" s="1355"/>
      <c r="Y20" s="371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4"/>
      <c r="Q24" s="1352"/>
      <c r="R24" s="705"/>
      <c r="S24" s="706"/>
      <c r="T24" s="705"/>
      <c r="U24" s="706"/>
      <c r="V24" s="705"/>
      <c r="W24" s="706"/>
      <c r="X24" s="1355"/>
      <c r="Y24" s="371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4"/>
      <c r="Q26" s="1352"/>
      <c r="R26" s="705"/>
      <c r="S26" s="706"/>
      <c r="T26" s="705"/>
      <c r="U26" s="706"/>
      <c r="V26" s="705"/>
      <c r="W26" s="706"/>
      <c r="X26" s="1355"/>
      <c r="Y26" s="371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4"/>
      <c r="Q28" s="1343"/>
      <c r="R28" s="701"/>
      <c r="S28" s="702"/>
      <c r="T28" s="701"/>
      <c r="U28" s="702"/>
      <c r="V28" s="701"/>
      <c r="W28" s="702"/>
      <c r="X28" s="703"/>
      <c r="Y28" s="371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7"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11" t="str">
        <f>A46</f>
        <v>成交单价</v>
      </c>
      <c r="Q46" s="3711"/>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11" t="str">
        <f>A47</f>
        <v>比较价值（元/平方米）</v>
      </c>
      <c r="Q47" s="3711"/>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8" t="str">
        <f>A48</f>
        <v>估价对象XX用房的比较价值（楼面单价，元/平方米）</v>
      </c>
      <c r="Q48" s="3709"/>
      <c r="R48" s="3740" t="e">
        <f>ROUND(IF(D47="简单平均",AVERAGE(R47:W47),R47*F47+T47*H47+V47*J47),0)</f>
        <v>#DIV/0!</v>
      </c>
      <c r="S48" s="3740"/>
      <c r="T48" s="3740"/>
      <c r="U48" s="3740"/>
      <c r="V48" s="3740"/>
      <c r="W48" s="374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4" t="s">
        <v>1887</v>
      </c>
      <c r="H55" s="3741"/>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88762.68</v>
      </c>
      <c r="F56" s="886" t="e">
        <f t="shared" ref="F56:F64" si="15">ROUND(B56*E56/10000,0)</f>
        <v>#DIV/0!</v>
      </c>
      <c r="G56" s="3693"/>
      <c r="H56" s="371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5">
        <v>0.25</v>
      </c>
      <c r="E57" s="642"/>
      <c r="F57" s="886" t="e">
        <f t="shared" si="15"/>
        <v>#DIV/0!</v>
      </c>
      <c r="G57" s="3005" t="s">
        <v>1892</v>
      </c>
      <c r="H57" s="887" t="str">
        <f>项目基本情况!B37</f>
        <v>九级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5">
        <v>0.25</v>
      </c>
      <c r="E58" s="642"/>
      <c r="F58" s="886" t="e">
        <f t="shared" si="15"/>
        <v>#DIV/0!</v>
      </c>
      <c r="G58" s="3006"/>
      <c r="H58" s="887" t="str">
        <f>项目基本情况!B37</f>
        <v>九级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5">
        <v>0.25</v>
      </c>
      <c r="E59" s="642"/>
      <c r="F59" s="886" t="e">
        <f t="shared" si="15"/>
        <v>#DIV/0!</v>
      </c>
      <c r="G59" s="3006"/>
      <c r="H59" s="887" t="str">
        <f>项目基本情况!B37</f>
        <v>九级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29056.5</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117819.18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45621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8"/>
      <c r="M10" s="2719"/>
      <c r="N10" s="2719"/>
      <c r="O10" s="2772"/>
      <c r="P10" s="3711"/>
      <c r="Q10" s="1343" t="str">
        <f t="shared" si="6"/>
        <v>土地使用年限（年）</v>
      </c>
      <c r="R10" s="701" t="s">
        <v>14</v>
      </c>
      <c r="S10" s="702">
        <f t="shared" si="0"/>
        <v>115</v>
      </c>
      <c r="T10" s="701" t="s">
        <v>14</v>
      </c>
      <c r="U10" s="702">
        <f t="shared" si="1"/>
        <v>115</v>
      </c>
      <c r="V10" s="701" t="s">
        <v>14</v>
      </c>
      <c r="W10" s="702">
        <f t="shared" si="2"/>
        <v>115</v>
      </c>
      <c r="X10" s="703"/>
      <c r="Y10" s="3623"/>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7"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1" t="str">
        <f>A41</f>
        <v>成交单价</v>
      </c>
      <c r="Q41" s="3711"/>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1" t="str">
        <f>A42</f>
        <v>比较价值（元/平方米）</v>
      </c>
      <c r="Q42" s="3711"/>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8" t="str">
        <f>A43</f>
        <v>估价对象XX用房的比较价值（楼面单价，元/平方米）</v>
      </c>
      <c r="Q43" s="3709"/>
      <c r="R43" s="3740" t="e">
        <f>ROUND(IF(D42="简单平均",AVERAGE(R42:W42),R42*F42+T42*H42+V42*J42),0)</f>
        <v>#DIV/0!</v>
      </c>
      <c r="S43" s="3740"/>
      <c r="T43" s="3740"/>
      <c r="U43" s="3740"/>
      <c r="V43" s="3740"/>
      <c r="W43" s="374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4" t="s">
        <v>1887</v>
      </c>
      <c r="H50" s="3741"/>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88762.68</v>
      </c>
      <c r="F51" s="639" t="e">
        <f t="shared" ref="F51:F60" si="15">ROUND(B51*E51/10000,0)</f>
        <v>#DIV/0!</v>
      </c>
      <c r="G51" s="3693"/>
      <c r="H51" s="371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5">
        <v>0.25</v>
      </c>
      <c r="E52" s="642"/>
      <c r="F52" s="639" t="e">
        <f t="shared" si="15"/>
        <v>#DIV/0!</v>
      </c>
      <c r="G52" s="3005" t="s">
        <v>1892</v>
      </c>
      <c r="H52" s="887" t="str">
        <f>项目基本情况!B37</f>
        <v>九级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5">
        <v>0.25</v>
      </c>
      <c r="E53" s="642"/>
      <c r="F53" s="639" t="e">
        <f t="shared" si="15"/>
        <v>#DIV/0!</v>
      </c>
      <c r="G53" s="3006"/>
      <c r="H53" s="887" t="str">
        <f>项目基本情况!B37</f>
        <v>九级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5">
        <v>0.25</v>
      </c>
      <c r="E54" s="642"/>
      <c r="F54" s="639" t="e">
        <f t="shared" si="15"/>
        <v>#DIV/0!</v>
      </c>
      <c r="G54" s="3006"/>
      <c r="H54" s="887" t="str">
        <f>项目基本情况!B37</f>
        <v>九级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29056.5</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61280</v>
      </c>
      <c r="C2" s="2145" t="s">
        <v>2074</v>
      </c>
      <c r="D2" s="2145" t="s">
        <v>2075</v>
      </c>
      <c r="E2" s="2611">
        <f ca="1">SUMIF(E6:E13,"&lt;&gt;#ref!",E6:E13)</f>
        <v>55588.28</v>
      </c>
      <c r="F2" s="2792"/>
      <c r="G2" s="2792"/>
      <c r="H2" s="2792"/>
      <c r="I2" s="2792"/>
      <c r="J2" s="2792"/>
      <c r="K2" s="2792"/>
      <c r="L2" s="2792"/>
      <c r="M2" s="2792"/>
      <c r="N2" s="2792"/>
      <c r="O2" s="2792"/>
      <c r="P2" s="2792"/>
    </row>
    <row r="3" spans="1:16" ht="15.75">
      <c r="A3" s="2145" t="s">
        <v>2076</v>
      </c>
      <c r="B3" s="2601">
        <f ca="1">ROUND(B2*10000/E2,0)</f>
        <v>11024</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61280</v>
      </c>
      <c r="C6" s="2145" t="s">
        <v>2074</v>
      </c>
      <c r="D6" s="2792"/>
      <c r="E6" s="2611">
        <f ca="1">SUMIF(INDIRECT("'"&amp;A6&amp;"'"&amp;"!C:C"),"建筑面积",INDIRECT("'"&amp;A6&amp;"'"&amp;"!D:D"))</f>
        <v>55588.28</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1" zoomScale="115" zoomScaleNormal="80" zoomScaleSheetLayoutView="115" workbookViewId="0">
      <selection activeCell="U3" sqref="U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55588.28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61280</v>
      </c>
      <c r="C2" s="1999" t="s">
        <v>1935</v>
      </c>
      <c r="D2" s="2000" t="s">
        <v>1936</v>
      </c>
      <c r="E2" s="3421"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8094</v>
      </c>
      <c r="U2" s="1213">
        <f>Sheet1!K14</f>
        <v>22603.54</v>
      </c>
      <c r="V2" s="3360">
        <f>ROUND(T2*U2/10000,0)</f>
        <v>18295</v>
      </c>
      <c r="W2" s="1216"/>
      <c r="X2" s="1216"/>
      <c r="Y2" s="1216"/>
      <c r="Z2" s="1216"/>
      <c r="AA2" s="1216"/>
      <c r="AB2" s="1216"/>
      <c r="AC2" s="1217"/>
      <c r="AD2" s="1218"/>
      <c r="AE2" s="1218"/>
      <c r="AF2" s="1218"/>
      <c r="AG2" s="1218"/>
      <c r="AH2" s="1218"/>
      <c r="AI2" s="1218"/>
      <c r="AJ2" s="1219"/>
    </row>
    <row r="3" spans="1:36" ht="15.75">
      <c r="A3" s="203" t="s">
        <v>1940</v>
      </c>
      <c r="B3" s="204">
        <f>ROUND(B2*10000/D1,0)</f>
        <v>11024</v>
      </c>
      <c r="C3" s="1999" t="s">
        <v>1941</v>
      </c>
      <c r="D3" s="2000" t="s">
        <v>1942</v>
      </c>
      <c r="E3" s="3419" t="s">
        <v>2441</v>
      </c>
      <c r="F3" s="2004" t="s">
        <v>3402</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6239</v>
      </c>
      <c r="U3" s="1213">
        <f>Sheet1!K15</f>
        <v>21738.62</v>
      </c>
      <c r="V3" s="3360">
        <f t="shared" ref="V3:V16" si="1">ROUND(T3*U3/10000,0)</f>
        <v>13563</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5089</v>
      </c>
      <c r="U4" s="1213">
        <f>Sheet1!K16</f>
        <v>21414.37</v>
      </c>
      <c r="V4" s="3360">
        <f t="shared" si="1"/>
        <v>10898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5620</v>
      </c>
      <c r="D5" s="1339">
        <f>ROUND(C6*C17+C20,0)</f>
        <v>5620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4321</v>
      </c>
      <c r="U5" s="1213">
        <f>Sheet1!K17</f>
        <v>23006.149999999991</v>
      </c>
      <c r="V5" s="3360">
        <f t="shared" si="1"/>
        <v>9941</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3936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t="e">
        <f>G3</f>
        <v>#DIV/0!</v>
      </c>
      <c r="AA7" s="1216"/>
      <c r="AB7" s="1216"/>
      <c r="AC7" s="1217"/>
      <c r="AD7" s="1218"/>
      <c r="AE7" s="1218"/>
      <c r="AF7" s="1218"/>
      <c r="AG7" s="1218"/>
      <c r="AH7" s="1218"/>
      <c r="AI7" s="1218"/>
      <c r="AJ7" s="1219"/>
    </row>
    <row r="8" spans="1:36" ht="25.5">
      <c r="A8" s="3298"/>
      <c r="B8" s="170" t="s">
        <v>1957</v>
      </c>
      <c r="C8" s="2026" t="s">
        <v>3465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5620</v>
      </c>
      <c r="N9" s="866">
        <f>SUMPRODUCT((因素修正幅度!B277:B326=I2)*(因素修正幅度!C3:G3=E2)*(因素修正幅度!C277:G326))</f>
        <v>0.15</v>
      </c>
      <c r="O9" s="1119"/>
      <c r="P9" s="1119"/>
      <c r="Q9" s="1119"/>
      <c r="R9" s="1212">
        <v>8</v>
      </c>
      <c r="S9" s="1213"/>
      <c r="T9" s="3360">
        <f t="shared" si="0"/>
        <v>0</v>
      </c>
      <c r="U9" s="1213"/>
      <c r="V9" s="3360">
        <f t="shared" si="1"/>
        <v>0</v>
      </c>
      <c r="W9" s="3758"/>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3250</v>
      </c>
      <c r="E18" s="3328"/>
      <c r="F18" s="3323" t="s">
        <v>3253</v>
      </c>
      <c r="G18" s="3327">
        <f>ROUND(1-(1/(POWER(1+G24,E18))),4)</f>
        <v>0</v>
      </c>
      <c r="H18" s="3323" t="s">
        <v>3255</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3" t="s">
        <v>3256</v>
      </c>
      <c r="B20" s="167" t="s">
        <v>1994</v>
      </c>
      <c r="C20" s="3324">
        <f>ROUND(IF(F21="与级别开发程度一致",0,(G21-E21)/C21),0)</f>
        <v>0</v>
      </c>
      <c r="D20" s="3340" t="s">
        <v>1998</v>
      </c>
      <c r="E20" s="3341"/>
      <c r="F20" s="3769" t="s">
        <v>1995</v>
      </c>
      <c r="G20" s="377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4"/>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4" t="s">
        <v>2002</v>
      </c>
      <c r="E23" s="761">
        <v>44197</v>
      </c>
      <c r="F23" s="2054" t="s">
        <v>2003</v>
      </c>
      <c r="G23" s="762">
        <f>'数据-取费表'!B2</f>
        <v>45621</v>
      </c>
      <c r="H23" s="3342" t="s">
        <v>3257</v>
      </c>
      <c r="I23" s="3343" t="str">
        <f>IF(H23="季度增幅（自定义）",SUMIF(N25:N28,E2,O25:O28),"")</f>
        <v/>
      </c>
      <c r="J23" s="3445" t="s">
        <v>3466</v>
      </c>
      <c r="K23" s="1125"/>
      <c r="L23" s="2055" t="s">
        <v>2004</v>
      </c>
      <c r="M23" s="1328">
        <f>ROUND(SUMIF(地价!B2:G2,E2,地价!B16:G16),0)</f>
        <v>350</v>
      </c>
      <c r="N23" s="2056" t="s">
        <v>2005</v>
      </c>
      <c r="O23" s="763">
        <f>ROUNDDOWN(DATEDIF(E23,G23,"M")/3,0)</f>
        <v>15</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0.88100000000000001</v>
      </c>
      <c r="D24" s="2060" t="s">
        <v>2007</v>
      </c>
      <c r="E24" s="1335">
        <f>存贷款利率!E27/100</f>
        <v>4.3499999999999997E-2</v>
      </c>
      <c r="F24" s="2060" t="s">
        <v>1999</v>
      </c>
      <c r="G24" s="768">
        <f>SUMIF(M30:Q30,E2,M33:Q33)</f>
        <v>5.5E-2</v>
      </c>
      <c r="H24" s="2060" t="s">
        <v>2008</v>
      </c>
      <c r="I24" s="769">
        <f>SUMIF('数据-取费表'!C6:C15,E2,'数据-取费表'!F6:F15)/COUNTIF('数据-取费表'!C6:C15,E2)</f>
        <v>28.07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3467</v>
      </c>
      <c r="C25" s="771">
        <f>IF(B25="容积率修正",IF(G3&lt;10,D26,J26),C27)</f>
        <v>1.5418000000000001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3258</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4" t="s">
        <v>3259</v>
      </c>
      <c r="J26" s="772" t="e">
        <f>IF(G3&gt;=10,D115,"——")</f>
        <v>#DIV/0!</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1.0230999999999999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61280</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2144</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8094</v>
      </c>
      <c r="D33" s="2098"/>
      <c r="E33" s="773">
        <f>ROUND(C33*D33/10000,0)</f>
        <v>0</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f>ROUND(D5*C22*C23*C24*C28*F37,0)</f>
        <v>2625</v>
      </c>
      <c r="D37" s="2098">
        <f>Sheet1!K7</f>
        <v>26531.780000000002</v>
      </c>
      <c r="E37" s="171">
        <f>ROUND(C37*D37/10000,0)</f>
        <v>6965</v>
      </c>
      <c r="F37" s="171">
        <f>SUMIF(修正!A57:A68,G2,修正!B57:B68)</f>
        <v>0.5</v>
      </c>
      <c r="G37" s="171">
        <f>ROUND(IF(E2="工业",C37*$M$42,C37*$M$41),0)</f>
        <v>656</v>
      </c>
      <c r="H37" s="171">
        <f>D37</f>
        <v>26531.780000000002</v>
      </c>
      <c r="I37" s="171">
        <f>ROUND(G37*H37/10000,0)</f>
        <v>1740</v>
      </c>
      <c r="J37" s="3011"/>
      <c r="K37" s="3358" t="s">
        <v>3267</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f>ROUND(D5*C22*C23*C24*C28*F38,0)</f>
        <v>1050</v>
      </c>
      <c r="D38" s="2098"/>
      <c r="E38" s="171">
        <f t="shared" ref="E38:E42" si="4">ROUND(C38*D38/10000,0)</f>
        <v>0</v>
      </c>
      <c r="F38" s="171">
        <f>SUMIF(修正!A57:A68,G2,修正!C57:C68)</f>
        <v>0.2</v>
      </c>
      <c r="G38" s="171">
        <f>ROUND(IF(E2="工业",C38*$M$42,C38*$M$41),0)</f>
        <v>263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8"/>
      <c r="B39" s="2041" t="s">
        <v>3260</v>
      </c>
      <c r="C39" s="175">
        <f>ROUND(D5*C22*C23*C24*C28*F39,0)</f>
        <v>1050</v>
      </c>
      <c r="D39" s="2098"/>
      <c r="E39" s="171">
        <f t="shared" si="4"/>
        <v>0</v>
      </c>
      <c r="F39" s="171">
        <f>SUMIF(修正!A57:A68,G2,修正!D57:D68)</f>
        <v>0.2</v>
      </c>
      <c r="G39" s="171">
        <f>ROUND(IF(E2="工业",C39*$M$42,C39*$M$41),0)</f>
        <v>263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1050</v>
      </c>
      <c r="D40" s="2098"/>
      <c r="E40" s="171">
        <f t="shared" si="4"/>
        <v>0</v>
      </c>
      <c r="F40" s="175">
        <f>SUMIF(修正!A57:A68,G2,修正!E57:E68)</f>
        <v>0.2</v>
      </c>
      <c r="G40" s="171">
        <f>ROUND(IF(E2="工业",C40*$M$42,C40*$M$41),0)</f>
        <v>263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1113</v>
      </c>
      <c r="D41" s="2098"/>
      <c r="E41" s="171">
        <f t="shared" si="4"/>
        <v>0</v>
      </c>
      <c r="F41" s="175">
        <f>SUMIF(修正!A57:A68,G2,修正!F57:F68)</f>
        <v>0.2</v>
      </c>
      <c r="G41" s="171">
        <f>ROUND(IF(E2="工业",C41*$M$42,C41*$M$41),0)</f>
        <v>278</v>
      </c>
      <c r="H41" s="171">
        <f t="shared" si="5"/>
        <v>0</v>
      </c>
      <c r="I41" s="171">
        <f t="shared" si="6"/>
        <v>0</v>
      </c>
      <c r="J41" s="2114"/>
      <c r="L41" s="3359"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557</v>
      </c>
      <c r="D42" s="2103">
        <f>Sheet1!K8</f>
        <v>29056.5</v>
      </c>
      <c r="E42" s="187">
        <f t="shared" si="4"/>
        <v>1618</v>
      </c>
      <c r="F42" s="767">
        <f>SUMIF(修正!A57:A68,G2,修正!G57:G68)</f>
        <v>0.1</v>
      </c>
      <c r="G42" s="187">
        <f>ROUND(IF(E2="工业",C42*$M$42,C42*$M$41),0)</f>
        <v>139</v>
      </c>
      <c r="H42" s="187">
        <f t="shared" si="5"/>
        <v>29056.5</v>
      </c>
      <c r="I42" s="187">
        <f t="shared" si="6"/>
        <v>404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0.93410000000000004</v>
      </c>
      <c r="D44" s="171" t="s">
        <v>1999</v>
      </c>
      <c r="E44" s="2153">
        <f>G24</f>
        <v>5.5E-2</v>
      </c>
      <c r="F44" s="171" t="s">
        <v>2008</v>
      </c>
      <c r="G44" s="183">
        <f>项目基本情况!F15</f>
        <v>38.08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1.0230999999999999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3420</v>
      </c>
      <c r="D50" s="1065">
        <f t="shared" ref="D50:D58" si="7">SUMIF($J$49:$N$49,C50,J50:N50)</f>
        <v>0</v>
      </c>
      <c r="E50" s="744">
        <f>ROUND(SUM(D50:D58),4)</f>
        <v>2.3099999999999999E-2</v>
      </c>
      <c r="F50" s="1814">
        <f>IF(E2="商业",SUMIF(L1:L12,G2,N1:N12),"——")</f>
        <v>0.15</v>
      </c>
      <c r="G50" s="1063">
        <v>2.2499999999999999E-2</v>
      </c>
      <c r="H50" s="1066">
        <f t="shared" ref="H50:H58" si="8">IFERROR(ROUNDDOWN($F$50*I50/2,4),"——")</f>
        <v>2.2499999999999999E-2</v>
      </c>
      <c r="I50" s="3366">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3420</v>
      </c>
      <c r="D51" s="1065">
        <f t="shared" si="7"/>
        <v>0</v>
      </c>
      <c r="E51" s="745"/>
      <c r="F51" s="1814"/>
      <c r="G51" s="1063">
        <v>1.6500000000000001E-2</v>
      </c>
      <c r="H51" s="1066">
        <f t="shared" si="8"/>
        <v>1.6500000000000001E-2</v>
      </c>
      <c r="I51" s="3366">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8" t="s">
        <v>3270</v>
      </c>
      <c r="B52" s="2134">
        <f>估价对象房地状况!C19</f>
        <v>0</v>
      </c>
      <c r="C52" s="2044" t="s">
        <v>3420</v>
      </c>
      <c r="D52" s="1065">
        <f t="shared" si="7"/>
        <v>0</v>
      </c>
      <c r="E52" s="745"/>
      <c r="F52" s="1814"/>
      <c r="G52" s="1063">
        <v>8.9999999999999993E-3</v>
      </c>
      <c r="H52" s="1066">
        <f t="shared" si="8"/>
        <v>8.9999999999999993E-3</v>
      </c>
      <c r="I52" s="3366">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3404</v>
      </c>
      <c r="D53" s="1065">
        <f t="shared" si="7"/>
        <v>3.7000000000000002E-3</v>
      </c>
      <c r="E53" s="745"/>
      <c r="F53" s="1814"/>
      <c r="G53" s="1063">
        <v>3.7000000000000002E-3</v>
      </c>
      <c r="H53" s="1066">
        <f t="shared" si="8"/>
        <v>3.7000000000000002E-3</v>
      </c>
      <c r="I53" s="3366">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3420</v>
      </c>
      <c r="D54" s="1065">
        <f t="shared" si="7"/>
        <v>0</v>
      </c>
      <c r="E54" s="745"/>
      <c r="F54" s="1814"/>
      <c r="G54" s="1063">
        <v>6.0000000000000001E-3</v>
      </c>
      <c r="H54" s="1066">
        <f t="shared" si="8"/>
        <v>6.0000000000000001E-3</v>
      </c>
      <c r="I54" s="3366">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3404</v>
      </c>
      <c r="D55" s="1065">
        <f t="shared" si="7"/>
        <v>3.7000000000000002E-3</v>
      </c>
      <c r="E55" s="745"/>
      <c r="F55" s="1814"/>
      <c r="G55" s="1063">
        <v>3.7000000000000002E-3</v>
      </c>
      <c r="H55" s="1066">
        <f t="shared" si="8"/>
        <v>3.7000000000000002E-3</v>
      </c>
      <c r="I55" s="3366">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3420</v>
      </c>
      <c r="D56" s="1065">
        <f t="shared" si="7"/>
        <v>0</v>
      </c>
      <c r="E56" s="745"/>
      <c r="F56" s="1814"/>
      <c r="G56" s="1063">
        <v>3.7000000000000002E-3</v>
      </c>
      <c r="H56" s="1066">
        <f t="shared" si="8"/>
        <v>3.7000000000000002E-3</v>
      </c>
      <c r="I56" s="3366">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3405</v>
      </c>
      <c r="D57" s="1065">
        <f t="shared" si="7"/>
        <v>1.2E-2</v>
      </c>
      <c r="E57" s="745"/>
      <c r="F57" s="1814"/>
      <c r="G57" s="1063">
        <v>6.0000000000000001E-3</v>
      </c>
      <c r="H57" s="1066">
        <f t="shared" si="8"/>
        <v>6.0000000000000001E-3</v>
      </c>
      <c r="I57" s="3366">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3404</v>
      </c>
      <c r="D58" s="1065">
        <f t="shared" si="7"/>
        <v>3.7000000000000002E-3</v>
      </c>
      <c r="E58" s="746"/>
      <c r="F58" s="1814"/>
      <c r="G58" s="1063">
        <v>3.7000000000000002E-3</v>
      </c>
      <c r="H58" s="1066">
        <f t="shared" si="8"/>
        <v>3.7000000000000002E-3</v>
      </c>
      <c r="I58" s="3367">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3270</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3270</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3405</v>
      </c>
      <c r="D83" s="1065" t="e">
        <f t="shared" ref="D83:D90" si="22">SUMIF($J$82:$N$82,C83,J83:N83)</f>
        <v>#VALUE!</v>
      </c>
      <c r="E83" s="744" t="e">
        <f>ROUND(SUM(D83:D90),4)</f>
        <v>#VALUE!</v>
      </c>
      <c r="F83" s="1814"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3404</v>
      </c>
      <c r="D84" s="1065" t="e">
        <f t="shared" si="22"/>
        <v>#VALUE!</v>
      </c>
      <c r="E84" s="747"/>
      <c r="F84" s="1814"/>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8" t="s">
        <v>3271</v>
      </c>
      <c r="B85" s="2134">
        <f>估价对象房地状况!G17</f>
        <v>0</v>
      </c>
      <c r="C85" s="2044" t="s">
        <v>3404</v>
      </c>
      <c r="D85" s="1065" t="e">
        <f t="shared" si="22"/>
        <v>#VALUE!</v>
      </c>
      <c r="E85" s="747"/>
      <c r="F85" s="1814"/>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3420</v>
      </c>
      <c r="D86" s="1065">
        <f t="shared" si="22"/>
        <v>0</v>
      </c>
      <c r="E86" s="747"/>
      <c r="F86" s="1814"/>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3404</v>
      </c>
      <c r="D87" s="1065" t="e">
        <f t="shared" si="22"/>
        <v>#VALUE!</v>
      </c>
      <c r="E87" s="747"/>
      <c r="F87" s="1814"/>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3405</v>
      </c>
      <c r="D88" s="1065" t="e">
        <f t="shared" si="22"/>
        <v>#VALUE!</v>
      </c>
      <c r="E88" s="747"/>
      <c r="F88" s="1814"/>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3404</v>
      </c>
      <c r="D89" s="1065" t="e">
        <f t="shared" si="22"/>
        <v>#VALUE!</v>
      </c>
      <c r="E89" s="747"/>
      <c r="F89" s="1814"/>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3404</v>
      </c>
      <c r="D90" s="1065" t="e">
        <f t="shared" si="22"/>
        <v>#VALUE!</v>
      </c>
      <c r="E90" s="748"/>
      <c r="F90" s="1814"/>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3274</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3270</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3275</v>
      </c>
      <c r="B96" s="3384" t="s">
        <v>3286</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3276</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3277</v>
      </c>
      <c r="B98" s="3385" t="s">
        <v>3287</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3278</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3279</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3280</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5" t="s">
        <v>3295</v>
      </c>
      <c r="B103" s="3765"/>
      <c r="C103" s="3765"/>
      <c r="D103" s="3765"/>
      <c r="E103" s="3765"/>
      <c r="F103" s="3765"/>
      <c r="G103" s="3765"/>
      <c r="H103" s="3765"/>
      <c r="I103" s="3765"/>
      <c r="J103" s="3765"/>
      <c r="K103" s="3389"/>
      <c r="L103" s="3389"/>
      <c r="M103" s="3389"/>
      <c r="N103" s="3389"/>
    </row>
    <row r="104" spans="1:14">
      <c r="A104" s="3766" t="s">
        <v>3296</v>
      </c>
      <c r="B104" s="3766" t="s">
        <v>3297</v>
      </c>
      <c r="C104" s="3390" t="s">
        <v>3298</v>
      </c>
      <c r="D104" s="3391"/>
      <c r="E104" s="3391"/>
      <c r="F104" s="3391"/>
      <c r="G104" s="3391"/>
      <c r="H104" s="3391"/>
      <c r="I104" s="3391"/>
      <c r="J104" s="3392"/>
      <c r="K104" s="3393"/>
      <c r="L104" s="3393"/>
      <c r="M104" s="3393"/>
      <c r="N104" s="3393"/>
    </row>
    <row r="105" spans="1:14">
      <c r="A105" s="3766"/>
      <c r="B105" s="3766"/>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52"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3269</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54"/>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55" t="s">
        <v>3312</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t="e">
        <f>G3</f>
        <v>#DIV/0!</v>
      </c>
      <c r="C116" s="3399" t="s">
        <v>3314</v>
      </c>
      <c r="D116" s="3400" t="e">
        <f>SUMPRODUCT((A118:A122=F116)*(B117:M117=H116)*B118:M122)</f>
        <v>#DIV/0!</v>
      </c>
      <c r="E116" s="2000" t="s">
        <v>3315</v>
      </c>
      <c r="F116" s="3401" t="str">
        <f>E2</f>
        <v>商业</v>
      </c>
      <c r="G116" s="2000" t="s">
        <v>3316</v>
      </c>
      <c r="H116" s="3401" t="str">
        <f>G2</f>
        <v>九级</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t="e">
        <f>ROUND(0.9968-0.011*B116,4)</f>
        <v>#DIV/0!</v>
      </c>
      <c r="C118" s="3387" t="e">
        <f>B118</f>
        <v>#DIV/0!</v>
      </c>
      <c r="D118" s="3387" t="e">
        <f>ROUND(0.949-0.014*B116,4)</f>
        <v>#DIV/0!</v>
      </c>
      <c r="E118" s="3387" t="e">
        <f>D118</f>
        <v>#DIV/0!</v>
      </c>
      <c r="F118" s="3387" t="e">
        <f>E118</f>
        <v>#DIV/0!</v>
      </c>
      <c r="G118" s="3387" t="e">
        <f>F118</f>
        <v>#DIV/0!</v>
      </c>
      <c r="H118" s="3387" t="e">
        <f>G118</f>
        <v>#DIV/0!</v>
      </c>
      <c r="I118" s="3387" t="e">
        <f>ROUND(0.8486-0.018*B116,4)</f>
        <v>#DIV/0!</v>
      </c>
      <c r="J118" s="3387" t="e">
        <f t="shared" ref="J118:M122" si="36">I118</f>
        <v>#DIV/0!</v>
      </c>
      <c r="K118" s="3387" t="e">
        <f t="shared" si="36"/>
        <v>#DIV/0!</v>
      </c>
      <c r="L118" s="3387" t="e">
        <f t="shared" si="36"/>
        <v>#DIV/0!</v>
      </c>
      <c r="M118" s="3410" t="e">
        <f t="shared" si="36"/>
        <v>#DIV/0!</v>
      </c>
      <c r="N118" s="3397"/>
    </row>
    <row r="119" spans="1:14">
      <c r="A119" s="3409" t="s">
        <v>3330</v>
      </c>
      <c r="B119" s="3387" t="e">
        <f>ROUND(0.993-0.0112*B116,4)</f>
        <v>#DIV/0!</v>
      </c>
      <c r="C119" s="3387" t="e">
        <f>B119</f>
        <v>#DIV/0!</v>
      </c>
      <c r="D119" s="3387" t="e">
        <f>ROUND(0.9415-0.0142*B116,4)</f>
        <v>#DIV/0!</v>
      </c>
      <c r="E119" s="3387" t="e">
        <f t="shared" ref="E119:H120" si="37">D119</f>
        <v>#DIV/0!</v>
      </c>
      <c r="F119" s="3387" t="e">
        <f t="shared" si="37"/>
        <v>#DIV/0!</v>
      </c>
      <c r="G119" s="3387" t="e">
        <f t="shared" si="37"/>
        <v>#DIV/0!</v>
      </c>
      <c r="H119" s="3387" t="e">
        <f t="shared" si="37"/>
        <v>#DIV/0!</v>
      </c>
      <c r="I119" s="3387" t="e">
        <f>ROUND(0.838-0.0182*B116,4)</f>
        <v>#DIV/0!</v>
      </c>
      <c r="J119" s="3387" t="e">
        <f t="shared" si="36"/>
        <v>#DIV/0!</v>
      </c>
      <c r="K119" s="3387" t="e">
        <f t="shared" si="36"/>
        <v>#DIV/0!</v>
      </c>
      <c r="L119" s="3387" t="e">
        <f t="shared" si="36"/>
        <v>#DIV/0!</v>
      </c>
      <c r="M119" s="3410" t="e">
        <f t="shared" si="36"/>
        <v>#DIV/0!</v>
      </c>
      <c r="N119" s="3397"/>
    </row>
    <row r="120" spans="1:14">
      <c r="A120" s="3409" t="s">
        <v>3331</v>
      </c>
      <c r="B120" s="3387" t="e">
        <f>ROUND(0.9448-0.0115*B116,4)</f>
        <v>#DIV/0!</v>
      </c>
      <c r="C120" s="3387" t="e">
        <f>B120</f>
        <v>#DIV/0!</v>
      </c>
      <c r="D120" s="3387" t="e">
        <f>ROUND(0.937-0.0145*B116,4)</f>
        <v>#DIV/0!</v>
      </c>
      <c r="E120" s="3387" t="e">
        <f t="shared" si="37"/>
        <v>#DIV/0!</v>
      </c>
      <c r="F120" s="3387" t="e">
        <f t="shared" si="37"/>
        <v>#DIV/0!</v>
      </c>
      <c r="G120" s="3387" t="e">
        <f t="shared" si="37"/>
        <v>#DIV/0!</v>
      </c>
      <c r="H120" s="3387" t="e">
        <f t="shared" si="37"/>
        <v>#DIV/0!</v>
      </c>
      <c r="I120" s="3387" t="e">
        <f>ROUND(0.7965-0.0185*B116,4)</f>
        <v>#DIV/0!</v>
      </c>
      <c r="J120" s="3387" t="e">
        <f t="shared" si="36"/>
        <v>#DIV/0!</v>
      </c>
      <c r="K120" s="3387" t="e">
        <f t="shared" si="36"/>
        <v>#DIV/0!</v>
      </c>
      <c r="L120" s="3387" t="e">
        <f t="shared" si="36"/>
        <v>#DIV/0!</v>
      </c>
      <c r="M120" s="3410" t="e">
        <f t="shared" si="36"/>
        <v>#DIV/0!</v>
      </c>
      <c r="N120" s="3397"/>
    </row>
    <row r="121" spans="1:14" ht="13.5" thickBot="1">
      <c r="A121" s="3411" t="s">
        <v>3332</v>
      </c>
      <c r="B121" s="3412" t="e">
        <f>ROUND(0.7836-0.012*B116,4)</f>
        <v>#DIV/0!</v>
      </c>
      <c r="C121" s="3412" t="e">
        <f>B121</f>
        <v>#DIV/0!</v>
      </c>
      <c r="D121" s="3412" t="e">
        <f>ROUND(0.753-0.015*B116,4)</f>
        <v>#DIV/0!</v>
      </c>
      <c r="E121" s="3412" t="e">
        <f>D121</f>
        <v>#DIV/0!</v>
      </c>
      <c r="F121" s="3412" t="e">
        <f>E121</f>
        <v>#DIV/0!</v>
      </c>
      <c r="G121" s="3412" t="e">
        <f>ROUND(0.6612-0.018*B116,4)</f>
        <v>#DIV/0!</v>
      </c>
      <c r="H121" s="3412" t="e">
        <f>G121</f>
        <v>#DIV/0!</v>
      </c>
      <c r="I121" s="3412" t="e">
        <f>ROUND(0.5905-0.019*B116,4)</f>
        <v>#DIV/0!</v>
      </c>
      <c r="J121" s="3412" t="e">
        <f t="shared" si="36"/>
        <v>#DIV/0!</v>
      </c>
      <c r="K121" s="3412" t="e">
        <f t="shared" si="36"/>
        <v>#DIV/0!</v>
      </c>
      <c r="L121" s="3412" t="e">
        <f t="shared" si="36"/>
        <v>#DIV/0!</v>
      </c>
      <c r="M121" s="3413" t="e">
        <f t="shared" si="36"/>
        <v>#DIV/0!</v>
      </c>
      <c r="N121" s="3397"/>
    </row>
    <row r="122" spans="1:14">
      <c r="A122" s="3414" t="s">
        <v>2614</v>
      </c>
      <c r="B122" s="3387" t="e">
        <f>ROUND(0.9404-0.0106*B116,4)</f>
        <v>#DIV/0!</v>
      </c>
      <c r="C122" s="3387" t="e">
        <f>B122</f>
        <v>#DIV/0!</v>
      </c>
      <c r="D122" s="3387" t="e">
        <f>ROUND(0.8955-0.0135*B116,4)</f>
        <v>#DIV/0!</v>
      </c>
      <c r="E122" s="3387" t="e">
        <f t="shared" ref="E122:H122" si="38">D122</f>
        <v>#DIV/0!</v>
      </c>
      <c r="F122" s="3387" t="e">
        <f t="shared" si="38"/>
        <v>#DIV/0!</v>
      </c>
      <c r="G122" s="3387" t="e">
        <f t="shared" si="38"/>
        <v>#DIV/0!</v>
      </c>
      <c r="H122" s="3387" t="e">
        <f t="shared" si="38"/>
        <v>#DIV/0!</v>
      </c>
      <c r="I122" s="3387" t="e">
        <f>ROUND(0.7632-0.0166*B116,4)</f>
        <v>#DIV/0!</v>
      </c>
      <c r="J122" s="3387" t="e">
        <f t="shared" si="36"/>
        <v>#DIV/0!</v>
      </c>
      <c r="K122" s="3387" t="e">
        <f t="shared" si="36"/>
        <v>#DIV/0!</v>
      </c>
      <c r="L122" s="3387" t="e">
        <f t="shared" si="36"/>
        <v>#DIV/0!</v>
      </c>
      <c r="M122" s="3410" t="e">
        <f t="shared" si="36"/>
        <v>#DIV/0!</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8" t="s">
        <v>2609</v>
      </c>
      <c r="B20" s="3771" t="s">
        <v>2630</v>
      </c>
      <c r="C20" s="3102" t="s">
        <v>2441</v>
      </c>
      <c r="D20" s="3103"/>
      <c r="E20" s="3104">
        <v>1</v>
      </c>
      <c r="F20" s="3105" t="s">
        <v>2442</v>
      </c>
      <c r="G20" s="3105"/>
    </row>
    <row r="21" spans="1:13" ht="19.5" customHeight="1">
      <c r="A21" s="3779"/>
      <c r="B21" s="3772"/>
      <c r="C21" s="3106" t="s">
        <v>2443</v>
      </c>
      <c r="D21" s="3107"/>
      <c r="E21" s="3108">
        <v>1</v>
      </c>
      <c r="F21" s="3105" t="s">
        <v>2444</v>
      </c>
      <c r="G21" s="3105"/>
    </row>
    <row r="22" spans="1:13" ht="19.5" customHeight="1">
      <c r="A22" s="3779"/>
      <c r="B22" s="3772"/>
      <c r="C22" s="3106" t="s">
        <v>2445</v>
      </c>
      <c r="D22" s="3107"/>
      <c r="E22" s="3108">
        <v>0.9</v>
      </c>
      <c r="F22" s="3105" t="s">
        <v>2446</v>
      </c>
      <c r="G22" s="3105"/>
    </row>
    <row r="23" spans="1:13" ht="19.5" customHeight="1">
      <c r="A23" s="3779"/>
      <c r="B23" s="3772"/>
      <c r="C23" s="3106" t="s">
        <v>2447</v>
      </c>
      <c r="D23" s="3107"/>
      <c r="E23" s="3108">
        <v>0.9</v>
      </c>
      <c r="F23" s="3105" t="s">
        <v>2448</v>
      </c>
      <c r="G23" s="3105"/>
    </row>
    <row r="24" spans="1:13" ht="19.5" customHeight="1">
      <c r="A24" s="3779"/>
      <c r="B24" s="3772"/>
      <c r="C24" s="3106" t="s">
        <v>2449</v>
      </c>
      <c r="D24" s="3107"/>
      <c r="E24" s="3108">
        <v>0.8</v>
      </c>
      <c r="F24" s="3105" t="s">
        <v>2450</v>
      </c>
      <c r="G24" s="3105"/>
    </row>
    <row r="25" spans="1:13" ht="19.5" customHeight="1" thickBot="1">
      <c r="A25" s="3780"/>
      <c r="B25" s="3773"/>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4" t="s">
        <v>2633</v>
      </c>
      <c r="B27" s="3771" t="s">
        <v>2614</v>
      </c>
      <c r="C27" s="3102" t="s">
        <v>2454</v>
      </c>
      <c r="D27" s="3103"/>
      <c r="E27" s="3104">
        <v>1</v>
      </c>
      <c r="F27" s="3105" t="s">
        <v>2455</v>
      </c>
      <c r="G27" s="3105"/>
    </row>
    <row r="28" spans="1:13" ht="19.5" customHeight="1">
      <c r="A28" s="3775"/>
      <c r="B28" s="3772"/>
      <c r="C28" s="3106" t="s">
        <v>2456</v>
      </c>
      <c r="D28" s="3107"/>
      <c r="E28" s="3108">
        <v>1</v>
      </c>
      <c r="F28" s="3105" t="s">
        <v>2457</v>
      </c>
      <c r="G28" s="3105"/>
    </row>
    <row r="29" spans="1:13" ht="19.5" customHeight="1">
      <c r="A29" s="3775"/>
      <c r="B29" s="3772"/>
      <c r="C29" s="3106" t="s">
        <v>2458</v>
      </c>
      <c r="D29" s="3107"/>
      <c r="E29" s="3108">
        <v>0.8</v>
      </c>
      <c r="F29" s="3105" t="s">
        <v>2459</v>
      </c>
      <c r="G29" s="3105"/>
    </row>
    <row r="30" spans="1:13" ht="19.5" customHeight="1">
      <c r="A30" s="3775"/>
      <c r="B30" s="3772"/>
      <c r="C30" s="3106" t="s">
        <v>2460</v>
      </c>
      <c r="D30" s="3107"/>
      <c r="E30" s="3108">
        <v>0.8</v>
      </c>
      <c r="F30" s="3105" t="s">
        <v>2461</v>
      </c>
      <c r="G30" s="3105"/>
    </row>
    <row r="31" spans="1:13" ht="19.5" customHeight="1">
      <c r="A31" s="3775"/>
      <c r="B31" s="3772"/>
      <c r="C31" s="3106" t="s">
        <v>2462</v>
      </c>
      <c r="D31" s="3107"/>
      <c r="E31" s="3108">
        <v>0.8</v>
      </c>
      <c r="F31" s="3105" t="s">
        <v>2463</v>
      </c>
      <c r="G31" s="3105"/>
    </row>
    <row r="32" spans="1:13" ht="19.5" customHeight="1">
      <c r="A32" s="3775"/>
      <c r="B32" s="3772"/>
      <c r="C32" s="3106" t="s">
        <v>2464</v>
      </c>
      <c r="D32" s="3107"/>
      <c r="E32" s="3108">
        <v>0.7</v>
      </c>
      <c r="F32" s="3105" t="s">
        <v>2465</v>
      </c>
      <c r="G32" s="3105"/>
    </row>
    <row r="33" spans="1:7" ht="19.5" customHeight="1">
      <c r="A33" s="3775"/>
      <c r="B33" s="3772"/>
      <c r="C33" s="3106" t="s">
        <v>2466</v>
      </c>
      <c r="D33" s="3107"/>
      <c r="E33" s="3108">
        <v>0.8</v>
      </c>
      <c r="F33" s="3105" t="s">
        <v>2467</v>
      </c>
      <c r="G33" s="3105"/>
    </row>
    <row r="34" spans="1:7" ht="19.5" customHeight="1">
      <c r="A34" s="3775"/>
      <c r="B34" s="3772"/>
      <c r="C34" s="3106" t="s">
        <v>2468</v>
      </c>
      <c r="D34" s="3107"/>
      <c r="E34" s="3108">
        <v>0.6</v>
      </c>
      <c r="F34" s="3105" t="s">
        <v>2469</v>
      </c>
      <c r="G34" s="3105"/>
    </row>
    <row r="35" spans="1:7" ht="19.5" customHeight="1">
      <c r="A35" s="3775"/>
      <c r="B35" s="3772"/>
      <c r="C35" s="3106" t="s">
        <v>2470</v>
      </c>
      <c r="D35" s="3107"/>
      <c r="E35" s="3108">
        <v>0.2</v>
      </c>
      <c r="F35" s="3105" t="s">
        <v>2471</v>
      </c>
      <c r="G35" s="3105"/>
    </row>
    <row r="36" spans="1:7" ht="19.5" customHeight="1">
      <c r="A36" s="3775"/>
      <c r="B36" s="3772"/>
      <c r="C36" s="3106" t="s">
        <v>2472</v>
      </c>
      <c r="D36" s="3107"/>
      <c r="E36" s="3108">
        <v>0.2</v>
      </c>
      <c r="F36" s="3105" t="s">
        <v>2473</v>
      </c>
      <c r="G36" s="3105"/>
    </row>
    <row r="37" spans="1:7" ht="19.5" customHeight="1">
      <c r="A37" s="3775"/>
      <c r="B37" s="3777" t="s">
        <v>2634</v>
      </c>
      <c r="C37" s="3106" t="s">
        <v>2474</v>
      </c>
      <c r="D37" s="3107"/>
      <c r="E37" s="3108">
        <v>0.6</v>
      </c>
      <c r="F37" s="3105" t="s">
        <v>2475</v>
      </c>
      <c r="G37" s="3105"/>
    </row>
    <row r="38" spans="1:7" ht="19.5" customHeight="1">
      <c r="A38" s="3775"/>
      <c r="B38" s="3772"/>
      <c r="C38" s="3106" t="s">
        <v>2476</v>
      </c>
      <c r="D38" s="3107"/>
      <c r="E38" s="3108">
        <v>0.6</v>
      </c>
      <c r="F38" s="3105" t="s">
        <v>2477</v>
      </c>
      <c r="G38" s="3105"/>
    </row>
    <row r="39" spans="1:7" ht="19.5" customHeight="1" thickBot="1">
      <c r="A39" s="3776"/>
      <c r="B39" s="3773"/>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8" t="s">
        <v>2612</v>
      </c>
      <c r="B41" s="3771" t="s">
        <v>2636</v>
      </c>
      <c r="C41" s="3102" t="s">
        <v>2481</v>
      </c>
      <c r="D41" s="3103"/>
      <c r="E41" s="3104">
        <v>1</v>
      </c>
      <c r="F41" s="3105" t="s">
        <v>2482</v>
      </c>
      <c r="G41" s="3105"/>
    </row>
    <row r="42" spans="1:7" ht="19.5" customHeight="1">
      <c r="A42" s="3779"/>
      <c r="B42" s="3772"/>
      <c r="C42" s="3106" t="s">
        <v>2483</v>
      </c>
      <c r="D42" s="3107"/>
      <c r="E42" s="3108">
        <v>1</v>
      </c>
      <c r="F42" s="3105" t="s">
        <v>2484</v>
      </c>
      <c r="G42" s="3105"/>
    </row>
    <row r="43" spans="1:7" ht="19.5" customHeight="1">
      <c r="A43" s="3779"/>
      <c r="B43" s="3781"/>
      <c r="C43" s="3106" t="s">
        <v>2485</v>
      </c>
      <c r="D43" s="3107"/>
      <c r="E43" s="3108">
        <v>1.5</v>
      </c>
      <c r="F43" s="3105" t="s">
        <v>2486</v>
      </c>
      <c r="G43" s="3105"/>
    </row>
    <row r="44" spans="1:7" ht="19.5" customHeight="1">
      <c r="A44" s="3779"/>
      <c r="B44" s="3117" t="s">
        <v>2637</v>
      </c>
      <c r="C44" s="3106" t="s">
        <v>2638</v>
      </c>
      <c r="D44" s="3107"/>
      <c r="E44" s="3108">
        <v>2</v>
      </c>
      <c r="F44" s="3105" t="s">
        <v>2487</v>
      </c>
      <c r="G44" s="3105"/>
    </row>
    <row r="45" spans="1:7" ht="19.5" customHeight="1">
      <c r="A45" s="3779"/>
      <c r="B45" s="3777" t="s">
        <v>2639</v>
      </c>
      <c r="C45" s="3106" t="s">
        <v>2488</v>
      </c>
      <c r="D45" s="3107"/>
      <c r="E45" s="3108">
        <v>1</v>
      </c>
      <c r="F45" s="3105" t="s">
        <v>2489</v>
      </c>
      <c r="G45" s="3105"/>
    </row>
    <row r="46" spans="1:7" ht="19.5" customHeight="1">
      <c r="A46" s="3779"/>
      <c r="B46" s="3772"/>
      <c r="C46" s="3106" t="s">
        <v>2490</v>
      </c>
      <c r="D46" s="3107"/>
      <c r="E46" s="3108">
        <v>1</v>
      </c>
      <c r="F46" s="3105" t="s">
        <v>2491</v>
      </c>
      <c r="G46" s="3105"/>
    </row>
    <row r="47" spans="1:7" ht="19.5" customHeight="1">
      <c r="A47" s="3779"/>
      <c r="B47" s="3772"/>
      <c r="C47" s="3106" t="s">
        <v>2492</v>
      </c>
      <c r="D47" s="3107"/>
      <c r="E47" s="3108">
        <v>1</v>
      </c>
      <c r="F47" s="3105" t="s">
        <v>2493</v>
      </c>
      <c r="G47" s="3105"/>
    </row>
    <row r="48" spans="1:7" ht="19.5" customHeight="1">
      <c r="A48" s="3779"/>
      <c r="B48" s="3772"/>
      <c r="C48" s="3106" t="s">
        <v>2494</v>
      </c>
      <c r="D48" s="3107"/>
      <c r="E48" s="3108">
        <v>1</v>
      </c>
      <c r="F48" s="3105" t="s">
        <v>2495</v>
      </c>
      <c r="G48" s="3105"/>
    </row>
    <row r="49" spans="1:7" ht="19.5" customHeight="1">
      <c r="A49" s="3779"/>
      <c r="B49" s="3772"/>
      <c r="C49" s="3106" t="s">
        <v>2496</v>
      </c>
      <c r="D49" s="3107"/>
      <c r="E49" s="3108">
        <v>1</v>
      </c>
      <c r="F49" s="3105" t="s">
        <v>2497</v>
      </c>
      <c r="G49" s="3105"/>
    </row>
    <row r="50" spans="1:7" ht="19.5" customHeight="1">
      <c r="A50" s="3779"/>
      <c r="B50" s="3772"/>
      <c r="C50" s="3106" t="s">
        <v>2498</v>
      </c>
      <c r="D50" s="3107"/>
      <c r="E50" s="3108">
        <v>1</v>
      </c>
      <c r="F50" s="3105" t="s">
        <v>2499</v>
      </c>
      <c r="G50" s="3105"/>
    </row>
    <row r="51" spans="1:7" ht="19.5" customHeight="1" thickBot="1">
      <c r="A51" s="3780"/>
      <c r="B51" s="3773"/>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7" t="s">
        <v>2653</v>
      </c>
      <c r="C73" s="3091" t="s">
        <v>2654</v>
      </c>
      <c r="D73" s="3091" t="s">
        <v>2655</v>
      </c>
      <c r="E73" s="3117">
        <v>0.2</v>
      </c>
      <c r="F73" s="3117">
        <v>25</v>
      </c>
    </row>
    <row r="74" spans="1:7" ht="24">
      <c r="A74" s="3117">
        <v>2</v>
      </c>
      <c r="B74" s="3772"/>
      <c r="C74" s="3091" t="s">
        <v>2656</v>
      </c>
      <c r="D74" s="3091" t="s">
        <v>2657</v>
      </c>
      <c r="E74" s="3117">
        <v>0.2</v>
      </c>
      <c r="F74" s="3117">
        <v>25</v>
      </c>
    </row>
    <row r="75" spans="1:7" ht="24">
      <c r="A75" s="3117">
        <v>3</v>
      </c>
      <c r="B75" s="3772"/>
      <c r="C75" s="3091" t="s">
        <v>2658</v>
      </c>
      <c r="D75" s="3091" t="s">
        <v>2659</v>
      </c>
      <c r="E75" s="3117">
        <v>0.2</v>
      </c>
      <c r="F75" s="3117">
        <v>25</v>
      </c>
    </row>
    <row r="76" spans="1:7" ht="13.5">
      <c r="A76" s="3117">
        <v>4</v>
      </c>
      <c r="B76" s="3772"/>
      <c r="C76" s="3091" t="s">
        <v>2660</v>
      </c>
      <c r="D76" s="3091" t="s">
        <v>2661</v>
      </c>
      <c r="E76" s="3117">
        <v>0.15</v>
      </c>
      <c r="F76" s="3117">
        <v>20</v>
      </c>
    </row>
    <row r="77" spans="1:7" ht="24">
      <c r="A77" s="3117">
        <v>5</v>
      </c>
      <c r="B77" s="3772"/>
      <c r="C77" s="3091" t="s">
        <v>2662</v>
      </c>
      <c r="D77" s="3091" t="s">
        <v>2663</v>
      </c>
      <c r="E77" s="3117">
        <v>0.15</v>
      </c>
      <c r="F77" s="3117">
        <v>20</v>
      </c>
    </row>
    <row r="78" spans="1:7" ht="24">
      <c r="A78" s="3117">
        <v>6</v>
      </c>
      <c r="B78" s="3772"/>
      <c r="C78" s="3091" t="s">
        <v>2664</v>
      </c>
      <c r="D78" s="3091" t="s">
        <v>2665</v>
      </c>
      <c r="E78" s="3117">
        <v>0.15</v>
      </c>
      <c r="F78" s="3117">
        <v>20</v>
      </c>
    </row>
    <row r="79" spans="1:7" ht="24">
      <c r="A79" s="3117">
        <v>7</v>
      </c>
      <c r="B79" s="3772"/>
      <c r="C79" s="3091" t="s">
        <v>2666</v>
      </c>
      <c r="D79" s="3091" t="s">
        <v>2667</v>
      </c>
      <c r="E79" s="3117">
        <v>0.15</v>
      </c>
      <c r="F79" s="3117">
        <v>20</v>
      </c>
    </row>
    <row r="80" spans="1:7" ht="24">
      <c r="A80" s="3117">
        <v>8</v>
      </c>
      <c r="B80" s="3772"/>
      <c r="C80" s="3091" t="s">
        <v>2668</v>
      </c>
      <c r="D80" s="3091" t="s">
        <v>2669</v>
      </c>
      <c r="E80" s="3117">
        <v>0.1</v>
      </c>
      <c r="F80" s="3117">
        <v>15</v>
      </c>
    </row>
    <row r="81" spans="1:6" ht="24">
      <c r="A81" s="3117">
        <v>9</v>
      </c>
      <c r="B81" s="3772"/>
      <c r="C81" s="3091" t="s">
        <v>2670</v>
      </c>
      <c r="D81" s="3091" t="s">
        <v>2671</v>
      </c>
      <c r="E81" s="3117">
        <v>0.1</v>
      </c>
      <c r="F81" s="3117">
        <v>15</v>
      </c>
    </row>
    <row r="82" spans="1:6" ht="24">
      <c r="A82" s="3117">
        <v>10</v>
      </c>
      <c r="B82" s="3772"/>
      <c r="C82" s="3091" t="s">
        <v>2672</v>
      </c>
      <c r="D82" s="3091" t="s">
        <v>2673</v>
      </c>
      <c r="E82" s="3117">
        <v>0.1</v>
      </c>
      <c r="F82" s="3117">
        <v>15</v>
      </c>
    </row>
    <row r="83" spans="1:6" ht="24">
      <c r="A83" s="3117">
        <v>11</v>
      </c>
      <c r="B83" s="3772"/>
      <c r="C83" s="3091" t="s">
        <v>2674</v>
      </c>
      <c r="D83" s="3091" t="s">
        <v>2675</v>
      </c>
      <c r="E83" s="3117">
        <v>0.1</v>
      </c>
      <c r="F83" s="3117">
        <v>15</v>
      </c>
    </row>
    <row r="84" spans="1:6" ht="24">
      <c r="A84" s="3117">
        <v>12</v>
      </c>
      <c r="B84" s="3772"/>
      <c r="C84" s="3091" t="s">
        <v>2676</v>
      </c>
      <c r="D84" s="3091" t="s">
        <v>2677</v>
      </c>
      <c r="E84" s="3117">
        <v>0.1</v>
      </c>
      <c r="F84" s="3117">
        <v>15</v>
      </c>
    </row>
    <row r="85" spans="1:6" ht="13.5">
      <c r="A85" s="3117">
        <v>13</v>
      </c>
      <c r="B85" s="3772"/>
      <c r="C85" s="3091" t="s">
        <v>2678</v>
      </c>
      <c r="D85" s="3091" t="s">
        <v>2679</v>
      </c>
      <c r="E85" s="3117">
        <v>0.1</v>
      </c>
      <c r="F85" s="3117">
        <v>15</v>
      </c>
    </row>
    <row r="86" spans="1:6" ht="13.5">
      <c r="A86" s="3117">
        <v>14</v>
      </c>
      <c r="B86" s="3772"/>
      <c r="C86" s="3091" t="s">
        <v>2680</v>
      </c>
      <c r="D86" s="3091" t="s">
        <v>2681</v>
      </c>
      <c r="E86" s="3117">
        <v>0.1</v>
      </c>
      <c r="F86" s="3117">
        <v>15</v>
      </c>
    </row>
    <row r="87" spans="1:6" ht="13.5">
      <c r="A87" s="3117">
        <v>15</v>
      </c>
      <c r="B87" s="3772"/>
      <c r="C87" s="3091" t="s">
        <v>2682</v>
      </c>
      <c r="D87" s="3091" t="s">
        <v>2683</v>
      </c>
      <c r="E87" s="3117">
        <v>0.1</v>
      </c>
      <c r="F87" s="3117">
        <v>15</v>
      </c>
    </row>
    <row r="88" spans="1:6" ht="24">
      <c r="A88" s="3117">
        <v>16</v>
      </c>
      <c r="B88" s="3772"/>
      <c r="C88" s="3091" t="s">
        <v>2684</v>
      </c>
      <c r="D88" s="3091" t="s">
        <v>2685</v>
      </c>
      <c r="E88" s="3117">
        <v>0.1</v>
      </c>
      <c r="F88" s="3117">
        <v>15</v>
      </c>
    </row>
    <row r="89" spans="1:6" ht="24">
      <c r="A89" s="3117">
        <v>17</v>
      </c>
      <c r="B89" s="3781"/>
      <c r="C89" s="3091" t="s">
        <v>2686</v>
      </c>
      <c r="D89" s="3091" t="s">
        <v>2687</v>
      </c>
      <c r="E89" s="3117">
        <v>0.1</v>
      </c>
      <c r="F89" s="3117">
        <v>15</v>
      </c>
    </row>
    <row r="90" spans="1:6" ht="13.5">
      <c r="A90" s="3117">
        <v>18</v>
      </c>
      <c r="B90" s="3777" t="s">
        <v>2688</v>
      </c>
      <c r="C90" s="3091" t="s">
        <v>2689</v>
      </c>
      <c r="D90" s="3091" t="s">
        <v>2690</v>
      </c>
      <c r="E90" s="3117">
        <v>0.2</v>
      </c>
      <c r="F90" s="3117">
        <v>25</v>
      </c>
    </row>
    <row r="91" spans="1:6" ht="24">
      <c r="A91" s="3117">
        <v>19</v>
      </c>
      <c r="B91" s="3772"/>
      <c r="C91" s="3091" t="s">
        <v>2691</v>
      </c>
      <c r="D91" s="3091" t="s">
        <v>2692</v>
      </c>
      <c r="E91" s="3117">
        <v>0.2</v>
      </c>
      <c r="F91" s="3117">
        <v>25</v>
      </c>
    </row>
    <row r="92" spans="1:6" ht="13.5">
      <c r="A92" s="3117">
        <v>20</v>
      </c>
      <c r="B92" s="3772"/>
      <c r="C92" s="3091" t="s">
        <v>2693</v>
      </c>
      <c r="D92" s="3091" t="s">
        <v>2694</v>
      </c>
      <c r="E92" s="3117">
        <v>0.15</v>
      </c>
      <c r="F92" s="3117">
        <v>20</v>
      </c>
    </row>
    <row r="93" spans="1:6" ht="13.5">
      <c r="A93" s="3117">
        <v>21</v>
      </c>
      <c r="B93" s="3772"/>
      <c r="C93" s="3091" t="s">
        <v>2695</v>
      </c>
      <c r="D93" s="3091" t="s">
        <v>2696</v>
      </c>
      <c r="E93" s="3117">
        <v>0.15</v>
      </c>
      <c r="F93" s="3117">
        <v>20</v>
      </c>
    </row>
    <row r="94" spans="1:6" ht="13.5">
      <c r="A94" s="3117">
        <v>22</v>
      </c>
      <c r="B94" s="3772"/>
      <c r="C94" s="3091" t="s">
        <v>2697</v>
      </c>
      <c r="D94" s="3091" t="s">
        <v>2698</v>
      </c>
      <c r="E94" s="3117">
        <v>0.15</v>
      </c>
      <c r="F94" s="3117">
        <v>20</v>
      </c>
    </row>
    <row r="95" spans="1:6" ht="36">
      <c r="A95" s="3117">
        <v>23</v>
      </c>
      <c r="B95" s="3772"/>
      <c r="C95" s="3091" t="s">
        <v>2699</v>
      </c>
      <c r="D95" s="3091" t="s">
        <v>2700</v>
      </c>
      <c r="E95" s="3117">
        <v>0.15</v>
      </c>
      <c r="F95" s="3117">
        <v>20</v>
      </c>
    </row>
    <row r="96" spans="1:6" ht="13.5">
      <c r="A96" s="3117">
        <v>24</v>
      </c>
      <c r="B96" s="3772"/>
      <c r="C96" s="3091" t="s">
        <v>2701</v>
      </c>
      <c r="D96" s="3091" t="s">
        <v>2702</v>
      </c>
      <c r="E96" s="3117">
        <v>0.1</v>
      </c>
      <c r="F96" s="3117">
        <v>15</v>
      </c>
    </row>
    <row r="97" spans="1:6" ht="13.5">
      <c r="A97" s="3117">
        <v>25</v>
      </c>
      <c r="B97" s="3772"/>
      <c r="C97" s="3091" t="s">
        <v>2703</v>
      </c>
      <c r="D97" s="3091" t="s">
        <v>2704</v>
      </c>
      <c r="E97" s="3117">
        <v>0.1</v>
      </c>
      <c r="F97" s="3117">
        <v>15</v>
      </c>
    </row>
    <row r="98" spans="1:6" ht="24">
      <c r="A98" s="3117">
        <v>26</v>
      </c>
      <c r="B98" s="3772"/>
      <c r="C98" s="3091" t="s">
        <v>2705</v>
      </c>
      <c r="D98" s="3091" t="s">
        <v>2706</v>
      </c>
      <c r="E98" s="3117">
        <v>0.1</v>
      </c>
      <c r="F98" s="3117">
        <v>15</v>
      </c>
    </row>
    <row r="99" spans="1:6" ht="24">
      <c r="A99" s="3117">
        <v>27</v>
      </c>
      <c r="B99" s="3772"/>
      <c r="C99" s="3091" t="s">
        <v>2707</v>
      </c>
      <c r="D99" s="3091" t="s">
        <v>2708</v>
      </c>
      <c r="E99" s="3117">
        <v>0.1</v>
      </c>
      <c r="F99" s="3117">
        <v>15</v>
      </c>
    </row>
    <row r="100" spans="1:6" ht="13.5">
      <c r="A100" s="3117">
        <v>28</v>
      </c>
      <c r="B100" s="3772"/>
      <c r="C100" s="3091" t="s">
        <v>2709</v>
      </c>
      <c r="D100" s="3091" t="s">
        <v>2710</v>
      </c>
      <c r="E100" s="3117">
        <v>0.1</v>
      </c>
      <c r="F100" s="3117">
        <v>15</v>
      </c>
    </row>
    <row r="101" spans="1:6" ht="13.5">
      <c r="A101" s="3117">
        <v>29</v>
      </c>
      <c r="B101" s="3772"/>
      <c r="C101" s="3091" t="s">
        <v>2711</v>
      </c>
      <c r="D101" s="3091" t="s">
        <v>2712</v>
      </c>
      <c r="E101" s="3117">
        <v>0.1</v>
      </c>
      <c r="F101" s="3117">
        <v>15</v>
      </c>
    </row>
    <row r="102" spans="1:6" ht="13.5">
      <c r="A102" s="3117">
        <v>30</v>
      </c>
      <c r="B102" s="3772"/>
      <c r="C102" s="3091" t="s">
        <v>2713</v>
      </c>
      <c r="D102" s="3091" t="s">
        <v>2714</v>
      </c>
      <c r="E102" s="3117">
        <v>0.1</v>
      </c>
      <c r="F102" s="3117">
        <v>15</v>
      </c>
    </row>
    <row r="103" spans="1:6" ht="24">
      <c r="A103" s="3117">
        <v>31</v>
      </c>
      <c r="B103" s="3772"/>
      <c r="C103" s="3091" t="s">
        <v>2715</v>
      </c>
      <c r="D103" s="3091" t="s">
        <v>2716</v>
      </c>
      <c r="E103" s="3117">
        <v>0.1</v>
      </c>
      <c r="F103" s="3117">
        <v>15</v>
      </c>
    </row>
    <row r="104" spans="1:6" ht="24">
      <c r="A104" s="3117">
        <v>32</v>
      </c>
      <c r="B104" s="3772"/>
      <c r="C104" s="3091" t="s">
        <v>2717</v>
      </c>
      <c r="D104" s="3091" t="s">
        <v>2718</v>
      </c>
      <c r="E104" s="3117">
        <v>0.1</v>
      </c>
      <c r="F104" s="3117">
        <v>15</v>
      </c>
    </row>
    <row r="105" spans="1:6" ht="24">
      <c r="A105" s="3117">
        <v>33</v>
      </c>
      <c r="B105" s="3772"/>
      <c r="C105" s="3091" t="s">
        <v>2719</v>
      </c>
      <c r="D105" s="3091" t="s">
        <v>2720</v>
      </c>
      <c r="E105" s="3117">
        <v>0.1</v>
      </c>
      <c r="F105" s="3117">
        <v>15</v>
      </c>
    </row>
    <row r="106" spans="1:6" ht="24">
      <c r="A106" s="3117">
        <v>34</v>
      </c>
      <c r="B106" s="3781"/>
      <c r="C106" s="3091" t="s">
        <v>2721</v>
      </c>
      <c r="D106" s="3091" t="s">
        <v>2722</v>
      </c>
      <c r="E106" s="3117">
        <v>0.1</v>
      </c>
      <c r="F106" s="3117">
        <v>15</v>
      </c>
    </row>
    <row r="107" spans="1:6" ht="24">
      <c r="A107" s="3117">
        <v>35</v>
      </c>
      <c r="B107" s="3777" t="s">
        <v>2723</v>
      </c>
      <c r="C107" s="3117" t="s">
        <v>2724</v>
      </c>
      <c r="D107" s="3091" t="s">
        <v>2725</v>
      </c>
      <c r="E107" s="3117">
        <v>0.15</v>
      </c>
      <c r="F107" s="3117">
        <v>20</v>
      </c>
    </row>
    <row r="108" spans="1:6" ht="13.5">
      <c r="A108" s="3117">
        <v>36</v>
      </c>
      <c r="B108" s="3772"/>
      <c r="C108" s="3117" t="s">
        <v>2726</v>
      </c>
      <c r="D108" s="3091" t="s">
        <v>2727</v>
      </c>
      <c r="E108" s="3117">
        <v>0.15</v>
      </c>
      <c r="F108" s="3117">
        <v>20</v>
      </c>
    </row>
    <row r="109" spans="1:6" ht="13.5">
      <c r="A109" s="3117">
        <v>37</v>
      </c>
      <c r="B109" s="3772"/>
      <c r="C109" s="3117" t="s">
        <v>2728</v>
      </c>
      <c r="D109" s="3091" t="s">
        <v>2729</v>
      </c>
      <c r="E109" s="3117">
        <v>0.15</v>
      </c>
      <c r="F109" s="3117">
        <v>20</v>
      </c>
    </row>
    <row r="110" spans="1:6" ht="13.5">
      <c r="A110" s="3117">
        <v>38</v>
      </c>
      <c r="B110" s="3772"/>
      <c r="C110" s="3117" t="s">
        <v>2730</v>
      </c>
      <c r="D110" s="3091" t="s">
        <v>2731</v>
      </c>
      <c r="E110" s="3117">
        <v>0.1</v>
      </c>
      <c r="F110" s="3117">
        <v>15</v>
      </c>
    </row>
    <row r="111" spans="1:6" ht="24">
      <c r="A111" s="3117">
        <v>39</v>
      </c>
      <c r="B111" s="3772"/>
      <c r="C111" s="3117" t="s">
        <v>2732</v>
      </c>
      <c r="D111" s="3091" t="s">
        <v>2733</v>
      </c>
      <c r="E111" s="3117">
        <v>0.1</v>
      </c>
      <c r="F111" s="3117">
        <v>15</v>
      </c>
    </row>
    <row r="112" spans="1:6" ht="24">
      <c r="A112" s="3117">
        <v>40</v>
      </c>
      <c r="B112" s="3781"/>
      <c r="C112" s="3117" t="s">
        <v>2734</v>
      </c>
      <c r="D112" s="3091" t="s">
        <v>2735</v>
      </c>
      <c r="E112" s="3117">
        <v>0.1</v>
      </c>
      <c r="F112" s="3117">
        <v>15</v>
      </c>
    </row>
    <row r="113" spans="1:6" ht="13.5">
      <c r="A113" s="3117">
        <v>41</v>
      </c>
      <c r="B113" s="3782" t="s">
        <v>2736</v>
      </c>
      <c r="C113" s="3117" t="s">
        <v>2737</v>
      </c>
      <c r="D113" s="3091" t="s">
        <v>2738</v>
      </c>
      <c r="E113" s="3117">
        <v>0.1</v>
      </c>
      <c r="F113" s="3117">
        <v>15</v>
      </c>
    </row>
    <row r="114" spans="1:6" ht="13.5">
      <c r="A114" s="3117">
        <v>42</v>
      </c>
      <c r="B114" s="3782"/>
      <c r="C114" s="3117" t="s">
        <v>2739</v>
      </c>
      <c r="D114" s="3091" t="s">
        <v>2740</v>
      </c>
      <c r="E114" s="3117">
        <v>0.1</v>
      </c>
      <c r="F114" s="3117">
        <v>15</v>
      </c>
    </row>
    <row r="115" spans="1:6" ht="24">
      <c r="A115" s="3117">
        <v>43</v>
      </c>
      <c r="B115" s="3782"/>
      <c r="C115" s="3117" t="s">
        <v>2741</v>
      </c>
      <c r="D115" s="3091" t="s">
        <v>2742</v>
      </c>
      <c r="E115" s="3117">
        <v>0.1</v>
      </c>
      <c r="F115" s="3117">
        <v>15</v>
      </c>
    </row>
    <row r="116" spans="1:6" ht="13.5">
      <c r="A116" s="3117">
        <v>44</v>
      </c>
      <c r="B116" s="3777" t="s">
        <v>2743</v>
      </c>
      <c r="C116" s="3117" t="s">
        <v>2744</v>
      </c>
      <c r="D116" s="3091" t="s">
        <v>2745</v>
      </c>
      <c r="E116" s="3117">
        <v>0.1</v>
      </c>
      <c r="F116" s="3117">
        <v>15</v>
      </c>
    </row>
    <row r="117" spans="1:6" ht="24">
      <c r="A117" s="3117">
        <v>45</v>
      </c>
      <c r="B117" s="3781"/>
      <c r="C117" s="3091" t="s">
        <v>2746</v>
      </c>
      <c r="D117" s="3091" t="s">
        <v>2747</v>
      </c>
      <c r="E117" s="3117">
        <v>0.1</v>
      </c>
      <c r="F117" s="3117">
        <v>15</v>
      </c>
    </row>
    <row r="118" spans="1:6" ht="24">
      <c r="A118" s="3117">
        <v>46</v>
      </c>
      <c r="B118" s="3777" t="s">
        <v>2748</v>
      </c>
      <c r="C118" s="3117" t="s">
        <v>2749</v>
      </c>
      <c r="D118" s="3091" t="s">
        <v>2750</v>
      </c>
      <c r="E118" s="3117">
        <v>0.1</v>
      </c>
      <c r="F118" s="3117">
        <v>15</v>
      </c>
    </row>
    <row r="119" spans="1:6" ht="24">
      <c r="A119" s="3117">
        <v>47</v>
      </c>
      <c r="B119" s="3781"/>
      <c r="C119" s="3117" t="s">
        <v>2751</v>
      </c>
      <c r="D119" s="3091" t="s">
        <v>2752</v>
      </c>
      <c r="E119" s="3117">
        <v>0.1</v>
      </c>
      <c r="F119" s="3117">
        <v>15</v>
      </c>
    </row>
    <row r="120" spans="1:6" ht="13.5">
      <c r="A120" s="3117">
        <v>48</v>
      </c>
      <c r="B120" s="3777" t="s">
        <v>2753</v>
      </c>
      <c r="C120" s="3117" t="s">
        <v>2754</v>
      </c>
      <c r="D120" s="3091" t="s">
        <v>2755</v>
      </c>
      <c r="E120" s="3117">
        <v>0.1</v>
      </c>
      <c r="F120" s="3117">
        <v>15</v>
      </c>
    </row>
    <row r="121" spans="1:6" ht="13.5">
      <c r="A121" s="3117">
        <v>49</v>
      </c>
      <c r="B121" s="3781"/>
      <c r="C121" s="3117" t="s">
        <v>2756</v>
      </c>
      <c r="D121" s="3091" t="s">
        <v>2757</v>
      </c>
      <c r="E121" s="3117">
        <v>0.1</v>
      </c>
      <c r="F121" s="3117">
        <v>15</v>
      </c>
    </row>
    <row r="122" spans="1:6" ht="24">
      <c r="A122" s="3117">
        <v>50</v>
      </c>
      <c r="B122" s="3782" t="s">
        <v>2758</v>
      </c>
      <c r="C122" s="3117" t="s">
        <v>2759</v>
      </c>
      <c r="D122" s="3091" t="s">
        <v>2760</v>
      </c>
      <c r="E122" s="3117">
        <v>0.1</v>
      </c>
      <c r="F122" s="3117">
        <v>15</v>
      </c>
    </row>
    <row r="123" spans="1:6" ht="24">
      <c r="A123" s="3117">
        <v>51</v>
      </c>
      <c r="B123" s="3782"/>
      <c r="C123" s="3117" t="s">
        <v>2761</v>
      </c>
      <c r="D123" s="3091" t="s">
        <v>2762</v>
      </c>
      <c r="E123" s="3117">
        <v>0.1</v>
      </c>
      <c r="F123" s="3117">
        <v>15</v>
      </c>
    </row>
    <row r="124" spans="1:6" ht="24">
      <c r="A124" s="3117">
        <v>52</v>
      </c>
      <c r="B124" s="3782" t="s">
        <v>2763</v>
      </c>
      <c r="C124" s="3117" t="s">
        <v>2764</v>
      </c>
      <c r="D124" s="3091" t="s">
        <v>2765</v>
      </c>
      <c r="E124" s="3117">
        <v>0.1</v>
      </c>
      <c r="F124" s="3117">
        <v>15</v>
      </c>
    </row>
    <row r="125" spans="1:6" ht="24">
      <c r="A125" s="3117">
        <v>53</v>
      </c>
      <c r="B125" s="3782"/>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82" t="s">
        <v>2771</v>
      </c>
      <c r="C127" s="3117" t="s">
        <v>2772</v>
      </c>
      <c r="D127" s="3091" t="s">
        <v>2773</v>
      </c>
      <c r="E127" s="3117">
        <v>0.1</v>
      </c>
      <c r="F127" s="3117">
        <v>15</v>
      </c>
    </row>
    <row r="128" spans="1:6" ht="13.5">
      <c r="A128" s="3117">
        <v>56</v>
      </c>
      <c r="B128" s="3782"/>
      <c r="C128" s="3117" t="s">
        <v>2774</v>
      </c>
      <c r="D128" s="3091" t="s">
        <v>2775</v>
      </c>
      <c r="E128" s="3117">
        <v>0.1</v>
      </c>
      <c r="F128" s="3117">
        <v>15</v>
      </c>
    </row>
    <row r="129" spans="1:6" ht="24">
      <c r="A129" s="3117">
        <v>57</v>
      </c>
      <c r="B129" s="3782"/>
      <c r="C129" s="3117" t="s">
        <v>2776</v>
      </c>
      <c r="D129" s="3091" t="s">
        <v>2777</v>
      </c>
      <c r="E129" s="3117">
        <v>0.1</v>
      </c>
      <c r="F129" s="3117">
        <v>15</v>
      </c>
    </row>
    <row r="130" spans="1:6" ht="24">
      <c r="A130" s="3117">
        <v>58</v>
      </c>
      <c r="B130" s="3782" t="s">
        <v>2778</v>
      </c>
      <c r="C130" s="3117" t="s">
        <v>2779</v>
      </c>
      <c r="D130" s="3091" t="s">
        <v>2780</v>
      </c>
      <c r="E130" s="3117">
        <v>0.1</v>
      </c>
      <c r="F130" s="3117">
        <v>15</v>
      </c>
    </row>
    <row r="131" spans="1:6" ht="13.5">
      <c r="A131" s="3117">
        <v>59</v>
      </c>
      <c r="B131" s="3782"/>
      <c r="C131" s="3117" t="s">
        <v>2781</v>
      </c>
      <c r="D131" s="3091" t="s">
        <v>2782</v>
      </c>
      <c r="E131" s="3117">
        <v>0.1</v>
      </c>
      <c r="F131" s="3117">
        <v>15</v>
      </c>
    </row>
    <row r="132" spans="1:6" ht="13.5">
      <c r="A132" s="3117">
        <v>60</v>
      </c>
      <c r="B132" s="3777" t="s">
        <v>2783</v>
      </c>
      <c r="C132" s="3117" t="s">
        <v>2784</v>
      </c>
      <c r="D132" s="3091" t="s">
        <v>2785</v>
      </c>
      <c r="E132" s="3117">
        <v>0.1</v>
      </c>
      <c r="F132" s="3117">
        <v>15</v>
      </c>
    </row>
    <row r="133" spans="1:6" ht="13.5">
      <c r="A133" s="3117">
        <v>61</v>
      </c>
      <c r="B133" s="3781"/>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82" t="s">
        <v>2791</v>
      </c>
      <c r="C135" s="3117" t="s">
        <v>2792</v>
      </c>
      <c r="D135" s="3091" t="s">
        <v>2793</v>
      </c>
      <c r="E135" s="3117">
        <v>0.1</v>
      </c>
      <c r="F135" s="3117">
        <v>15</v>
      </c>
    </row>
    <row r="136" spans="1:6" ht="13.5">
      <c r="A136" s="3117">
        <v>64</v>
      </c>
      <c r="B136" s="3782"/>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t="e">
        <f>SUMPRODUCT((A95:A184=ROUNDDOWN(基准地价修正!G3,1))*(B94:M94=基准地价修正!G2)*(B95:M184))</f>
        <v>#DIV/0!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t="e">
        <f>SUMPRODUCT((A371:A460=ROUNDDOWN(基准地价修正!G3,1))*(B370:M370=基准地价修正!G2)*(B371:M460))</f>
        <v>#DIV/0!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170991</v>
      </c>
      <c r="E5" s="1491"/>
    </row>
    <row r="6" spans="1:5" ht="15.75">
      <c r="A6" s="1491"/>
      <c r="B6" s="3463"/>
      <c r="C6" s="1494" t="s">
        <v>911</v>
      </c>
      <c r="D6" s="850" t="str">
        <f ca="1">NUMBERSTRING(INT(D5*10000),2)&amp;"元整"</f>
        <v>壹拾柒亿零玖佰玖拾壹万元整</v>
      </c>
      <c r="E6" s="1491"/>
    </row>
    <row r="7" spans="1:5" ht="15.75">
      <c r="A7" s="1491"/>
      <c r="B7" s="3468"/>
      <c r="C7" s="1495" t="s">
        <v>912</v>
      </c>
      <c r="D7" s="851">
        <f ca="1">结果表!H102</f>
        <v>11846</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170991</v>
      </c>
      <c r="E13" s="1491"/>
    </row>
    <row r="14" spans="1:5" ht="15.75">
      <c r="A14" s="1491"/>
      <c r="B14" s="3463"/>
      <c r="C14" s="1494" t="s">
        <v>911</v>
      </c>
      <c r="D14" s="850" t="str">
        <f ca="1">NUMBERSTRING(INT(D13*10000),2)&amp;"元整"</f>
        <v>壹拾柒亿零玖佰玖拾壹万元整</v>
      </c>
      <c r="E14" s="1491"/>
    </row>
    <row r="15" spans="1:5" ht="15">
      <c r="A15" s="1491"/>
      <c r="B15" s="3468"/>
      <c r="C15" s="1495" t="s">
        <v>921</v>
      </c>
      <c r="D15" s="859">
        <f ca="1">结果表!H108</f>
        <v>11846</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4.抵押净值</v>
      </c>
      <c r="C19" s="1499" t="s">
        <v>910</v>
      </c>
      <c r="D19" s="851">
        <f ca="1">结果表!H111</f>
        <v>153644</v>
      </c>
      <c r="E19" s="1491"/>
    </row>
    <row r="20" spans="1:5" ht="15.75">
      <c r="A20" s="1491"/>
      <c r="B20" s="3463"/>
      <c r="C20" s="1494" t="s">
        <v>923</v>
      </c>
      <c r="D20" s="850" t="str">
        <f ca="1">NUMBERSTRING(INT(D19*10000),2)&amp;"元整"</f>
        <v>壹拾伍亿叁仟陆佰肆拾肆万元整</v>
      </c>
      <c r="E20" s="1491"/>
    </row>
    <row r="21" spans="1:5" ht="15.75" thickBot="1">
      <c r="A21" s="1491"/>
      <c r="B21" s="3464"/>
      <c r="C21" s="1501" t="s">
        <v>921</v>
      </c>
      <c r="D21" s="860">
        <f ca="1">结果表!H112</f>
        <v>10644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150426</v>
      </c>
      <c r="C2" s="2" t="s">
        <v>106</v>
      </c>
      <c r="D2" s="199"/>
      <c r="E2" s="199"/>
      <c r="F2" s="199"/>
      <c r="G2" s="199"/>
    </row>
    <row r="3" spans="1:7" s="200" customFormat="1" ht="18" customHeight="1" thickBot="1">
      <c r="A3" s="203" t="s">
        <v>58</v>
      </c>
      <c r="B3" s="204">
        <f ca="1">ROUND(B2*10000/'数据-汇总表'!E3,0)</f>
        <v>10421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2887</v>
      </c>
      <c r="D10" s="845">
        <f>'数据-汇总表'!E6</f>
        <v>144350.96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2887</v>
      </c>
      <c r="D19" s="849">
        <f>'数据-汇总表'!E3</f>
        <v>144350.96</v>
      </c>
      <c r="E19" s="211">
        <f>'数据-取费表'!B31</f>
        <v>200</v>
      </c>
      <c r="F19" s="231"/>
      <c r="G19" s="1" t="s">
        <v>436</v>
      </c>
    </row>
    <row r="20" spans="1:7" s="214" customFormat="1" ht="13.5" customHeight="1">
      <c r="A20" s="777" t="s">
        <v>419</v>
      </c>
      <c r="B20" s="210" t="s">
        <v>77</v>
      </c>
      <c r="C20" s="232">
        <f>ROUND((C5+C19)*F20,0)</f>
        <v>587</v>
      </c>
      <c r="D20" s="232"/>
      <c r="E20" s="232"/>
      <c r="F20" s="233">
        <f>'数据-取费表'!B37</f>
        <v>2.5000000000000001E-2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2282</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1977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277</v>
      </c>
      <c r="D24" s="238"/>
      <c r="E24" s="238"/>
      <c r="F24" s="239"/>
      <c r="G24" s="240" t="s">
        <v>82</v>
      </c>
    </row>
    <row r="25" spans="1:7" s="214" customFormat="1" ht="24">
      <c r="A25" s="780" t="s">
        <v>348</v>
      </c>
      <c r="B25" s="215" t="s">
        <v>420</v>
      </c>
      <c r="C25" s="1105">
        <f ca="1">ROUND(IF('数据-取费表'!B22&lt;=1,C20*F22*'数据-取费表'!B23/2,C20*(POWER((1+F22),'数据-取费表'!B23/2)-1)),0)</f>
        <v>28</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4817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4817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95561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86611</v>
      </c>
      <c r="D34" s="217"/>
      <c r="E34" s="220"/>
      <c r="F34" s="257">
        <f>IF('数据-取费表'!B24=0,1,'数据-取费表'!N16)</f>
        <v>1</v>
      </c>
      <c r="G34" s="219" t="s">
        <v>89</v>
      </c>
    </row>
    <row r="35" spans="1:7" ht="13.5" customHeight="1">
      <c r="A35" s="780" t="s">
        <v>351</v>
      </c>
      <c r="B35" s="215" t="s">
        <v>33</v>
      </c>
      <c r="C35" s="220">
        <f>ROUND(C34*F35,0)</f>
        <v>4331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2887</v>
      </c>
      <c r="D37" s="217">
        <f>'数据-汇总表'!E3</f>
        <v>144350.96</v>
      </c>
      <c r="E37" s="249">
        <f>'数据-取费表'!B35</f>
        <v>200</v>
      </c>
      <c r="F37" s="259"/>
      <c r="G37" s="261" t="s">
        <v>92</v>
      </c>
    </row>
    <row r="38" spans="1:7" ht="13.5" customHeight="1">
      <c r="A38" s="780" t="s">
        <v>354</v>
      </c>
      <c r="B38" s="215" t="s">
        <v>36</v>
      </c>
      <c r="C38" s="220">
        <f>ROUND(C34*F38,0)</f>
        <v>1732</v>
      </c>
      <c r="D38" s="220"/>
      <c r="E38" s="220"/>
      <c r="F38" s="259">
        <f>'数据-取费表'!B36</f>
        <v>0.02</v>
      </c>
      <c r="G38" s="219" t="s">
        <v>90</v>
      </c>
    </row>
    <row r="39" spans="1:7" s="214" customFormat="1" ht="13.5" customHeight="1">
      <c r="A39" s="777" t="s">
        <v>338</v>
      </c>
      <c r="B39" s="210" t="s">
        <v>77</v>
      </c>
      <c r="C39" s="232">
        <f>ROUND(C33*F20,0)</f>
        <v>2389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4590</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4478</v>
      </c>
      <c r="D42" s="238"/>
      <c r="E42" s="238"/>
      <c r="F42" s="239"/>
      <c r="G42" s="3647" t="s">
        <v>94</v>
      </c>
    </row>
    <row r="43" spans="1:7" ht="13.5" customHeight="1">
      <c r="A43" s="780" t="s">
        <v>347</v>
      </c>
      <c r="B43" s="215" t="s">
        <v>426</v>
      </c>
      <c r="C43" s="238">
        <f ca="1">ROUND(IF('数据-取费表'!B22&lt;=1,C39*F22*'数据-取费表'!B21/2,C39*(POWER((1+F22),'数据-取费表'!B21/2)-1)),0)</f>
        <v>112</v>
      </c>
      <c r="D43" s="238"/>
      <c r="E43" s="238"/>
      <c r="F43" s="239"/>
      <c r="G43" s="3648"/>
    </row>
    <row r="44" spans="1:7" ht="13.5" customHeight="1">
      <c r="A44" s="780" t="s">
        <v>348</v>
      </c>
      <c r="B44" s="215" t="s">
        <v>428</v>
      </c>
      <c r="C44" s="238">
        <f ca="1">ROUND(IF('数据-取费表'!B22&lt;=1,C40*F22*'数据-取费表'!B21/2,C40*(POWER((1+F22),'数据-取费表'!B21/2)-1)),4)</f>
        <v>8.9999999999999998E-4</v>
      </c>
      <c r="D44" s="238"/>
      <c r="E44" s="238"/>
      <c r="F44" s="239"/>
      <c r="G44" s="3649"/>
    </row>
    <row r="45" spans="1:7" s="214" customFormat="1" ht="13.5" customHeight="1">
      <c r="A45" s="777" t="s">
        <v>341</v>
      </c>
      <c r="B45" s="244" t="s">
        <v>85</v>
      </c>
      <c r="C45" s="245">
        <f>C46</f>
        <v>19590</v>
      </c>
      <c r="D45" s="235">
        <f>C47</f>
        <v>4.0000000000000001E-3</v>
      </c>
      <c r="E45" s="236" t="s">
        <v>102</v>
      </c>
      <c r="F45" s="246"/>
      <c r="G45" s="247" t="s">
        <v>434</v>
      </c>
    </row>
    <row r="46" spans="1:7" s="214" customFormat="1" ht="13.5" customHeight="1">
      <c r="A46" s="780" t="s">
        <v>349</v>
      </c>
      <c r="B46" s="248" t="s">
        <v>427</v>
      </c>
      <c r="C46" s="249">
        <f>ROUND((C33+C39)*F27,0)</f>
        <v>19590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132496</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116596</v>
      </c>
      <c r="D51" s="232"/>
      <c r="E51" s="232"/>
      <c r="F51" s="264"/>
      <c r="G51" s="234" t="s">
        <v>37</v>
      </c>
    </row>
    <row r="52" spans="1:7" s="208" customFormat="1" ht="16.5" thickBot="1">
      <c r="A52" s="265" t="s">
        <v>38</v>
      </c>
      <c r="B52" s="266"/>
      <c r="C52" s="267">
        <f ca="1">C31+C51</f>
        <v>150426</v>
      </c>
      <c r="D52" s="266"/>
      <c r="E52" s="266"/>
      <c r="F52" s="266"/>
      <c r="G52" s="268"/>
    </row>
    <row r="55" spans="1:7" ht="15">
      <c r="B55" s="270" t="s">
        <v>39</v>
      </c>
      <c r="C55" s="271"/>
    </row>
    <row r="56" spans="1:7">
      <c r="B56" s="273" t="s">
        <v>40</v>
      </c>
      <c r="C56" s="274">
        <f ca="1">ROUND(C51/C52,3)</f>
        <v>0.77500000000000002</v>
      </c>
    </row>
    <row r="57" spans="1:7">
      <c r="B57" s="273" t="s">
        <v>41</v>
      </c>
      <c r="C57" s="275">
        <f ca="1">1-C56</f>
        <v>0.22499999999999998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2841</v>
      </c>
      <c r="B1" s="3785"/>
      <c r="C1" s="3785"/>
      <c r="D1" s="3785"/>
      <c r="E1" s="3785"/>
      <c r="F1" s="3785"/>
      <c r="G1" s="3786"/>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3"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4"/>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3183</v>
      </c>
      <c r="B1" s="3787"/>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3234</v>
      </c>
      <c r="B1" s="3788"/>
      <c r="C1" s="3788"/>
      <c r="D1" s="3788"/>
      <c r="E1" s="3788"/>
      <c r="F1" s="3789"/>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45621</v>
      </c>
      <c r="B1" s="3209" t="s">
        <v>3382</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5"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2827</v>
      </c>
    </row>
    <row r="25" spans="1:30" s="3008" customFormat="1"/>
    <row r="26" spans="1:30" s="3208" customFormat="1" ht="12.75">
      <c r="B26" s="3209" t="s">
        <v>3383</v>
      </c>
      <c r="C26" s="3210"/>
      <c r="D26" s="3210"/>
      <c r="E26" s="3210"/>
      <c r="F26" s="3210"/>
      <c r="G26" s="3210"/>
      <c r="H26" s="3210"/>
      <c r="I26" s="3210"/>
      <c r="J26" s="3164"/>
      <c r="K26" s="3210" t="s">
        <v>2828</v>
      </c>
      <c r="L26" s="3210"/>
      <c r="M26" s="3210"/>
      <c r="N26" s="3210"/>
      <c r="O26" s="3210"/>
      <c r="P26" s="3210"/>
      <c r="Q26" s="3164"/>
      <c r="R26" s="3790" t="s">
        <v>2829</v>
      </c>
      <c r="S26" s="3791"/>
      <c r="T26" s="3791"/>
      <c r="U26" s="3791"/>
      <c r="V26" s="3791"/>
      <c r="W26" s="3791"/>
      <c r="X26" s="3164"/>
      <c r="Y26" s="3790" t="s">
        <v>2830</v>
      </c>
      <c r="Z26" s="3791"/>
      <c r="AA26" s="3791"/>
      <c r="AB26" s="3791"/>
      <c r="AC26" s="3791"/>
      <c r="AD26" s="3791"/>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5"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5"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45621</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45586</v>
      </c>
      <c r="D13" s="2821">
        <v>3.1</v>
      </c>
      <c r="E13" s="2821">
        <f>D13</f>
        <v>3.1</v>
      </c>
      <c r="F13" s="2821">
        <f>D13</f>
        <v>3.1</v>
      </c>
      <c r="G13" s="2821">
        <f>D13</f>
        <v>3.1</v>
      </c>
      <c r="H13" s="282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45495</v>
      </c>
      <c r="D14" s="2816">
        <v>3.35</v>
      </c>
      <c r="E14" s="2816">
        <f>D14</f>
        <v>3.35</v>
      </c>
      <c r="F14" s="2816">
        <f>D14</f>
        <v>3.35</v>
      </c>
      <c r="G14" s="2816">
        <f>D14</f>
        <v>3.35</v>
      </c>
      <c r="H14" s="2816">
        <v>3.85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45342</v>
      </c>
      <c r="D15" s="2816">
        <v>3.45</v>
      </c>
      <c r="E15" s="2816">
        <f>D15</f>
        <v>3.45</v>
      </c>
      <c r="F15" s="2816">
        <f>D15</f>
        <v>3.45</v>
      </c>
      <c r="G15" s="2816">
        <f>D15</f>
        <v>3.45</v>
      </c>
      <c r="H15" s="2816">
        <v>3.95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45159</v>
      </c>
      <c r="D16" s="2816">
        <v>3.45</v>
      </c>
      <c r="E16" s="2816">
        <f>D16</f>
        <v>3.45</v>
      </c>
      <c r="F16" s="2816">
        <f>D16</f>
        <v>3.45</v>
      </c>
      <c r="G16" s="2816">
        <f>D16</f>
        <v>3.45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45097</v>
      </c>
      <c r="D17" s="2816">
        <v>3.55</v>
      </c>
      <c r="E17" s="2816">
        <f>D17</f>
        <v>3.55</v>
      </c>
      <c r="F17" s="2816">
        <f>D17</f>
        <v>3.55</v>
      </c>
      <c r="G17" s="2816">
        <f>D17</f>
        <v>3.55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44701</v>
      </c>
      <c r="D19" s="2816">
        <v>3.7</v>
      </c>
      <c r="E19" s="2816">
        <f>D19</f>
        <v>3.7</v>
      </c>
      <c r="F19" s="2816">
        <f>D19</f>
        <v>3.7</v>
      </c>
      <c r="G19" s="2816">
        <f>D19</f>
        <v>3.7</v>
      </c>
      <c r="H19" s="2816">
        <v>4.45</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44581</v>
      </c>
      <c r="D20" s="2816">
        <v>3.7</v>
      </c>
      <c r="E20" s="2816">
        <f>D20</f>
        <v>3.7</v>
      </c>
      <c r="F20" s="2816">
        <f>D20</f>
        <v>3.7</v>
      </c>
      <c r="G20" s="2816">
        <f>D20</f>
        <v>3.7</v>
      </c>
      <c r="H20" s="2816">
        <v>4.5999999999999996</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44550</v>
      </c>
      <c r="D21" s="2816">
        <v>3.8</v>
      </c>
      <c r="E21" s="2816">
        <f>D21</f>
        <v>3.8</v>
      </c>
      <c r="F21" s="2816">
        <f>D21</f>
        <v>3.8</v>
      </c>
      <c r="G21" s="2816">
        <f>D21</f>
        <v>3.8</v>
      </c>
      <c r="H21" s="2816">
        <v>4.6500000000000004</v>
      </c>
      <c r="I21" s="2816"/>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43941</v>
      </c>
      <c r="D22" s="2816">
        <v>3.85</v>
      </c>
      <c r="E22" s="2816">
        <v>3.85</v>
      </c>
      <c r="F22" s="2816">
        <v>3.85</v>
      </c>
      <c r="G22" s="2816">
        <v>3.85</v>
      </c>
      <c r="H22" s="2816">
        <v>4.6500000000000004</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43881</v>
      </c>
      <c r="D23" s="2816">
        <v>4.05</v>
      </c>
      <c r="E23" s="2816">
        <v>4.05</v>
      </c>
      <c r="F23" s="2816">
        <v>4.05</v>
      </c>
      <c r="G23" s="2816">
        <v>4.05</v>
      </c>
      <c r="H23" s="2816">
        <v>4.75</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43789</v>
      </c>
      <c r="D24" s="2816">
        <v>4.1500000000000004</v>
      </c>
      <c r="E24" s="2816">
        <v>4.1500000000000004</v>
      </c>
      <c r="F24" s="2816">
        <v>4.1500000000000004</v>
      </c>
      <c r="G24" s="2816">
        <v>4.1500000000000004</v>
      </c>
      <c r="H24" s="2816">
        <v>4.8</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43728</v>
      </c>
      <c r="D25" s="2816">
        <v>4.2</v>
      </c>
      <c r="E25" s="2816">
        <v>4.2</v>
      </c>
      <c r="F25" s="2816">
        <v>4.2</v>
      </c>
      <c r="G25" s="2816">
        <v>4.2</v>
      </c>
      <c r="H25" s="2816">
        <v>4.8499999999999996</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5" t="s">
        <v>2311</v>
      </c>
      <c r="C26" s="2818">
        <v>43697</v>
      </c>
      <c r="D26" s="2819">
        <v>4.25</v>
      </c>
      <c r="E26" s="2819">
        <v>4.25</v>
      </c>
      <c r="F26" s="2819">
        <v>4.25</v>
      </c>
      <c r="G26" s="2819">
        <v>4.25</v>
      </c>
      <c r="H26" s="2819">
        <v>4.8499999999999996</v>
      </c>
      <c r="I26" s="2819"/>
      <c r="J26" s="281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3"/>
      <c r="C27" s="2824">
        <v>42301</v>
      </c>
      <c r="D27" s="2825">
        <v>4.3499999999999996</v>
      </c>
      <c r="E27" s="2825">
        <v>4.3499999999999996</v>
      </c>
      <c r="F27" s="2825">
        <v>4.75</v>
      </c>
      <c r="G27" s="2825">
        <v>4.75</v>
      </c>
      <c r="H27" s="2825">
        <v>4.9000000000000004</v>
      </c>
      <c r="I27" s="2825"/>
      <c r="J27" s="282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3.5"/>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144350.96</v>
      </c>
      <c r="C4" s="854">
        <f>项目基本情况!C18</f>
        <v>0</v>
      </c>
      <c r="D4" s="854">
        <f ca="1">结果表!D118</f>
        <v>76775</v>
      </c>
      <c r="E4" s="854">
        <f ca="1">结果表!E118</f>
        <v>5319</v>
      </c>
      <c r="F4" s="854">
        <f ca="1">结果表!F118</f>
        <v>94216</v>
      </c>
      <c r="G4" s="854">
        <f ca="1">结果表!G118</f>
        <v>6527</v>
      </c>
      <c r="H4" s="854">
        <f ca="1">结果表!H118</f>
        <v>170991</v>
      </c>
      <c r="I4" s="854">
        <f ca="1">结果表!I118</f>
        <v>11846</v>
      </c>
    </row>
    <row r="5" spans="1:9" ht="30" customHeight="1">
      <c r="A5" s="3474" t="s">
        <v>927</v>
      </c>
      <c r="B5" s="3474"/>
      <c r="C5" s="3474"/>
      <c r="D5" s="3474" t="str">
        <f ca="1">结果表!D119</f>
        <v>柒亿陆仟柒佰柒拾伍万元整</v>
      </c>
      <c r="E5" s="3474"/>
      <c r="F5" s="3474" t="str">
        <f ca="1">结果表!F119</f>
        <v>玖亿肆仟贰佰壹拾陆万元整</v>
      </c>
      <c r="G5" s="3474"/>
      <c r="H5" s="3474" t="str">
        <f ca="1">结果表!H119</f>
        <v>壹拾柒亿零玖佰玖拾壹万元整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170991</v>
      </c>
      <c r="E8" s="3475"/>
      <c r="F8" s="3475"/>
      <c r="G8" s="3475"/>
      <c r="H8" s="3475"/>
      <c r="I8" s="3475"/>
    </row>
    <row r="9" spans="1:9" ht="15">
      <c r="A9" s="3474" t="s">
        <v>927</v>
      </c>
      <c r="B9" s="3474"/>
      <c r="C9" s="3474"/>
      <c r="D9" s="3474" t="str">
        <f ca="1">结果表!D123</f>
        <v>壹拾柒亿零玖佰玖拾壹万元整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抵押净值</v>
      </c>
      <c r="B12" s="3475"/>
      <c r="C12" s="3475"/>
      <c r="D12" s="3475">
        <f ca="1">结果表!D126</f>
        <v>153644</v>
      </c>
      <c r="E12" s="3475"/>
      <c r="F12" s="3475"/>
      <c r="G12" s="3475"/>
      <c r="H12" s="3475"/>
      <c r="I12" s="3475"/>
    </row>
    <row r="13" spans="1:9" ht="15.75" thickBot="1">
      <c r="A13" s="3479" t="s">
        <v>927</v>
      </c>
      <c r="B13" s="3479"/>
      <c r="C13" s="3479"/>
      <c r="D13" s="3479" t="str">
        <f ca="1">结果表!D127</f>
        <v>壹拾伍亿叁仟陆佰肆拾肆万元整</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45622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2024-11-26T07:13:46Z</dcterms:modified>
</cp:coreProperties>
</file>